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tabRatio="609" firstSheet="4" activeTab="6"/>
  </bookViews>
  <sheets>
    <sheet name="ANEXO 8 PPTO. DEPARTAMENTO 2015" sheetId="1" r:id="rId1"/>
    <sheet name="PRESUPUESTO DEPARTAMENTO " sheetId="2" state="hidden" r:id="rId2"/>
    <sheet name="PRESUPUESTO DEPARTAMENTO" sheetId="3" state="hidden" r:id="rId3"/>
    <sheet name="PROYECTOS NUEVOS 2015-2016 " sheetId="4" state="hidden" r:id="rId4"/>
    <sheet name="ANEXO 10 PROY. VIABILIZADOS " sheetId="5" r:id="rId5"/>
    <sheet name="ANEXO 9 CONSOLIDADO PROYECTOS" sheetId="6" r:id="rId6"/>
    <sheet name="ANEXO 11 TABLA INV SECTOR" sheetId="7" r:id="rId7"/>
  </sheets>
  <externalReferences>
    <externalReference r:id="rId10"/>
    <externalReference r:id="rId11"/>
    <externalReference r:id="rId12"/>
  </externalReferences>
  <definedNames>
    <definedName name="_xlnm.Print_Area" localSheetId="0">'ANEXO 8 PPTO. DEPARTAMENTO 2015'!$A$1:$R$83</definedName>
    <definedName name="_xlnm.Print_Area" localSheetId="5">'ANEXO 9 CONSOLIDADO PROYECTOS'!$A$1:$AB$75</definedName>
    <definedName name="_xlnm.Print_Area" localSheetId="3">'PROYECTOS NUEVOS 2015-2016 '!$A$2:$R$23</definedName>
    <definedName name="_xlnm.Print_Titles" localSheetId="3">'PROYECTOS NUEVOS 2015-2016 '!$2:$4</definedName>
  </definedNames>
  <calcPr fullCalcOnLoad="1"/>
</workbook>
</file>

<file path=xl/sharedStrings.xml><?xml version="1.0" encoding="utf-8"?>
<sst xmlns="http://schemas.openxmlformats.org/spreadsheetml/2006/main" count="1447" uniqueCount="702">
  <si>
    <t>Mejoramiento Y Reordenamiento Físico Funcional del Servicio de Urgencias de la ESE Hospital Deptal. Universitario San Juan de Dios Todo El Departamento, Quindío, Occidente</t>
  </si>
  <si>
    <t>Asignaciones Directas</t>
  </si>
  <si>
    <t>FDR</t>
  </si>
  <si>
    <t>FCR 60%</t>
  </si>
  <si>
    <t xml:space="preserve">FONDO </t>
  </si>
  <si>
    <t>CTeI</t>
  </si>
  <si>
    <t xml:space="preserve">Asignaciones Directas </t>
  </si>
  <si>
    <t>Proyecto</t>
  </si>
  <si>
    <t>Fuente de Financiación</t>
  </si>
  <si>
    <t>Agricultura</t>
  </si>
  <si>
    <t xml:space="preserve">Total Proyecto </t>
  </si>
  <si>
    <t xml:space="preserve">Sector </t>
  </si>
  <si>
    <t>Transporte</t>
  </si>
  <si>
    <t>Salud</t>
  </si>
  <si>
    <t>Minas y Energia</t>
  </si>
  <si>
    <t>Cultura</t>
  </si>
  <si>
    <t>TIC</t>
  </si>
  <si>
    <t>Objetivo del Proyecto</t>
  </si>
  <si>
    <t>Según Articulo 50 del Decreto 1949 del 2012, limites para la aprobación de proyecto 80% Del presupuesto establecido  para la vigencia (ley 1606 del 2012)</t>
  </si>
  <si>
    <t>Ampliación del Servicio Publico de Gas Domiciliario por Redes para los Municipios de Cordoba, Buenavista, Genova y Pijao en el Departamento del Quindio</t>
  </si>
  <si>
    <t xml:space="preserve">Total </t>
  </si>
  <si>
    <t xml:space="preserve">Implementación del plan de acción para mantenimiento preventivo y atención de emergencias en la red vial secundaria, terciaria y urbana del departamento del Quindío.
</t>
  </si>
  <si>
    <t>RECURSOS NO EJECUTADOS VIGENCIA 2012</t>
  </si>
  <si>
    <t xml:space="preserve">Dotar 14 instituciones Bomberiles, con 14 Vehiculos de desplazamiento rapido (camionetas), 457 kit de dotación y 27 de linea de Fuego </t>
  </si>
  <si>
    <t xml:space="preserve">Pavimentación de 1,46 kilometros de la via carnicero la quiebra en Cordoba, </t>
  </si>
  <si>
    <t>Reposicion y optimizacion de redes de acueducto y alcantariilado, construcción de pavimentos en los municipios de Circasia, Filandia, La tebaida, Montenegro y Quimbaya.</t>
  </si>
  <si>
    <t>1200 millones para dotación de equipo bioimedico y 4500 millones para intervenir 1780 mts2 del area de urgencias del Hospital San Juan de Dios y ampliación a 50 cubículos de observación</t>
  </si>
  <si>
    <t xml:space="preserve">Pavimentación y mejoramiento de 75.872 m2 de vias urbanas en los municipios del Departamento del Quindio </t>
  </si>
  <si>
    <t>Reposición y optimización de 5000 metros de redes de acueducto, alcantarillado y pavimentos</t>
  </si>
  <si>
    <t xml:space="preserve">Certificar 500 predios en el Departamento del Quindio, en la utilización de Buenas practicas Agricolas, para los cultivos Platano, Citricos y Aguacate </t>
  </si>
  <si>
    <t xml:space="preserve">Mantenimiento preventivo de 495,31 de km de vias secundarias, terciarias y urbanas </t>
  </si>
  <si>
    <t>Mejoramiento y reparcheo de 343,7 km de la red vial secundaria y urbana en el Departamento del Quindio</t>
  </si>
  <si>
    <t xml:space="preserve">Construir 8281 metros de colectores interceptores para la descontaminacion de las fuentes hidricas del rio la vieja </t>
  </si>
  <si>
    <t>Componente contrucción Centro Atención a la Drogadicción
17 habitaciones  (34 camas), 3 consultorios, 2 oficinas, 5 talleres de terapia ocupacional, cancha multiple, jardin, estacion de enfermeria, cuarto de paciente agitado y areas de servicio.</t>
  </si>
  <si>
    <t>RECURSO PENDIENTE POR APROPIAR VIGENCIA 2012 (Decreto 1399 del 2013)</t>
  </si>
  <si>
    <t xml:space="preserve">Saneamiento Basico </t>
  </si>
  <si>
    <t xml:space="preserve">Ejecutor Designado </t>
  </si>
  <si>
    <t xml:space="preserve">Gobernación del Quindio </t>
  </si>
  <si>
    <t>Promotora de Vivienda y Desarrollo del Quindio</t>
  </si>
  <si>
    <t>ESAQUIN</t>
  </si>
  <si>
    <t>Corporación autonoma Regional del Quindio (CRQ)</t>
  </si>
  <si>
    <t>Valor Aprobado por el  SGR</t>
  </si>
  <si>
    <t>% Recursos Comprometidos</t>
  </si>
  <si>
    <t xml:space="preserve">DISTRIBUCIÓN DE RECURSOS SISTEMA GENERAL DE REGALIAS DEPARTAMENTO DEL QUINDIO </t>
  </si>
  <si>
    <t>RECURSOS APROBADOS</t>
  </si>
  <si>
    <t xml:space="preserve">Mejorar las condiciones de la red vial urbana del municipio de Quimbaya Quindío, mediante la pavimentación de 3034 mts2 de vías.
</t>
  </si>
  <si>
    <t>Fortalecer y conservar el patrimonio arquitectónico de la casa de la cultura a través de la ejecución de una obra física de restauración del sistema hidráulico y la reparación integral de la cubierta en el II semestre de 2013.</t>
  </si>
  <si>
    <t xml:space="preserve">Realizar mejoramiento integral del estadio municipal de circasia Quindío
</t>
  </si>
  <si>
    <t>Rehabilitación vías urbanas del municipio de Salento, Quindío, Occidente</t>
  </si>
  <si>
    <t>Mejorar las condiciones de movilidad en el  área urbana del municipio de Salento a través de la habilitación de nuevas vías con pavimento. Intervenir 1374 Mts2</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</si>
  <si>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</si>
  <si>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CteI</t>
  </si>
  <si>
    <t>Aplicación de procesos innovadores en la cadena de suministro para la industria de la guadua en Quindío.</t>
  </si>
  <si>
    <t xml:space="preserve">RECURSOS ASIGNADOS SEGÚN DECRETO 4950 DEL 2011 </t>
  </si>
  <si>
    <t xml:space="preserve">RECURSOS AJUSTADOS SEGÚN DECRETO 1243 DEL 2012 </t>
  </si>
  <si>
    <t xml:space="preserve">RECURSOS APROBADOS </t>
  </si>
  <si>
    <t>Monto neto para el Departamento del Quindio, en este decreto no se habian estipulado las asignaciones especificas de los Municipios</t>
  </si>
  <si>
    <t>80% RECURSO ASIGNADO VIGENCIA 2013-2014 (ley 1606)***</t>
  </si>
  <si>
    <t xml:space="preserve">PRESUPUESTO VIGENCIA 2013-2014 (LEY 1606 DEL 2012) </t>
  </si>
  <si>
    <t xml:space="preserve">20% RESTANTE RECURSOS ASIGNADOS VIGENCIA 2013-2014 </t>
  </si>
  <si>
    <t>RECURSOS DISPONIBLES PARA APROBACIÓN</t>
  </si>
  <si>
    <t>Codigo Bpin</t>
  </si>
  <si>
    <t>2013000040019</t>
  </si>
  <si>
    <t>2013000040036</t>
  </si>
  <si>
    <t>2013000040037</t>
  </si>
  <si>
    <t>2013000040051</t>
  </si>
  <si>
    <t>2013000040043</t>
  </si>
  <si>
    <t>2013000040049</t>
  </si>
  <si>
    <t>2013000040039</t>
  </si>
  <si>
    <t>2013000040048</t>
  </si>
  <si>
    <t>2013000040044</t>
  </si>
  <si>
    <t>2013000040050</t>
  </si>
  <si>
    <t>2013000040045</t>
  </si>
  <si>
    <t>2013000040042</t>
  </si>
  <si>
    <t>2013000040047</t>
  </si>
  <si>
    <t>2013000040046</t>
  </si>
  <si>
    <t>2013000100199</t>
  </si>
  <si>
    <t>2013000100226</t>
  </si>
  <si>
    <t xml:space="preserve">Aplicar procesos innovadores en la cadena de suministro de Guadua para la industria, que incremente la competitividad del sector en el Departamento del Quindio
</t>
  </si>
  <si>
    <t>Mejorar la capacidad de respuesta de la E.S.E Hospital Departamental Universitario del Quindío San Juan de Dios, mediante la modernización de la infraestructura física y equipamiento biomédico; para la disminución de la Morbimortalidad e incapacidades</t>
  </si>
  <si>
    <t>2012000040026</t>
  </si>
  <si>
    <t>2012000040027</t>
  </si>
  <si>
    <t>2012000040030</t>
  </si>
  <si>
    <t>2012000040031</t>
  </si>
  <si>
    <t>2012000040032</t>
  </si>
  <si>
    <t>Mejorar la red vial municipal está conformada por 1.640,73 Km. de vías que equivalen al 77.91 % del total de la malla vial del departamento; de ella 98.79 Km. (el 6.02%) esta pavimentada en buen estado; 141.13 Km. (el 8.60%) esta pavimentada en regu</t>
  </si>
  <si>
    <t>Educación</t>
  </si>
  <si>
    <t xml:space="preserve">Optimización redes de acueducto y alcantarillado que contribuyan a la optimización y modernización de las redes en el Departamento.
</t>
  </si>
  <si>
    <t>Turismo</t>
  </si>
  <si>
    <t>Rehabilitación, construcción muro contención de la vía rio Verde-Barragan-Genova en el Departamento del Quindio</t>
  </si>
  <si>
    <t>Mantenimiento y rehabilitación de 191 restaurantes escolares en el departamento del Quindio</t>
  </si>
  <si>
    <t xml:space="preserve">Mejoramiento de la competitividad turística del Departamento </t>
  </si>
  <si>
    <t>FCR 40%</t>
  </si>
  <si>
    <t>Empresa Sanitaria del Quindio (ESAQUIN)</t>
  </si>
  <si>
    <t>Promotora de vivienda y desarrollo del Quindio (PROVIQUINDIO)</t>
  </si>
  <si>
    <t xml:space="preserve">Concordancia Plan de Desarrollo Departamental y/o Municipal </t>
  </si>
  <si>
    <t xml:space="preserve">Población Beneficiada </t>
  </si>
  <si>
    <t xml:space="preserve">Intervenir las microcuencas, mejoramiento e intervención del espacio publico.
60.13 Hectares de microcuencas a intervenir
7.584 Mts de senderos a intervenir
11 Espacios publicos intervenidos 
</t>
  </si>
  <si>
    <t>Toda la población del Departamento del Quindio 555.836</t>
  </si>
  <si>
    <t xml:space="preserve">Toda la población del Departamento del Quindio 555.836, incluyendo el norte del valle y el sur de Risaralda </t>
  </si>
  <si>
    <t xml:space="preserve">Toda la población del Departamento del Quindio 555.836, incluyendo el Norte del Valle y el sur de Risaralda </t>
  </si>
  <si>
    <t>Toda la población del Departamento del Quindo 555.836</t>
  </si>
  <si>
    <t xml:space="preserve">En el departamento del Quindio se tiene estimado que existe una poblacion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
</t>
  </si>
  <si>
    <t xml:space="preserve">Todo el Departamento del Quindio </t>
  </si>
  <si>
    <t xml:space="preserve">Toda la población del Departamento del Quindio </t>
  </si>
  <si>
    <t>Población de los municipios de Circasia, Filandia, Quimbaya, Montenegro y la Tebaida 134.376 personas</t>
  </si>
  <si>
    <t xml:space="preserve">2359 personas de la zona rural del Departamento del Quindio </t>
  </si>
  <si>
    <t>3489 personas, ubicadas en el casco urbano de los municipios de Genova, Pijao, Cordoba y Buenavista</t>
  </si>
  <si>
    <t xml:space="preserve">Todo el Departamento del Quindio y el Norte del Valle </t>
  </si>
  <si>
    <t>382.413 Correspondientes a los Municipios de Armenia, Quimbaya y Calarca</t>
  </si>
  <si>
    <t>15.833 personas ubicadas en el corredor vial Carniceros - La Quiebra y la intersección de la vía Rio Verde - Pijao con la vía Buenavista - La Mina.</t>
  </si>
  <si>
    <t>Todo el Departamento del Quindio, en el sentido del mejoramiento de la transitabilidad de la zona coordillerana con el resto del Departamento</t>
  </si>
  <si>
    <t>46228 Estudiantes de las instituciones educatias del Departamento del Quindio</t>
  </si>
  <si>
    <t>Casco urbano de los Municipios de Genova y la Tebaida</t>
  </si>
  <si>
    <t>Todo el Departamento del Quindio</t>
  </si>
  <si>
    <t xml:space="preserve">NIVEL MUNICIPAL </t>
  </si>
  <si>
    <t>NIVEL DEPARTAMENTAL</t>
  </si>
  <si>
    <t>NIVEL NACIONAL</t>
  </si>
  <si>
    <t>POSITIVO</t>
  </si>
  <si>
    <t xml:space="preserve">POSITIVO </t>
  </si>
  <si>
    <t>UNIVERSIDADES (para el caso de FCTeI)</t>
  </si>
  <si>
    <t xml:space="preserve">NEGATIVO </t>
  </si>
  <si>
    <t>2013003630002</t>
  </si>
  <si>
    <t>2013003630015</t>
  </si>
  <si>
    <t>2013003630004</t>
  </si>
  <si>
    <t>2013003630012</t>
  </si>
  <si>
    <t>2013003630005</t>
  </si>
  <si>
    <t>Construcción de la cancha sintética e iluminación del estadio municipal</t>
  </si>
  <si>
    <t>2013003630010</t>
  </si>
  <si>
    <t>Remodelación urbana de la  plaza central del Municipio de Córdoba</t>
  </si>
  <si>
    <t>2013003630007</t>
  </si>
  <si>
    <t xml:space="preserve">Fortalecimiento y conservación del patrimonio arquitectónico e histórico de la casa de la cultura Horacio Gómez Aristizabal del Municipio de Córdoba en el Quindío </t>
  </si>
  <si>
    <t>2013003630013</t>
  </si>
  <si>
    <t>2013003630008</t>
  </si>
  <si>
    <t>Adecuación de la red vial urbana del municipio de Buenavista Q</t>
  </si>
  <si>
    <t>2013003630014</t>
  </si>
  <si>
    <t>Mejoramiento de la intersección  y adecuación de  la señalización  del municipio de Buenavista.</t>
  </si>
  <si>
    <t>2013003630011</t>
  </si>
  <si>
    <t>2013003630003</t>
  </si>
  <si>
    <t>2013003630017</t>
  </si>
  <si>
    <t>2013003630016</t>
  </si>
  <si>
    <t>Deporte y Recreación</t>
  </si>
  <si>
    <t xml:space="preserve">Vivienda y Desarrollo Urbano </t>
  </si>
  <si>
    <t xml:space="preserve">Restaurar y adecuar la Infraestructura física Institucional del CBA (Centro de Bienestar del adulto Mayor), Casa del artesano y Antigua cárcel del municipio de Filandia
</t>
  </si>
  <si>
    <t>Construir cancha sintética de microfútbol en el polideportivo panorama, ubicado en el municipio de Filandia, con el fin de dotar a la comunidad de unas instalaciones deportivas dignas para la practica del deporte.</t>
  </si>
  <si>
    <t xml:space="preserve">Mejorar el acceso vehicular y peatonal del sector urbano, mediante la intervención de 6,022 mts2 de vías en el municipio de Montenegro Quindío, 
</t>
  </si>
  <si>
    <t>Filandia</t>
  </si>
  <si>
    <t>Montenegro</t>
  </si>
  <si>
    <t>Salento</t>
  </si>
  <si>
    <t>Circasia</t>
  </si>
  <si>
    <t>Cordoba</t>
  </si>
  <si>
    <t>Remodelación y modernización urbana de la plaza principal del municipio de córdoba en el departamento del Quindío</t>
  </si>
  <si>
    <t>Pijao</t>
  </si>
  <si>
    <t xml:space="preserve">Mejorar las condiciones de la red vial urbana del municipio de Pijao Quindío, mediante la pavimentación de 1383 mts2 de vías
</t>
  </si>
  <si>
    <t>Facilitar la movilidad para la población de la zona urbana del Municipio, mediante el mejorando 140 mts de vías</t>
  </si>
  <si>
    <t>Buenavista</t>
  </si>
  <si>
    <t xml:space="preserve">Brindar mejores condiciones de transitabilidad  e información vial del Municipio, mediante la intervención de 925 mts2 de vías.
</t>
  </si>
  <si>
    <t>La Tebaida</t>
  </si>
  <si>
    <t>Quimbaya</t>
  </si>
  <si>
    <t xml:space="preserve">Mejorar  la vía urbana sobre la calle 13 entre la carrera 5 y la vía panamericana del Municipio de la Tebaida.
</t>
  </si>
  <si>
    <t xml:space="preserve">Implementación programa de reposición de 521 mts de redes de acueducto, alcantarillado 1045 mts de y  1677 mts de pavimentos en el Municipio de Quimbaya
</t>
  </si>
  <si>
    <t>Construir el estadio municipal, en un terreno de propiedad de la Gobernación del Quindío, ubicado en el municipio de Calarcá; con el fin de dotar a la comunidad de unas instalaciones deportivas dignas para la practica del deporte</t>
  </si>
  <si>
    <t>Calarca</t>
  </si>
  <si>
    <t xml:space="preserve"> Municipio de Filandia </t>
  </si>
  <si>
    <t xml:space="preserve"> Promotora de vivienda y desarrollo del Quindío </t>
  </si>
  <si>
    <t xml:space="preserve"> Promotora de vivienda y desarrollo del Quindío  </t>
  </si>
  <si>
    <t xml:space="preserve"> Municipio de Córdoba </t>
  </si>
  <si>
    <t xml:space="preserve"> Municipio de Buenavista </t>
  </si>
  <si>
    <t xml:space="preserve"> Empresa sanitaria del Quindío </t>
  </si>
  <si>
    <t xml:space="preserve"> Promotora de vivienda Desarrollo del Quindío </t>
  </si>
  <si>
    <t xml:space="preserve"> Promotora de vivienda Desarrollo del Quindío. </t>
  </si>
  <si>
    <t>2012003630004</t>
  </si>
  <si>
    <t xml:space="preserve">Rehabilitación de 3,3 kms de vias urbanas en el Municipio de Montenegro </t>
  </si>
  <si>
    <t>2012003630002</t>
  </si>
  <si>
    <t>Ampliar y adecuar la sede administrativa de la Alcaldia de Cordoba 252 mts2</t>
  </si>
  <si>
    <t>2012003630001</t>
  </si>
  <si>
    <t xml:space="preserve">Rehabilitación de 4,4 kms de la via  la Cabaña en el Municipio de Buenavista </t>
  </si>
  <si>
    <t>2012003630005</t>
  </si>
  <si>
    <t xml:space="preserve">Rehabilitación de 1924 mts2 de vias urbanas en el Municipio de Filandia  </t>
  </si>
  <si>
    <t>2012003630003</t>
  </si>
  <si>
    <t>Construcción de 590mts2 de andenes y rampas en el Municipio de Cordoba</t>
  </si>
  <si>
    <t>2013003630001</t>
  </si>
  <si>
    <t xml:space="preserve">Rehabilitación de 1 km de la via Pijao- Puente Tabla  </t>
  </si>
  <si>
    <t>Infraestructura Publica</t>
  </si>
  <si>
    <t>RECURSOS DE VIGENCIAS FUTURAS AUTORIZADAS</t>
  </si>
  <si>
    <t>13310 Personas, Habitantes del Municipio de Filandia</t>
  </si>
  <si>
    <t>7129 Personas, Habitantes del Municipio de Salento</t>
  </si>
  <si>
    <t>29393 Personas, Habitantes del Muncipio de Circasia</t>
  </si>
  <si>
    <t>5374 Personas, Habitante de la zona Urbana y Rural del Municipio de Cordoba</t>
  </si>
  <si>
    <t xml:space="preserve">3785 Personas, Habitantes del Municipio de Pijao </t>
  </si>
  <si>
    <t>3086 personas, Habitantes del area urbana y rural del Municipio de Buenavista</t>
  </si>
  <si>
    <t xml:space="preserve">2500 Personas, Habitantes del casco Urbano del Municipio de la Tebaida </t>
  </si>
  <si>
    <t xml:space="preserve">750 personas, Habitantes del casco urbanoy los barrios Villa laura y Cincuentenario del Municipio de Quimbaya </t>
  </si>
  <si>
    <t>24625 Personas, Habitantes de la zona urbana del Municipio de Quimbaya</t>
  </si>
  <si>
    <t>73000 personas, Habitantes del Casco Urbano del Municipio de Calarca</t>
  </si>
  <si>
    <t xml:space="preserve">40871 personas, Habitantes del area Urbana del Municipio de Montenegro </t>
  </si>
  <si>
    <t>5328 personas, Habitantes del casco urbano del Municipio de Cordoba</t>
  </si>
  <si>
    <t>2013-2014</t>
  </si>
  <si>
    <t>Beneficiario</t>
  </si>
  <si>
    <t>Alcaldía de Buenavista (Quindio)</t>
  </si>
  <si>
    <t>Alcaldía de Calarca (Quindio)</t>
  </si>
  <si>
    <t>Alcaldía de Circasia (Quindio)</t>
  </si>
  <si>
    <t>Alcaldía de Córdoba (Quindio)</t>
  </si>
  <si>
    <t>Alcaldía de Filandia (Quindio)</t>
  </si>
  <si>
    <t>Alcaldía de Génova (Quindio)</t>
  </si>
  <si>
    <t>Alcaldía de La Tebaida (Quindio)</t>
  </si>
  <si>
    <t>Alcaldía de Montenegro (Quindio)</t>
  </si>
  <si>
    <t>Alcaldía de Pijao (Quindio)</t>
  </si>
  <si>
    <t>Alcaldía de Quimbaya (Quindio)</t>
  </si>
  <si>
    <t>Alcaldía de Salento (Quindio)</t>
  </si>
  <si>
    <t xml:space="preserve">RECURSOS DISPONIBLES EN CAJA </t>
  </si>
  <si>
    <t>fecha de aprobación</t>
  </si>
  <si>
    <t>12 sep de 2013</t>
  </si>
  <si>
    <t>31 oct de 2013</t>
  </si>
  <si>
    <t>18 de oct del 2013</t>
  </si>
  <si>
    <t>23 de Ago del 2013</t>
  </si>
  <si>
    <t>22 de Sep del 2013</t>
  </si>
  <si>
    <t>19 de Dic del 2012</t>
  </si>
  <si>
    <t>23 de Abril del 2013</t>
  </si>
  <si>
    <t xml:space="preserve">TOTAL </t>
  </si>
  <si>
    <t>16 de Dic del 2012</t>
  </si>
  <si>
    <t>17 de Dic del 2012</t>
  </si>
  <si>
    <t>18 de Dic del 2012</t>
  </si>
  <si>
    <t xml:space="preserve">PRESUPUESTO MUNICIPIOS OCAD DEPARTAMENTAL QUINDIO </t>
  </si>
  <si>
    <t>Giros realizados</t>
  </si>
  <si>
    <t>2013000040052</t>
  </si>
  <si>
    <t>Sector</t>
  </si>
  <si>
    <t>Total</t>
  </si>
  <si>
    <t>% Participación</t>
  </si>
  <si>
    <t xml:space="preserve">Medio Ambiente y Riesgo </t>
  </si>
  <si>
    <t>Tics</t>
  </si>
  <si>
    <t>Gas Domiciliario</t>
  </si>
  <si>
    <t xml:space="preserve">CTeI </t>
  </si>
  <si>
    <t xml:space="preserve">Educación </t>
  </si>
  <si>
    <t xml:space="preserve">Sanemiento Basico </t>
  </si>
  <si>
    <t xml:space="preserve">Turismo </t>
  </si>
  <si>
    <t>% de Aprobación</t>
  </si>
  <si>
    <t>RECURSOS APROBADOS VIGENCIA 2012</t>
  </si>
  <si>
    <t>RECURSOS APROBADOS VIGENCIA 2013-2014</t>
  </si>
  <si>
    <t>RECURSOS DISPONIBLES VIGENCIA 2013-2014</t>
  </si>
  <si>
    <t xml:space="preserve">RECURSOS DISPONIBLES VIGENCIA 2012 </t>
  </si>
  <si>
    <t xml:space="preserve">GIROS REALIZADOS </t>
  </si>
  <si>
    <t>2013003630018</t>
  </si>
  <si>
    <t xml:space="preserve">Construcción de muro de contención prefabricado, para la protección de taludes en zona de patios de la urbanización villa-Alejandría  - villa teresa – villa luz y san diego 1 etapa, ubicados en el casco urbano del municipio de Córdoba.   </t>
  </si>
  <si>
    <t>Genova</t>
  </si>
  <si>
    <t>Construcción de muro de contención prefabricado, para la protección de taludes en zona de patios de la urbanización villa Alejandría- villa teresa - villa luz y san diego 1 etapa ubicado en el casco urbano del municipio de córdoba</t>
  </si>
  <si>
    <t>Mejorar las condiciones habitacionales a 25 familias de las más vulnerables del municipio de Genova, mediante la construcción de la Urbanización los Tejares</t>
  </si>
  <si>
    <t>25 Familias del Municipio de Genova</t>
  </si>
  <si>
    <t xml:space="preserve">85 Familais del Municipio de Cordoba </t>
  </si>
  <si>
    <t>Municipio de Cordoba</t>
  </si>
  <si>
    <t>6 de Dic del 2013</t>
  </si>
  <si>
    <t>7 de Dic del 2013</t>
  </si>
  <si>
    <t>Oras Fuentes</t>
  </si>
  <si>
    <t>Recursos de Vigencias Futuras Comprometidos</t>
  </si>
  <si>
    <t>GIROS REALIZADOS AL DEPARTAMENTO Vigencia 2013-2014</t>
  </si>
  <si>
    <t>2013000100263</t>
  </si>
  <si>
    <t>Programa: Estructura y movilidad.</t>
  </si>
  <si>
    <t>Programa: Infraestructura pública y equipamiento para el desarrollo social y economico</t>
  </si>
  <si>
    <t>Programa: Infraestructura para el desarrollo</t>
  </si>
  <si>
    <t>Programa: Mejoramiento de la Infraestructura vial urbana y rural del Municipio</t>
  </si>
  <si>
    <t>Programa: Recuperación mantenimiento y construcción de infraestructura vial</t>
  </si>
  <si>
    <t>Programa: Rehabilitacion red vial municipal.</t>
  </si>
  <si>
    <t>Programa: Mejoramiento de la Infraestructura fisica</t>
  </si>
  <si>
    <t>Programa:Mejoramiento de la Infraestructura fisica deportiva y recreativa</t>
  </si>
  <si>
    <t>. En equipo construimos infraestructura y movilidad.</t>
  </si>
  <si>
    <t xml:space="preserve"> Programa: Infraestructura vial.</t>
  </si>
  <si>
    <t xml:space="preserve">Programa: atributos urbanos. Subprograma: Equipamientos amigos </t>
  </si>
  <si>
    <t>Programa. Servicios Públicos Domiciliarios e Infraestructura para el Desarrollo Social y Económico. Subprograma. Infraestructura pública y equipamiento 
para el desarrollo social y económico</t>
  </si>
  <si>
    <t>Programa:          " Cordoba Renace para Todos"</t>
  </si>
  <si>
    <t>Programa:     vias con calidad</t>
  </si>
  <si>
    <t>Programa: Adecuacion y Mantenimiento de la Red vial Urbana</t>
  </si>
  <si>
    <t xml:space="preserve">Programa: Mejorar la seguridad vial a traves de la señalizacion y reordenamiento del transito
</t>
  </si>
  <si>
    <t>Programa: Infraestructura Vial</t>
  </si>
  <si>
    <t xml:space="preserve">Programa: Meta 50 Construir y reponer redes de alcantarillado y pozos septicos </t>
  </si>
  <si>
    <t xml:space="preserve">programa:   “vías y transporte para el desarrollo físico y social”
</t>
  </si>
  <si>
    <t>Programa:  “Empoderamiento del equipamiento colectivo del municipio”</t>
  </si>
  <si>
    <t xml:space="preserve">Asociación de curtidores la maria </t>
  </si>
  <si>
    <t>2 de Noviembre del 2012</t>
  </si>
  <si>
    <t xml:space="preserve">Desarrollar capacidades técnico cientifícas y de innovación para el Desarrollo Sostenible del sector de curtiembres de la María en el Departamento del Quindío. Descontaminación ambiental y desaollo de modelo socioempresarial </t>
  </si>
  <si>
    <t xml:space="preserve">20 de Feb del 2014 </t>
  </si>
  <si>
    <t>TOTAL RECURSOS DISPONIBLES PARA EL DEPARTAMENTO VIGENCIA 2012-2014</t>
  </si>
  <si>
    <t>TOTAL RECURSOS APROBADOS PARA EL DEPARTAMENTO VIGENCIA2012-2014</t>
  </si>
  <si>
    <t xml:space="preserve">Recursos Girados </t>
  </si>
  <si>
    <t>Giros por Solicitar</t>
  </si>
  <si>
    <t>2013000100258</t>
  </si>
  <si>
    <t>30 de mayo del 2014</t>
  </si>
  <si>
    <t>OCAD que lo aprobó</t>
  </si>
  <si>
    <t xml:space="preserve">OCAD Regional Eje Cafetero y Antioquia </t>
  </si>
  <si>
    <t>OCAD Ciencia Tecnologia e Innovación</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</si>
  <si>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</si>
  <si>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Todo el Departamento del Quindio 555.836</t>
  </si>
  <si>
    <t xml:space="preserve">RECURSOS NO COMPROMETIDOS </t>
  </si>
  <si>
    <t>TOTAL RECURSOS PARA APROBACIÓN DE PROYECTOS 2014-2015 INCLUYENDO CTEI</t>
  </si>
  <si>
    <t>TOTAL RECURSOS PARA APROBACIÓN DE PROYECTOS 2014-2015 SIN CTEI</t>
  </si>
  <si>
    <t>2015-2016</t>
  </si>
  <si>
    <t>Recursos de Vigencias Futuras Comprometidos (50% vigencia 2015)</t>
  </si>
  <si>
    <t>RECURSOS ASIGNARSE 2015</t>
  </si>
  <si>
    <t xml:space="preserve">RECURSOS DISPONIBLES 2015* </t>
  </si>
  <si>
    <t>RECURSOS ASIGNARSE 2016</t>
  </si>
  <si>
    <t>RECURSOS ASIGNARSE BIENIO 2015-2016**</t>
  </si>
  <si>
    <t>80% Recursos Asignarse bienio 2015-2016</t>
  </si>
  <si>
    <t xml:space="preserve">* se realiza la resta del total de recursos asignarse seún la proyección del Ministerio de hacienda menos los recursos ya comprometidos en la 2014 por concepto de vigencias futuras </t>
  </si>
  <si>
    <t xml:space="preserve">**Proyección de recursos asignarse para el Departamento del Quindio para la vigencia 2015-2016, incluye el mayor recaudo efectuado de la vigencia 2012 </t>
  </si>
  <si>
    <t>RELACIÓN DE PROYECTOS A PRESENTARSE A OCAD REGIONAL EJE CAFETERO Y ANTIOQUIA</t>
  </si>
  <si>
    <t xml:space="preserve">Codigo bpin </t>
  </si>
  <si>
    <t xml:space="preserve">Proyecto </t>
  </si>
  <si>
    <t>2015-2016 (Vigencias futuras)</t>
  </si>
  <si>
    <t xml:space="preserve">Estado para ser presentado ante el OCAD  </t>
  </si>
  <si>
    <t xml:space="preserve">YA ESTA RADICADO EN PLANEACIÓN </t>
  </si>
  <si>
    <t>YA ESTA COMPLETO PARA ENVAR A SEC TECNICA</t>
  </si>
  <si>
    <t xml:space="preserve">Sec tecnica ya envió observaciones </t>
  </si>
  <si>
    <t xml:space="preserve">Ya se dio respuesta a las observaciones de la se tecnica </t>
  </si>
  <si>
    <t xml:space="preserve">YA CUENTA CON REVISIÓN DEL DNP </t>
  </si>
  <si>
    <t>Observaciones</t>
  </si>
  <si>
    <t>Orden MESA TECNICA (PREOCAD)</t>
  </si>
  <si>
    <t>Numero de personas encargadas del proyecto</t>
  </si>
  <si>
    <t>2014000040011</t>
  </si>
  <si>
    <t xml:space="preserve">Rehabilitación de la malla vial urbana del Departamento del Quindio </t>
  </si>
  <si>
    <t>SOLO PARA VIABILIZAR (cuando aprueben el presupuesto el 2015-2016 se aprueba)</t>
  </si>
  <si>
    <t xml:space="preserve">Promotora </t>
  </si>
  <si>
    <t>SI</t>
  </si>
  <si>
    <t xml:space="preserve">SI </t>
  </si>
  <si>
    <t>4 (11:30 AM)</t>
  </si>
  <si>
    <t>2014000040002</t>
  </si>
  <si>
    <t>Reposición y optimización redes de acueducto, alcantarillado y pavimentos en el departamento del</t>
  </si>
  <si>
    <t xml:space="preserve">Saneamiento basico </t>
  </si>
  <si>
    <t xml:space="preserve">Vaibilizado, priorizado y aprobado </t>
  </si>
  <si>
    <t>Empresa Sanitaria del Quindio</t>
  </si>
  <si>
    <t xml:space="preserve">SI, Aunque presenta varias observaciones </t>
  </si>
  <si>
    <t>Este proyecto se ejecutará en su totalidad este año (2014) por esta razón se financia con los recursos del 2014 para que tenga la disponibildiad de caja necesaria</t>
  </si>
  <si>
    <t>1  (8:00 AM)</t>
  </si>
  <si>
    <t xml:space="preserve">Mejoramiento de vivienda urbana y rural </t>
  </si>
  <si>
    <t xml:space="preserve">Vivenda </t>
  </si>
  <si>
    <t xml:space="preserve">NO </t>
  </si>
  <si>
    <t>2014000040006</t>
  </si>
  <si>
    <t xml:space="preserve">Adecuación dela casa dela cultura de Calarcá y centro Cultural del municipio de Quimbaya Quindío
</t>
  </si>
  <si>
    <t xml:space="preserve">Cultura </t>
  </si>
  <si>
    <t xml:space="preserve">No, en proceso de revisión </t>
  </si>
  <si>
    <t>Este proyecto se ejecuctra un porcentaje (30%) para la vigencia 2014 y el resto para el 2015 (el plazo de ejecución son 8 meses)</t>
  </si>
  <si>
    <t xml:space="preserve">3 (10.30 am) </t>
  </si>
  <si>
    <t xml:space="preserve">3 (los mismos del proyecto de rehabilitación de la malla vial) </t>
  </si>
  <si>
    <t>2014000040003</t>
  </si>
  <si>
    <t>Mantenimiento y  mejoramiento de la red vial secundaria y terciaria y de los equipamentos colectivos del Departamento del Quindio</t>
  </si>
  <si>
    <t>Gobernación del Quindio</t>
  </si>
  <si>
    <t xml:space="preserve">Ya cuenta con observaciones por parte de la Secretaria Tecnica, EN PROCESO DE REVISIÓN POR PARTE DEL DN P </t>
  </si>
  <si>
    <t>Este proyecto requiere de disponibildiad de caja para el 2014 y el resto de ejecución para el 2015, teniendo en cuenta que tiene un plazo de ejecución de 12 meses</t>
  </si>
  <si>
    <t>6 (2:00 PM)</t>
  </si>
  <si>
    <t xml:space="preserve">Centro desarrollo paralimpico </t>
  </si>
  <si>
    <t xml:space="preserve">Deporte y recreación </t>
  </si>
  <si>
    <t>2014000040005</t>
  </si>
  <si>
    <t>Mejoramiento y rehabilitación de la vía Filandia la India codigo 29QN02 tercera fase, Municipio de Filandia, Departamento del Quindio</t>
  </si>
  <si>
    <t xml:space="preserve">Viabilizado priorizado y aprobado </t>
  </si>
  <si>
    <t>7(3:00PM)</t>
  </si>
  <si>
    <t>Seguridad alimentaria VIGENCIAS FUTURAS</t>
  </si>
  <si>
    <t xml:space="preserve">Agrilcultura </t>
  </si>
  <si>
    <t>2014000040004</t>
  </si>
  <si>
    <t>Apoyo y fortalecimiento para el desarrollo, formación y posicionamiento en alto rendimiento del deporte en el departamento del Quindío</t>
  </si>
  <si>
    <t>Deporte y recreación</t>
  </si>
  <si>
    <t xml:space="preserve">Viabilizados </t>
  </si>
  <si>
    <t>En proceso de revisón por parte del DNP</t>
  </si>
  <si>
    <t xml:space="preserve">Este proyecto ejecutará un % en el 2014 y otro % para el 2015 </t>
  </si>
  <si>
    <t>2 (9:30 AM)</t>
  </si>
  <si>
    <t>2014000040008</t>
  </si>
  <si>
    <t> Mejoramiento de la red vial terciaria del Departamento del Quindio a traves de la construccion de Placas-Huellas tipo Invias en cada uno de los Municipios del Departamento del Quindio</t>
  </si>
  <si>
    <t>En proceso de reviisón por parte del DNP</t>
  </si>
  <si>
    <t xml:space="preserve">8 (4:00 PM) </t>
  </si>
  <si>
    <t>2014000040009</t>
  </si>
  <si>
    <t>9 (5:00 pm)</t>
  </si>
  <si>
    <t>2014000040007</t>
  </si>
  <si>
    <t>Mejoramiento y reparcheo de la red vial secundaria y terciaria en el Departamento del Quindio</t>
  </si>
  <si>
    <t>10 (6:00 PM)</t>
  </si>
  <si>
    <t xml:space="preserve">agroemprezarización(ESTE AÑO) </t>
  </si>
  <si>
    <t xml:space="preserve">Gobernación (agricultura) </t>
  </si>
  <si>
    <t xml:space="preserve">Este proyecto ejecuta´ra un % en el 2014 y otro % para el 2015 </t>
  </si>
  <si>
    <t>plantas (VIGENCIAS FUTURAS)</t>
  </si>
  <si>
    <t>Esaquin</t>
  </si>
  <si>
    <t>201300040052 AJUSTE</t>
  </si>
  <si>
    <t>Mejoramiento red vial urbana 201300040052</t>
  </si>
  <si>
    <t xml:space="preserve">Tranporte </t>
  </si>
  <si>
    <t xml:space="preserve">AJUSTE DEL PROYECTO YA APROBADO </t>
  </si>
  <si>
    <t>NO</t>
  </si>
  <si>
    <t>AJUSTE</t>
  </si>
  <si>
    <t>5 (12:00M)</t>
  </si>
  <si>
    <t xml:space="preserve">TOTAL PROYECTOS </t>
  </si>
  <si>
    <t xml:space="preserve">RECURSO DISPONIBLE 20% Y VIGENCIAS FUTURAS (FDR Y FCR 60%) </t>
  </si>
  <si>
    <t xml:space="preserve">TOTAL SALDO POR COMPROMETER 20% Y VIGENCIAS FUTURAS (FDR Y FCR 60%) </t>
  </si>
  <si>
    <t>PROYECCIÓN DE RECURSOS BIENIO 215-2016</t>
  </si>
  <si>
    <t xml:space="preserve">DISPONIBLE </t>
  </si>
  <si>
    <t>Recursos Disponibles para aprobación 20% y VF OCAD Regional</t>
  </si>
  <si>
    <t xml:space="preserve">20% RESTANTE RECURSOS ASIGNADOS VIGENCIA 2013-2014 Comprometidos  </t>
  </si>
  <si>
    <t>Recursos no comprometidos Vigencia 2013-14</t>
  </si>
  <si>
    <t xml:space="preserve">Recursos Disponibles 2014 </t>
  </si>
  <si>
    <t>2013000100254</t>
  </si>
  <si>
    <t>Realizar la platación de 150 Hectáreas de reconversión de sistema productivo
Mejora el uso yapropiacón tecnológica que permita e desarollo deactivdaes productivas ambientalment sotenibles en áreas protegidas caso Distro deConservación desuelo Barbas bremen</t>
  </si>
  <si>
    <t xml:space="preserve">Municipios de Circasia y Filandia </t>
  </si>
  <si>
    <t>5 de agosto del 2014</t>
  </si>
  <si>
    <t>Construcción puente vehicular sobre el rio santo domingo,  municipio de calarcá departamento  del Quindío.</t>
  </si>
  <si>
    <t>Numero de proyectos aprobados</t>
  </si>
  <si>
    <t xml:space="preserve">Mejorar las condiciones de las redes de acueducto, alcantarillado y pavimentos, mediante la optimización en tubería del alcantarillado, acueducto y colocación de pavimentos rígidos con el fin de dar bienestar a la comunidad.
3036 mt de reposición de alcantarillado
1369 mt de reposición de acueducto
2787 mt de pavimentos </t>
  </si>
  <si>
    <t>Municipios de Buenavista, Circasia, Filandia,  Genova, la Tebaida, Montenegro,  Pijao y Quimbaya</t>
  </si>
  <si>
    <t>15 Sep de 2014</t>
  </si>
  <si>
    <t xml:space="preserve">Rehabiltar ls condicones dela mal vial urban delos municpios del departmento del Quindo.
37547 mts2 de vias rehabilitadas en pavemento rigido </t>
  </si>
  <si>
    <t xml:space="preserve">11 Municipios del Departamento </t>
  </si>
  <si>
    <t>FDR VF</t>
  </si>
  <si>
    <t>FCR 60% VF</t>
  </si>
  <si>
    <t xml:space="preserve">Calarca y Quimbaya </t>
  </si>
  <si>
    <t>Fortalecr lainstiucionalida cultral enl Departmento, mediante ladecuación ydotación dela csa dela cultra de Calarcá yel Centro Cultral del Municpio de Quimbaya Quindío, para propicar el desarrollo humano y cultural de la población.
Area Adecuada casa cultura calarca: 850m2
Area adecuada y mejorada centro cultural Quimbaya: 1.802 m2</t>
  </si>
  <si>
    <t xml:space="preserve">Mejorar y apoyar el desarrollo formativo y competitivo del deporte en el Departamento del Quindio
1. Crear un sistema de información deportiva.
2. Apoyar 1800 deportistas pertenecientes a las escuelas de fomración.
3. 14000 Niños y niñas apoyados con el deporte escolar.
4. 4045 deportistas de ligas apoyados </t>
  </si>
  <si>
    <t xml:space="preserve">Todo el Departamento </t>
  </si>
  <si>
    <t>INDEPORTES</t>
  </si>
  <si>
    <t xml:space="preserve">Numero de proyectos </t>
  </si>
  <si>
    <t>TOTAL RECURSOS DISPONIBLES PARA EL DEPARTAMENTO VIGENCIA 2012-2014 + vf 2015</t>
  </si>
  <si>
    <t>RECURSOS NO COMPROMETIDOS VIGENCIA 2012-2014 + VF 2015</t>
  </si>
  <si>
    <t>GIROS REALIZADOS AL DEPARTAMENTO Vigencia 2012-2014</t>
  </si>
  <si>
    <t xml:space="preserve">Alcaldía de Buenavista </t>
  </si>
  <si>
    <t>Alcaldía de Calarca*</t>
  </si>
  <si>
    <t>Alcaldía de Circasia*</t>
  </si>
  <si>
    <t>Alcaldía de Córdoba</t>
  </si>
  <si>
    <t xml:space="preserve">Alcaldía de Filandia </t>
  </si>
  <si>
    <t>Alcaldía de Génova*</t>
  </si>
  <si>
    <t>Alcaldía de La Tebaida *</t>
  </si>
  <si>
    <t>Alcaldía de Montenegro</t>
  </si>
  <si>
    <t>Alcaldía de Pijao</t>
  </si>
  <si>
    <t>Alcaldía de Quimbaya*</t>
  </si>
  <si>
    <t>Alcaldía de Salento*</t>
  </si>
  <si>
    <t xml:space="preserve">Recursos disponibles Vigencias futuras </t>
  </si>
  <si>
    <t>50% de Apropiación presupuestal aprobada*</t>
  </si>
  <si>
    <t>Recursos disponibles y autorizados para aprobar 2015</t>
  </si>
  <si>
    <t>2013003630009</t>
  </si>
  <si>
    <t>RECURSO ASIGNADOS</t>
  </si>
  <si>
    <t xml:space="preserve">RECURSOS GIRADOS </t>
  </si>
  <si>
    <t xml:space="preserve">RECURSOS COMPROMETIDOS </t>
  </si>
  <si>
    <t>RECURSOS FORTALECIMIENTO</t>
  </si>
  <si>
    <t>SEC. TECNICA (Res 1730, 639)</t>
  </si>
  <si>
    <t>SMSCE (Res 1790)</t>
  </si>
  <si>
    <t>Apoyo juridico (Res 1083)</t>
  </si>
  <si>
    <t>RECURSOS POR COMPROMETER</t>
  </si>
  <si>
    <t xml:space="preserve">RECURSOS PAGADOS </t>
  </si>
  <si>
    <t>Mejoramiento , reparcheo de la red vial secundaria y vías urbanas de los municipios del departamento del quindio.</t>
  </si>
  <si>
    <t>Articulo 33 de la ley 1744 del Dic del 2014 "POR LA CUAL SE DECRETA EL PRESUPUESTO DEL SISTEMA GENERAL DE REGALÍAS PARA EL BIENIO DEL 1 DE ENERO DE 2015 AL 31 DE DICIEMBRE DE 2016" Durante el año 2015, los Órganos Colegiados de Administración y Decisión podrán aprobar proyectos hasta por el 50% de la apropiación de la vigencia 2015-2016 que les corresponda.</t>
  </si>
  <si>
    <t>2015000040003</t>
  </si>
  <si>
    <t>Justicia y seguridad</t>
  </si>
  <si>
    <t xml:space="preserve">Fortalecer la capacidad de respuesta de la Policía Nacional en el Departamento del Quindío para la prevención y reacción oportuna ante los actos delictivos que se presenten en el territorio, a través de la adquisición de equipamento de movilidad.
1. Dotación de (6) camionetas 
2. Diez (10)moto no uniformadas 
3. Cinco (5) Motocicletas uniformadas de alto cilindraje.
4. Un (1) CAI movil </t>
  </si>
  <si>
    <t>5 Marzo del 2015</t>
  </si>
  <si>
    <t>Realizar el mejoramiento, reparcheo de 8220 mts2 de vias secundarias y terciarias en el Departamento del Quindío</t>
  </si>
  <si>
    <t xml:space="preserve">Seguridad y justicia </t>
  </si>
  <si>
    <t>RECURSOS ASIGNADOS VIGENCIA 2012</t>
  </si>
  <si>
    <t xml:space="preserve">RECURSOS ASIGNADOS VIGENCIA 2013-2014 </t>
  </si>
  <si>
    <t>RECURSOS ASIGNADOS VIGENCIA 2015-2016</t>
  </si>
  <si>
    <t>RECURSOS APROBADOS VIGENCIA 2015-2016</t>
  </si>
  <si>
    <t>RECURSOS NO COMPROMETIDOS VIGENCIA 2012</t>
  </si>
  <si>
    <t>SALDOS NO COMPROMETIDOS VIGENCIA 2013-2014</t>
  </si>
  <si>
    <t xml:space="preserve">COLECTORES </t>
  </si>
  <si>
    <t>SALDO PARA APROBACIÓN VIGENCIA 2015-2016</t>
  </si>
  <si>
    <t>TOTAL RECURSOS ASIGNADOS SGR 2012-2016</t>
  </si>
  <si>
    <t>TOTAL RECURSOS APROBADOS VIGENCIA 2012-2016</t>
  </si>
  <si>
    <t>GIROS REALIZADOS 2012-2016</t>
  </si>
  <si>
    <t>RECURSOS ASIGNADOS VIGENCIA 2013-2014</t>
  </si>
  <si>
    <t>ESTADO</t>
  </si>
  <si>
    <t>TERMINADO</t>
  </si>
  <si>
    <t>EN EJECUCIÓN</t>
  </si>
  <si>
    <t>EN PROCESO DE CONTRATACIÓN</t>
  </si>
  <si>
    <t>GIROS REALIZADOS AL DEPARTAMENTO</t>
  </si>
  <si>
    <t xml:space="preserve">ESTADO DE LOS PROYECTOS </t>
  </si>
  <si>
    <t xml:space="preserve">NUMERO </t>
  </si>
  <si>
    <t>SIN CONTRATAR</t>
  </si>
  <si>
    <t xml:space="preserve">TERMINADO </t>
  </si>
  <si>
    <t>TOTAL PROYECTOS APROBADOS DEPARTAMENTO DEL QUINDÍO</t>
  </si>
  <si>
    <t>ppto incluyendo aplazamiento 30%</t>
  </si>
  <si>
    <t xml:space="preserve">RECURSOS ASIGNADOS
DECRETO 1243 DEL 2012 </t>
  </si>
  <si>
    <t>RECURSOS RECAUDOS Y EFECTIVOS</t>
  </si>
  <si>
    <t xml:space="preserve">CIFRAS CIERRE PRESUPUESTAL </t>
  </si>
  <si>
    <t xml:space="preserve">DIFERENCIA PPTO Y CIFRAS CIERRE </t>
  </si>
  <si>
    <t xml:space="preserve">50% APROBACIÓN </t>
  </si>
  <si>
    <t>RECURSOS MENOS APLAZAMIENTO 30%</t>
  </si>
  <si>
    <t xml:space="preserve">RECURSOS EFECTIVOS 2012, 2013 Y 2014 </t>
  </si>
  <si>
    <t xml:space="preserve">SALDOS </t>
  </si>
  <si>
    <t xml:space="preserve">PPTO 2015-2016 </t>
  </si>
  <si>
    <t xml:space="preserve">CUPO CON APLAZAMIENTO 30% </t>
  </si>
  <si>
    <t xml:space="preserve">SALDO DISPONIBLE CON APLAZAMIENTO </t>
  </si>
  <si>
    <t>SALDO DESPUES DE APROBACIONES</t>
  </si>
  <si>
    <t xml:space="preserve">SALDO DISPONIBLE </t>
  </si>
  <si>
    <t xml:space="preserve">DIFERENCIA PPTO VS RECAUDO </t>
  </si>
  <si>
    <t>SALDO DESPUES DE APROBACIÓN 2015</t>
  </si>
  <si>
    <t>SALDO TOTAL (menos menor recaudo 2014 + mayor recaudo 2012)</t>
  </si>
  <si>
    <t>Asignaciones específicas
Ley 1744</t>
  </si>
  <si>
    <t>Recursos Girados vigencia 2012, 2014-2014</t>
  </si>
  <si>
    <t>Recursos aprobados vigencia 2012, 2013-2014</t>
  </si>
  <si>
    <t xml:space="preserve">% Recaudo Efectivo </t>
  </si>
  <si>
    <t>Recursos asignados vigencia 2012, 2013 - 2014</t>
  </si>
  <si>
    <t>Cifra pendientes por apropiar 2012 (mayor recaudo)</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</si>
  <si>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</si>
  <si>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Construir 8 salones comunales y mejorar 5  salones sociales en el departamento del quindio.</t>
  </si>
  <si>
    <t>RECURSOS REGALIAS PARA EL 2016</t>
  </si>
  <si>
    <t>RECURSOS PARA EL 2015-2016</t>
  </si>
  <si>
    <t>Valor VIABILIZADO por el  SGR</t>
  </si>
  <si>
    <t>2015000040006</t>
  </si>
  <si>
    <t>2015000040001</t>
  </si>
  <si>
    <t>2015000040010</t>
  </si>
  <si>
    <t>Justicia</t>
  </si>
  <si>
    <t xml:space="preserve">DESAPROBADOS </t>
  </si>
  <si>
    <t xml:space="preserve">VIABILIZADO MEDIANTE ACUERDO 012 DEL 15 DE SEPTIEMBRE DEL 2014 </t>
  </si>
  <si>
    <t xml:space="preserve">EN TRAMITE </t>
  </si>
  <si>
    <t>EN TRAMITE PARA VIABILIZACIÓN O APROBACIÓN</t>
  </si>
  <si>
    <t xml:space="preserve">PROYECTO APROBADOS FNR </t>
  </si>
  <si>
    <t>SALDO VIGENCIA 2015 DESPUES DE MAYORE Y MENORES RECAUDOS V 2012, 2013-2014</t>
  </si>
  <si>
    <t>RECURSOS APROBADOS VIGENCIA 2015</t>
  </si>
  <si>
    <t>50% PRESUPUESTO DISPONIBLE</t>
  </si>
  <si>
    <t xml:space="preserve">PPTO SGR 2015-2016 + MAYOR RECAUDO </t>
  </si>
  <si>
    <t>PPTO DESPUES DE APLAZAMIENTO 2015-2016</t>
  </si>
  <si>
    <t xml:space="preserve">PRESUPUESTO AJUSTADO (PPTO 15-16 + DISP INICIAL + MAYOR RECAUDO) INFORMATIVO </t>
  </si>
  <si>
    <t>PPTO SGR 2015-2016</t>
  </si>
  <si>
    <t>DISPONBILIDAD INICIAL SGR 2015-2016</t>
  </si>
  <si>
    <t>MAYOR RECAUDO 2012 A INCORPORAR</t>
  </si>
  <si>
    <t xml:space="preserve">DIFERENCIA ENTRE RECAUDO Y APROBACIÓN </t>
  </si>
  <si>
    <t xml:space="preserve">RECAUDO EFECTIVO </t>
  </si>
  <si>
    <t>RECAUDO EFECTIVO 2012</t>
  </si>
  <si>
    <t>OCAD DEPARTAMENTAL QUINDÍO</t>
  </si>
  <si>
    <t>Departamento del Quindío</t>
  </si>
  <si>
    <t>Entidad beneficiaria (dueña recursos)</t>
  </si>
  <si>
    <t xml:space="preserve">Numero </t>
  </si>
  <si>
    <t>Ambiente</t>
  </si>
  <si>
    <r>
      <t xml:space="preserve">Programa: </t>
    </r>
    <r>
      <rPr>
        <sz val="18"/>
        <color indexed="8"/>
        <rFont val="Calibri"/>
        <family val="2"/>
      </rPr>
      <t>Vias mantenidas y mejoradas para el progreso</t>
    </r>
  </si>
  <si>
    <r>
      <t xml:space="preserve">Programa: </t>
    </r>
    <r>
      <rPr>
        <sz val="18"/>
        <color indexed="8"/>
        <rFont val="Calibri"/>
        <family val="2"/>
      </rPr>
      <t>Sistema de Salud humanizado, accesible y oportuno.</t>
    </r>
    <r>
      <rPr>
        <b/>
        <sz val="18"/>
        <color indexed="8"/>
        <rFont val="Calibri"/>
        <family val="2"/>
      </rPr>
      <t xml:space="preserve"> Subprograma: </t>
    </r>
    <r>
      <rPr>
        <sz val="18"/>
        <color indexed="8"/>
        <rFont val="Calibri"/>
        <family val="2"/>
      </rPr>
      <t>Fortalecimiento de la red urgencias.</t>
    </r>
  </si>
  <si>
    <r>
      <t>Programa: V</t>
    </r>
    <r>
      <rPr>
        <sz val="18"/>
        <color indexed="8"/>
        <rFont val="Calibri"/>
        <family val="2"/>
      </rPr>
      <t>ias para el desarrollo y transporte con calidez y calidad.</t>
    </r>
  </si>
  <si>
    <r>
      <t xml:space="preserve">Programa: </t>
    </r>
    <r>
      <rPr>
        <sz val="18"/>
        <color indexed="8"/>
        <rFont val="Calibri"/>
        <family val="2"/>
      </rPr>
      <t xml:space="preserve">Servicios publicos al alcance de todos.       </t>
    </r>
    <r>
      <rPr>
        <b/>
        <sz val="18"/>
        <color indexed="8"/>
        <rFont val="Calibri"/>
        <family val="2"/>
      </rPr>
      <t xml:space="preserve">Subprograma: </t>
    </r>
    <r>
      <rPr>
        <sz val="18"/>
        <color indexed="8"/>
        <rFont val="Calibri"/>
        <family val="2"/>
      </rPr>
      <t>Objetivos de calidad para el saneamiento basico.</t>
    </r>
  </si>
  <si>
    <r>
      <t>Programa:</t>
    </r>
    <r>
      <rPr>
        <sz val="18"/>
        <color indexed="8"/>
        <rFont val="Calibri"/>
        <family val="2"/>
      </rPr>
      <t>Desarrollo rural.</t>
    </r>
  </si>
  <si>
    <r>
      <t>Programa:</t>
    </r>
    <r>
      <rPr>
        <sz val="18"/>
        <color indexed="8"/>
        <rFont val="Calibri"/>
        <family val="2"/>
      </rPr>
      <t>Vias mantenidas y mejoradas para el progreso.</t>
    </r>
  </si>
  <si>
    <r>
      <t xml:space="preserve">Programa : </t>
    </r>
    <r>
      <rPr>
        <sz val="18"/>
        <color indexed="8"/>
        <rFont val="Calibri"/>
        <family val="2"/>
      </rPr>
      <t xml:space="preserve">Vias mantenidas y mejoradas para el progreso </t>
    </r>
    <r>
      <rPr>
        <b/>
        <sz val="18"/>
        <color indexed="8"/>
        <rFont val="Calibri"/>
        <family val="2"/>
      </rPr>
      <t xml:space="preserve">Subprograma: </t>
    </r>
    <r>
      <rPr>
        <sz val="18"/>
        <color indexed="8"/>
        <rFont val="Calibri"/>
        <family val="2"/>
      </rPr>
      <t>Vias mantenidas y mejoradas para el progreso.</t>
    </r>
  </si>
  <si>
    <r>
      <t xml:space="preserve">Programa: </t>
    </r>
    <r>
      <rPr>
        <sz val="18"/>
        <color indexed="8"/>
        <rFont val="Calibri"/>
        <family val="2"/>
      </rPr>
      <t>Servicios publicos al alcance de todos</t>
    </r>
  </si>
  <si>
    <r>
      <t xml:space="preserve">Programa: </t>
    </r>
    <r>
      <rPr>
        <sz val="18"/>
        <color indexed="8"/>
        <rFont val="Calibri"/>
        <family val="2"/>
      </rPr>
      <t>Servicios publicos al alcance de todos</t>
    </r>
    <r>
      <rPr>
        <b/>
        <sz val="18"/>
        <color indexed="8"/>
        <rFont val="Calibri"/>
        <family val="2"/>
      </rPr>
      <t xml:space="preserve">.
Subprograma: </t>
    </r>
    <r>
      <rPr>
        <sz val="18"/>
        <color indexed="8"/>
        <rFont val="Calibri"/>
        <family val="2"/>
      </rPr>
      <t>Objetivos de calidad para el saneamiento basico</t>
    </r>
    <r>
      <rPr>
        <b/>
        <sz val="18"/>
        <color indexed="8"/>
        <rFont val="Calibri"/>
        <family val="2"/>
      </rPr>
      <t>.</t>
    </r>
  </si>
  <si>
    <r>
      <t xml:space="preserve">Programa: </t>
    </r>
    <r>
      <rPr>
        <sz val="18"/>
        <color indexed="8"/>
        <rFont val="Calibri"/>
        <family val="2"/>
      </rPr>
      <t>Infraestructura publica para el desarrollo</t>
    </r>
    <r>
      <rPr>
        <b/>
        <sz val="18"/>
        <color indexed="8"/>
        <rFont val="Calibri"/>
        <family val="2"/>
      </rPr>
      <t>.</t>
    </r>
  </si>
  <si>
    <r>
      <t>Programa:</t>
    </r>
    <r>
      <rPr>
        <sz val="18"/>
        <color indexed="8"/>
        <rFont val="Calibri"/>
        <family val="2"/>
      </rPr>
      <t>Sistema de Salud humanizado, accesiblilidad  y oportuno.</t>
    </r>
  </si>
  <si>
    <r>
      <t xml:space="preserve">Programa: </t>
    </r>
    <r>
      <rPr>
        <sz val="18"/>
        <color indexed="8"/>
        <rFont val="Calibri"/>
        <family val="2"/>
      </rPr>
      <t>biodiversidad servicios ecosistemicos.</t>
    </r>
    <r>
      <rPr>
        <b/>
        <sz val="18"/>
        <color indexed="8"/>
        <rFont val="Calibri"/>
        <family val="2"/>
      </rPr>
      <t xml:space="preserve"> 
Subprograma: </t>
    </r>
    <r>
      <rPr>
        <sz val="18"/>
        <color indexed="8"/>
        <rFont val="Calibri"/>
        <family val="2"/>
      </rPr>
      <t xml:space="preserve">Areas protejidas y areas en conservacion con guianza ambiental y senderos ecologicos habilitados </t>
    </r>
  </si>
  <si>
    <r>
      <t>Programa:</t>
    </r>
    <r>
      <rPr>
        <sz val="18"/>
        <rFont val="Calibri"/>
        <family val="2"/>
      </rPr>
      <t xml:space="preserve">Mas pilos y mas innovacion para el capital humano de la zona Q </t>
    </r>
    <r>
      <rPr>
        <b/>
        <sz val="18"/>
        <rFont val="Calibri"/>
        <family val="2"/>
      </rPr>
      <t xml:space="preserve">Subprograma: </t>
    </r>
    <r>
      <rPr>
        <sz val="18"/>
        <rFont val="Calibri"/>
        <family val="2"/>
      </rPr>
      <t>Mas conectividad para mas pilos y mas innovacion.</t>
    </r>
  </si>
  <si>
    <r>
      <t>Programa :</t>
    </r>
    <r>
      <rPr>
        <sz val="18"/>
        <color indexed="8"/>
        <rFont val="Calibri"/>
        <family val="2"/>
      </rPr>
      <t>Sistema de Salud humanizado, accesible y oportuno.</t>
    </r>
  </si>
  <si>
    <r>
      <t xml:space="preserve">Programa: </t>
    </r>
    <r>
      <rPr>
        <sz val="18"/>
        <color indexed="8"/>
        <rFont val="Calibri"/>
        <family val="2"/>
      </rPr>
      <t>Con las botas puestas para el Desarrollo.</t>
    </r>
    <r>
      <rPr>
        <b/>
        <sz val="18"/>
        <color indexed="8"/>
        <rFont val="Calibri"/>
        <family val="2"/>
      </rPr>
      <t xml:space="preserve">
Subprograma:</t>
    </r>
    <r>
      <rPr>
        <sz val="18"/>
        <color indexed="8"/>
        <rFont val="Calibri"/>
        <family val="2"/>
      </rPr>
      <t xml:space="preserve"> Quindio descentralizado en su oferta cultural, en el sistema departamental de Cultura</t>
    </r>
  </si>
  <si>
    <r>
      <t xml:space="preserve">Programa: </t>
    </r>
    <r>
      <rPr>
        <sz val="18"/>
        <color indexed="8"/>
        <rFont val="Calibri"/>
        <family val="2"/>
      </rPr>
      <t xml:space="preserve">Rescate al Deporte asociado orientado a altos logros. 
</t>
    </r>
  </si>
  <si>
    <r>
      <t>Programa: S</t>
    </r>
    <r>
      <rPr>
        <sz val="18"/>
        <color indexed="8"/>
        <rFont val="Calibri"/>
        <family val="2"/>
      </rPr>
      <t>eguridad Ciudadana y orden publico</t>
    </r>
    <r>
      <rPr>
        <b/>
        <sz val="18"/>
        <color indexed="8"/>
        <rFont val="Calibri"/>
        <family val="2"/>
      </rPr>
      <t xml:space="preserve">
Subprograma:</t>
    </r>
    <r>
      <rPr>
        <sz val="18"/>
        <color indexed="8"/>
        <rFont val="Calibri"/>
        <family val="2"/>
      </rPr>
      <t xml:space="preserve"> Firmes con la politica integral de seguridad y convivencia ciudadana y el orden publico </t>
    </r>
  </si>
  <si>
    <r>
      <t xml:space="preserve">Programa: </t>
    </r>
    <r>
      <rPr>
        <sz val="18"/>
        <rFont val="Calibri"/>
        <family val="2"/>
      </rPr>
      <t xml:space="preserve">Un AS para el progreso, QUINDÍO promisorio competitivo e innovador </t>
    </r>
  </si>
  <si>
    <r>
      <t xml:space="preserve">Programa: </t>
    </r>
    <r>
      <rPr>
        <sz val="18"/>
        <rFont val="Calibri"/>
        <family val="2"/>
      </rPr>
      <t>Desarrollo rural</t>
    </r>
  </si>
  <si>
    <r>
      <t xml:space="preserve">Programa: </t>
    </r>
    <r>
      <rPr>
        <sz val="18"/>
        <rFont val="Calibri"/>
        <family val="2"/>
      </rPr>
      <t>TICS para la competitividad</t>
    </r>
  </si>
  <si>
    <r>
      <t xml:space="preserve">Programa: </t>
    </r>
    <r>
      <rPr>
        <sz val="18"/>
        <rFont val="Calibri"/>
        <family val="2"/>
      </rPr>
      <t>Competitividad Ciencia, Tecnologia e Innovación</t>
    </r>
  </si>
  <si>
    <r>
      <t xml:space="preserve">Programas: </t>
    </r>
    <r>
      <rPr>
        <sz val="18"/>
        <rFont val="Calibri"/>
        <family val="2"/>
      </rPr>
      <t>Infraestructura publica para el desarrollo.</t>
    </r>
  </si>
  <si>
    <r>
      <t xml:space="preserve">Programa:                </t>
    </r>
    <r>
      <rPr>
        <sz val="18"/>
        <rFont val="Calibri"/>
        <family val="2"/>
      </rPr>
      <t>Vias para el desarrolloI transporte con calidez y calidad</t>
    </r>
  </si>
  <si>
    <r>
      <t xml:space="preserve">Programa: </t>
    </r>
    <r>
      <rPr>
        <sz val="18"/>
        <rFont val="Calibri"/>
        <family val="2"/>
      </rPr>
      <t xml:space="preserve">Infraestructura publica para el desarrollo.
</t>
    </r>
    <r>
      <rPr>
        <b/>
        <sz val="18"/>
        <rFont val="Calibri"/>
        <family val="2"/>
      </rPr>
      <t>Subprograma</t>
    </r>
    <r>
      <rPr>
        <sz val="18"/>
        <rFont val="Calibri"/>
        <family val="2"/>
      </rPr>
      <t>: Infraestrcutra fisica de las instituciones educativas mantenidas y rehabilitadas.</t>
    </r>
  </si>
  <si>
    <r>
      <t xml:space="preserve">Programa: </t>
    </r>
    <r>
      <rPr>
        <sz val="18"/>
        <rFont val="Calibri"/>
        <family val="2"/>
      </rPr>
      <t>Servicios publicos al alcance de todo.</t>
    </r>
  </si>
  <si>
    <t xml:space="preserve">Infraestructura publica </t>
  </si>
  <si>
    <t>Vivienda y desarrollo Urbano</t>
  </si>
  <si>
    <t>DISTRIBUCIÓN DE RECURSOS SISTEMA GENERAL DE REGALIAS DEPARTAMENTO DEL QUINDIO DESPUES DE CIERRE SEGÚN DECRETO 722 DEL 2015</t>
  </si>
  <si>
    <t>RECURSOS APROBADOS 2012, 2013-2014</t>
  </si>
  <si>
    <t>DIFERENCIA APROBACIÓN VS CIERRE</t>
  </si>
  <si>
    <t>RECURSOS ASIGNADOS 2012, 2013-2014</t>
  </si>
  <si>
    <t>CIFRAS CIERRE 2012, 2013-2014</t>
  </si>
  <si>
    <t>PPTO SGR 2015-2016 DESPUES APLAZAMIENTO</t>
  </si>
  <si>
    <t>PPTO NETO VIGENCIA 2015-2016</t>
  </si>
  <si>
    <t>PRESUPUESTO OFICIAL Y ACTUALIZADO SGR VIGENCIAS 2012, 2013-2014 Y 2015-2016</t>
  </si>
  <si>
    <t xml:space="preserve">PPTO 2015 - 2016 
(Art 32) 50% </t>
  </si>
  <si>
    <t>Recaudo efectivo 2012, 2013-2014</t>
  </si>
  <si>
    <t>Diferencia recursos girados vs recaudo 
2012, 2013-2014</t>
  </si>
  <si>
    <t>Menor Recaudo 2013-2014</t>
  </si>
  <si>
    <t>Mayor recaudo 2012 a incorporar</t>
  </si>
  <si>
    <t>Ppto total disponible
2015 - 2016 (Art 32) 50%</t>
  </si>
  <si>
    <t>Ppto Neto vigencia 2015-2016 (Incluye mayor recaudo 2012 restante)</t>
  </si>
  <si>
    <t>Recursos Comprometidos vigencia 2015-2016</t>
  </si>
  <si>
    <t>Saldo disponible, para presentar proyectos</t>
  </si>
  <si>
    <t xml:space="preserve">INVERSIÓN POR SECTOR REGALIAS 2012-2014 CONSOLIDADO </t>
  </si>
  <si>
    <t xml:space="preserve">GIROS RECIBIDOS VIGENCIA </t>
  </si>
  <si>
    <t>SALDO PENDIENTE POR GIRO VIGENCIA 2012</t>
  </si>
  <si>
    <t>RECURSOS APROBADOS 2013-2014</t>
  </si>
  <si>
    <t xml:space="preserve">APROPIACIÓN VIGENTE </t>
  </si>
  <si>
    <t>CIERRE PPTAL 2013-2014</t>
  </si>
  <si>
    <t xml:space="preserve">PPTO TOTAL DISPONIBLE </t>
  </si>
  <si>
    <t xml:space="preserve">SECTOR </t>
  </si>
  <si>
    <t xml:space="preserve">INVERSIÓN REALIZADA </t>
  </si>
  <si>
    <t>% DE INVERSIÓN</t>
  </si>
  <si>
    <t xml:space="preserve">DESCRIPCIÓN DE LA INVERSIÓN </t>
  </si>
  <si>
    <t>927.27 kms de vias urbanas, secundarias y terciarias rehabilitados y mejorados</t>
  </si>
  <si>
    <t xml:space="preserve">Reposición de 13726 mts de Acueducto y Alcantarillado, 8281 mt de Colectores construidos </t>
  </si>
  <si>
    <t>Dotación de 14 estaciones bomberiles y manejo y descontaminación de 11 microcuencas y manejo del espacio publico</t>
  </si>
  <si>
    <t>Construcción y dotación Centro atención a la drogadicción, mejoramiento y dotación del Hospital San Juan de Dios</t>
  </si>
  <si>
    <t xml:space="preserve">Implementación del servicio publica de gas en la zona coordillerana del Departamento </t>
  </si>
  <si>
    <t>Construcción y mejoramiento de salones comunales, casas de la cultura y centro cultural</t>
  </si>
  <si>
    <t>Ceritficación de 500 predios en Buenas practicas agricolas</t>
  </si>
  <si>
    <t xml:space="preserve">TICS </t>
  </si>
  <si>
    <t xml:space="preserve">Adquisición de 17950 tablets y apropiación de contenidos </t>
  </si>
  <si>
    <t>Innovación social, mejoramiento de los procesos de producción de guadua, aplicación de I+D+I a curtiembres y empresas</t>
  </si>
  <si>
    <t xml:space="preserve">Construcción de modulos y mejoramiento del mirador de filandia, mejoramiento de los espacios publicos </t>
  </si>
  <si>
    <t xml:space="preserve">Mejoramiento y adecación de 191 restaurantes escolares en todo el Departamento </t>
  </si>
  <si>
    <t xml:space="preserve">Mejoramiento alcaldia Cordoba </t>
  </si>
  <si>
    <t>Construcción y mejoramiento de escenarios deportivos, apoyo a las ligas deportivas del departamento, participación en juegos nacionales</t>
  </si>
  <si>
    <t xml:space="preserve">Construcción de 25 viviendas en Genova </t>
  </si>
  <si>
    <t>Dotación a la policia Nacional, CAI, Motos y Camionetas</t>
  </si>
  <si>
    <t>TOTAL</t>
  </si>
  <si>
    <t xml:space="preserve">PRESUPUESTO TOTAL </t>
  </si>
  <si>
    <t xml:space="preserve">GIROS REALIZADOS 2012, 2013-2014 </t>
  </si>
  <si>
    <t>Objetivo</t>
  </si>
  <si>
    <t>Giros Realizados vigencia 2012-2015</t>
  </si>
  <si>
    <t>Recursos Aprobados Vigencia 2012-2015</t>
  </si>
  <si>
    <t>Recursos Asignados Vigencia 2012-2015</t>
  </si>
  <si>
    <t>PRESUPUESTO OFICIAL MUNICIPIOS SISTEMA GENERAL DE REGALÍAS MUNICIPIOS DEL DEPARTAMENTO DEL QUINDÍO VIGENCIA 2012-2015</t>
  </si>
  <si>
    <t>RECURSOS APROBADOS ACUMULADO SGR 2012-2015</t>
  </si>
  <si>
    <t xml:space="preserve">SALDO PENDIENTE POR APROBAR </t>
  </si>
  <si>
    <t>PRESUPUESTO OFICIAL Y ACTUALIZADO SGR VIGENCIAS 2012, 2013-2014 Y 2015-2016 DEPARTAMENTO DEL QUINDÍO</t>
  </si>
  <si>
    <t xml:space="preserve"> </t>
  </si>
  <si>
    <t>*** Estos municipios confinanciaron proyectos de impacto regional con sus Regalias Especificas en la vigencia 2012. (Proyectos BPIN 2012000040026 y 2012000040031)</t>
  </si>
  <si>
    <t xml:space="preserve">TERMINADOS </t>
  </si>
  <si>
    <t>Adquisición de vehículos de desplazamiento rápido y elementos de protección para las instituciones Bomberiles del Departamento del Quindio.</t>
  </si>
  <si>
    <t>Mejoramiento, pavimentación via Carniceros -La Quiebra, Municipios de Cordoba y Pijao y Construcción de obras de disipación y contención en el Sector la Mina.</t>
  </si>
  <si>
    <t xml:space="preserve">Mejoramiento de la red vial urbana del Departamento del Quindio. </t>
  </si>
  <si>
    <t>Aplicación e implementación de las buenas practicas agricolas, en sector productivos del Departamento del Quindio.</t>
  </si>
  <si>
    <t xml:space="preserve">Ampliación del servicio publico de gas domiciliario por redes para los municipios de Cordoba, Buenavista, Genova y Pijao en el Departamento del Quindio. </t>
  </si>
  <si>
    <t>Construcción colectores interceptores, para avanzar en la descontaminación de fuentes hidricas tributarias en la en la cuenca del rio la vieja del Depto del Quindio.</t>
  </si>
  <si>
    <t>Construcción y mejoramiento de Salones Sociales Comunales en lo Municipios de Armenia, Calarcá y Quimbaya, Quindio, Occidente.</t>
  </si>
  <si>
    <t>Construcción y dotación del Centro de Atención al Drogadicto.</t>
  </si>
  <si>
    <t>Desarrollo de espacios ambientales para la paz como manejo de otras estrategias de conservación de la estructura ecologica principal en el Departamento del Quindio, Occidente.</t>
  </si>
  <si>
    <t>Fortalecimiento de la Calidad educativa en las instituciones educativas, mediante la incorpación de TICS, en el Departamento del Quindio, Occidente.</t>
  </si>
  <si>
    <t>Dotación de la unidad de cuidados intensivos, quirófanos
y central de esterilización de la ESE Hospital Departamental Universitario San Juan de Dios.</t>
  </si>
  <si>
    <t>Reposición y optimización redes de acueducto, alcantarillado y pavimentos en el departamento del Quindío.</t>
  </si>
  <si>
    <t>Rehabilitación de la malla vial urbana del Departamento del Quindio.</t>
  </si>
  <si>
    <t xml:space="preserve">Adecuación dela casa dela cultura de Calarcá y centro Cultural del municipio de Quimbaya Quindío.
</t>
  </si>
  <si>
    <t>Apoyo y fortalecimiento para el desarrollo, formación y posicionamiento en alto rendimiento del deporte en el departamento del Quindío.</t>
  </si>
  <si>
    <t>Dotación a la policia nacional para la prevención y reacción en seguridad del Departamento del Quindío.</t>
  </si>
  <si>
    <t>Mejoramiento y reparcheo de la red vial secundaria y terciaria en el departamento del Quindio.</t>
  </si>
  <si>
    <t>Implementación de un programa de innovación social para el fomento  de una cultura ciudadana y emprendedora en la comunidad educativa y productiva del departamento del Quindío, Occidente.</t>
  </si>
  <si>
    <t>Desarrollo sostenible del Sector curtiembre a través de la I+D+I, Quindio, Occidente.</t>
  </si>
  <si>
    <t>Desarrollo de capacidades de I+D+I para incrementar la competitividad en empresas y emprendiemientos del Departamento del Quindio, Occidente.</t>
  </si>
  <si>
    <t xml:space="preserve">Mejoramiento de los sistemas productivos para la conservación y recuperación de los recursos naturales en areas protegidas casa distrito de conservación de suelos barbas-bremen en el Departamento del Quindio,  Occidente. </t>
  </si>
  <si>
    <t>Mejoramiento de la infraestructura pública para el desarrollo turístico occidente, Quindio, Todo el Departamento.</t>
  </si>
  <si>
    <t xml:space="preserve">Construcción obras de recuperacion, contencion y manejo de aguas en la vía rio verde - barragan, Cod 40QN05 Occidente, Quindío, Armenia. </t>
  </si>
  <si>
    <t>Mantenimiento y rehabilitación de restaurantes escolares de las instituciónes educativas departamento del Quindío.</t>
  </si>
  <si>
    <t>Renovación de redes de acueducto y alcantarillado en el departamento de Quindío.</t>
  </si>
  <si>
    <t>Construcción de modulos restantes del eco parque mirador colina iluminada filandia Quindío.</t>
  </si>
  <si>
    <t xml:space="preserve">Adecuación de infraestructura física  sedes sociales e institucionales (cba, casa de artesano y antigua cárcel municipal) del municipio de Filandia Departamento del Quindío. </t>
  </si>
  <si>
    <t>Construcción cancha sintética de microfútbol  en el polideportivo panorama del municipio de Filandia.</t>
  </si>
  <si>
    <t>Rehabilitación  y construcción de la  red vial  vehicular  y peatonal en el  sector urbano urbano Municipio de Montenegro Departamento del Quindío.</t>
  </si>
  <si>
    <t>Construcción vivienda nueva urbanización los tejares en el municipio de Génova.</t>
  </si>
  <si>
    <t>Construcción del estadio municipal de futbol en el municipio de Calarcá.</t>
  </si>
  <si>
    <t xml:space="preserve">Mejoramiento de la red vial urbana sobre la calle 13 entre carrera 5ta y  la vía panamericana en el municipio de tebaida. </t>
  </si>
  <si>
    <t>Mejormiento de las vias urbanas del municipio de Filandia, Departamento del Quindio.</t>
  </si>
  <si>
    <t xml:space="preserve">Rehabilitación de la red vial urbana del municipio de Pijao. </t>
  </si>
  <si>
    <t>Reposición y optimización de redes de acueducto, alcantarillado  y villa Laura del municipio de Quimbaya.</t>
  </si>
  <si>
    <t>Rehabilitación de la red vial urbana del municipio de Quimbaya, Quindío.</t>
  </si>
  <si>
    <t>Mejoramiento de las vias urbanas del municipio de Montenegro, Quindio .</t>
  </si>
  <si>
    <t xml:space="preserve">Ampliacion y adecuacion de la alcaldia de cordoba, Quindío. </t>
  </si>
  <si>
    <t>Adecuacion vial al Cabaña Buenavista, Quindío.</t>
  </si>
  <si>
    <t xml:space="preserve">Construccion de andenes y rampas de acceso para discapacitados en el Municipio de Cordoba, Quindío. </t>
  </si>
  <si>
    <t xml:space="preserve">Recuperacion via Pijao- Puente tabla, en el municipio de Pijao, Departamento del Quindío. </t>
  </si>
  <si>
    <t xml:space="preserve">Dotar 14 instituciones Bomberiles, con 14 Vehiculos de desplazamiento rapido (camionetas), 457 kit de dotación y 27 de linea de Fuego. </t>
  </si>
  <si>
    <t xml:space="preserve">Pavimentación de 1,46 kilometros de la via carnicero la quiebra en Cordoba. </t>
  </si>
  <si>
    <t>1200 millones para dotación de equipo bioimedico y 4500 millones para intervenir 1780 mts2 del area de urgencias del Hospital San Juan de Dios y ampliación a 50 cubículos de observación.</t>
  </si>
  <si>
    <t xml:space="preserve">Pavimentación y mejoramiento de 75.872 m2 de vias urbanas en los municipios del Departamento del Quindio. </t>
  </si>
  <si>
    <t>Reposición y optimización de 5000 metros de redes de acueducto, alcantarillado y pavimentos.</t>
  </si>
  <si>
    <t xml:space="preserve">Certificar 500 predios en el Departamento del Quindio, en la utilización de Buenas practicas Agricolas, para los cultivos Platano, Citricos y Aguacate. </t>
  </si>
  <si>
    <t xml:space="preserve">Mantenimiento preventivo de 495,31 de km de vias secundarias, terciarias y urbanas. </t>
  </si>
  <si>
    <t>Mejoramiento y reparcheo de 343,7 km de la red vial secundaria y urbana en el Departamento del Quindio.</t>
  </si>
  <si>
    <t>Ampliación del Servicio Publico de Gas Domiciliario por Redes para los Municipios de Cordoba, Buenavista, Genova y Pijao en el Departamento del Quindio.</t>
  </si>
  <si>
    <t xml:space="preserve">Construir 8281 metros de colectores interceptores para la descontaminacion de las fuentes hidricas del rio La Vieja. </t>
  </si>
  <si>
    <t>Intervenir las microcuencas, mejoramiento e intervención del espacio publico.
60.13 Hectares de microcuencas a intervenir
7.584 Mts de senderos a intervenir
11 Espacios publicos intervenidos.</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</si>
  <si>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</si>
  <si>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 xml:space="preserve">Aplicar procesos innovadores en la cadena de suministro de Guadua para la industria, que incremente la competitividad del sector en el Departamento del Quindio.
</t>
  </si>
  <si>
    <t>Desarrollar capacidades técnico cientifícas y de innovación para el Desarrollo Sostenible del sector de curtiembres de la María en el Departamento del Quindío. Descontaminación ambiental y desaollo de modelo socioempresarial.</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</si>
  <si>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</si>
  <si>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Realizar la platación de 150 Hectáreas de reconversión de sistema productivo
Mejora el uso yapropiacón tecnológica que permita e desarollo deactivdaes productivas ambientalment sotenibles en áreas protegidas caso Distro deConservación desuelo Barbas bremen.</t>
  </si>
  <si>
    <t>Mejoramiento de la competitividad turística del Departamento.</t>
  </si>
  <si>
    <t xml:space="preserve">Restaurar y adecuar la Infraestructura física Institucional del CBA (Centro de Bienestar del adulto Mayor), Casa del artesano y Antigua cárcel del municipio de Filandia.
</t>
  </si>
  <si>
    <t xml:space="preserve">Mejorar el acceso vehicular y peatonal del sector urbano, mediante la intervención de 6,022 mts2 de vías en el municipio de Montenegro Quindío. </t>
  </si>
  <si>
    <t>Construir el estadio municipal, en un terreno de propiedad de la Gobernación del Quindío, ubicado en el municipio de Calarcá; con el fin de dotar a la comunidad de unas instalaciones deportivas dignas para la practica del deporte.</t>
  </si>
  <si>
    <t>Construcción de muro de contención prefabricado, para la protección de taludes en zona de patios de la urbanización villa Alejandría- villa teresa - villa luz y san diego 1 etapa ubicado en el casco urbano del municipio de Córdoba.</t>
  </si>
  <si>
    <t xml:space="preserve">Rehabilitación de 1924 mts2 de vias urbanas en el Municipio de Filandia.  </t>
  </si>
  <si>
    <t xml:space="preserve">Mejorar las condiciones de la red vial urbana del municipio de Pijao Quindío, mediante la pavimentación de 1383 mts2 de vías.
</t>
  </si>
  <si>
    <t>Rehabilitación de 3,3 kms de vias urbanas en el Municipio de Montenegro.</t>
  </si>
  <si>
    <t xml:space="preserve">Rehabilitación de 4,4 kms de la via  la Cabaña en el Municipio de Buenavista. </t>
  </si>
  <si>
    <t xml:space="preserve">Rehabilitación de 1 km de la via Pijao- Puente Tabla.  </t>
  </si>
  <si>
    <r>
      <t>Programa: G</t>
    </r>
    <r>
      <rPr>
        <sz val="18"/>
        <color indexed="8"/>
        <rFont val="Calibri"/>
        <family val="2"/>
      </rPr>
      <t xml:space="preserve">estion del riesgo por amenazas naturales y actividades antropicas. </t>
    </r>
    <r>
      <rPr>
        <b/>
        <sz val="18"/>
        <color indexed="8"/>
        <rFont val="Calibri"/>
        <family val="2"/>
      </rPr>
      <t xml:space="preserve">Subprograma: </t>
    </r>
    <r>
      <rPr>
        <sz val="18"/>
        <color indexed="8"/>
        <rFont val="Calibri"/>
        <family val="2"/>
      </rPr>
      <t>Activos por la vida.</t>
    </r>
  </si>
  <si>
    <t xml:space="preserve">TRANSPORTE </t>
  </si>
  <si>
    <t xml:space="preserve">SANEAMIENTO BASICO </t>
  </si>
  <si>
    <t>SALUD</t>
  </si>
  <si>
    <t>CULTURA</t>
  </si>
  <si>
    <t xml:space="preserve">MEDIO AMBIENTE Y RIESGO </t>
  </si>
  <si>
    <t>RECREACION Y DEPORTE</t>
  </si>
  <si>
    <t xml:space="preserve">GAS DOMICILIARIO </t>
  </si>
  <si>
    <t xml:space="preserve">TURISMO </t>
  </si>
  <si>
    <t>EDUCACION</t>
  </si>
  <si>
    <t>AGRICULTURA</t>
  </si>
  <si>
    <t>EGURIDAD Y JUSTICIA</t>
  </si>
  <si>
    <t>VIVIENDA</t>
  </si>
  <si>
    <t>INFRAESTRUCTURA PUBLICA</t>
  </si>
  <si>
    <t>Estudios y diseños para la rehabilitación y mejoramiento de la red víal secundaria en el Departamento del Quindío, Occidente.</t>
  </si>
  <si>
    <t>Construcción de la sede de la Defensoria del Pueblo, regional del Quindío, en la ciudad de Armenia, Departamento del Quindío.</t>
  </si>
  <si>
    <t>Mejoramiento y rehabilitación de la vía Filandia la India codigo 29QN02 tercera fase, Municipio de Filandia, Departamento del Quindio.</t>
  </si>
  <si>
    <t>Dotación de ambulancias a organismos de salud y socorro para la atención y traslado oportuno de pacientes en el Departamento del Quindío.</t>
  </si>
  <si>
    <t> Mejoramiento de la red vial terciaria del Departamento del Quindio a traves de la construccion de Placas-Huellas tipo Invias en cada uno de los Municipios del Departamento del Quindio.</t>
  </si>
  <si>
    <t>Construcción puente vehicular sobre el rio Santo Domingo,  municipio de Calarcá departamento  del Quindío.</t>
  </si>
  <si>
    <t>TOTALES</t>
  </si>
  <si>
    <t>ANEXO 8</t>
  </si>
  <si>
    <t>ANEXO 10</t>
  </si>
  <si>
    <t>CUADRO DE RELACIÓN DE PROYECTOS APROBADOS OCAD REGIONAL EJE CAFETERO Y ANTIOQUIA- OCAD CIENCIA Y TECNOLOGIA VIGENCIA 2012-2014</t>
  </si>
  <si>
    <t>ANEXO 9</t>
  </si>
  <si>
    <t>CONSOLIDADO DE PROYECTOS FINANCIADOS CON REGALIAS VIGENCIA 2012-2015</t>
  </si>
  <si>
    <t>ANEXO 11</t>
  </si>
  <si>
    <t xml:space="preserve">INVERSIÓN REALIZADA POR SECTOR PARA LA VIGENCIA 2012, 2013-2014 y 2015 POR EL SISTEMA GENERAL DE REGALIAS </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</si>
</sst>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0_);_(* \(#,##0.0\);_(* &quot;-&quot;??_);_(@_)"/>
    <numFmt numFmtId="166" formatCode="#,##0_ ;[Red]\-#,##0\ "/>
    <numFmt numFmtId="167" formatCode="_(* #,##0_);_(* \(#,##0\);_(* &quot;-&quot;??_);_(@_)"/>
    <numFmt numFmtId="168" formatCode="_-* #,##0_-;\-* #,##0_-;_-* &quot;-&quot;??_-;_-@_-"/>
    <numFmt numFmtId="169" formatCode="_-* #,##0.00\ _$_-;\-* #,##0.00\ _$_-;_-* &quot;-&quot;??\ _$_-;_-@_-"/>
    <numFmt numFmtId="170" formatCode="General_)"/>
    <numFmt numFmtId="171" formatCode="_-* #,##0.00\ _€_-;\-* #,##0.00\ _€_-;_-* &quot;-&quot;??\ _€_-;_-@_-"/>
    <numFmt numFmtId="172" formatCode="_ * #,##0.00_ ;_ * \-#,##0.00_ ;_ * &quot;-&quot;??_ ;_ @_ "/>
    <numFmt numFmtId="173" formatCode="_-* #,##0.000_-;\-* #,##0.000_-;_-* &quot;-&quot;??_-;_-@_-"/>
  </numFmts>
  <fonts count="94">
    <font>
      <sz val="11"/>
      <name val="Calibri"/>
      <family val="0"/>
    </font>
    <font>
      <sz val="11"/>
      <color indexed="8"/>
      <name val="Calibri"/>
      <family val="2"/>
    </font>
    <font>
      <b/>
      <sz val="16"/>
      <color indexed="8"/>
      <name val="Tahoma"/>
      <family val="2"/>
    </font>
    <font>
      <sz val="16"/>
      <color indexed="8"/>
      <name val="Tahoma"/>
      <family val="2"/>
    </font>
    <font>
      <b/>
      <sz val="18"/>
      <color indexed="8"/>
      <name val="Tahoma"/>
      <family val="2"/>
    </font>
    <font>
      <sz val="16"/>
      <name val="Calibri"/>
      <family val="2"/>
    </font>
    <font>
      <i/>
      <sz val="16"/>
      <color indexed="8"/>
      <name val="Tahoma"/>
      <family val="2"/>
    </font>
    <font>
      <b/>
      <sz val="11"/>
      <color indexed="8"/>
      <name val="Calibri"/>
      <family val="2"/>
    </font>
    <font>
      <b/>
      <sz val="12"/>
      <color indexed="8"/>
      <name val="Tahoma"/>
      <family val="2"/>
    </font>
    <font>
      <sz val="18"/>
      <color indexed="8"/>
      <name val="Tahoma"/>
      <family val="2"/>
    </font>
    <font>
      <b/>
      <sz val="12"/>
      <color indexed="8"/>
      <name val="Calibri"/>
      <family val="2"/>
    </font>
    <font>
      <b/>
      <sz val="18"/>
      <color indexed="8"/>
      <name val="Calibri"/>
      <family val="2"/>
    </font>
    <font>
      <sz val="20"/>
      <color indexed="8"/>
      <name val="Calibri"/>
      <family val="2"/>
    </font>
    <font>
      <sz val="18"/>
      <color indexed="8"/>
      <name val="Calibri"/>
      <family val="2"/>
    </font>
    <font>
      <sz val="8"/>
      <name val="Arial"/>
      <family val="2"/>
    </font>
    <font>
      <sz val="10"/>
      <name val="BERNHARD"/>
      <family val="0"/>
    </font>
    <font>
      <sz val="10"/>
      <name val="Arial"/>
      <family val="2"/>
    </font>
    <font>
      <sz val="8"/>
      <color indexed="10"/>
      <name val="BERNHARD"/>
      <family val="0"/>
    </font>
    <font>
      <u val="single"/>
      <sz val="11"/>
      <color indexed="30"/>
      <name val="Calibri"/>
      <family val="2"/>
    </font>
    <font>
      <sz val="8"/>
      <color indexed="8"/>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54"/>
      <name val="Calibri Light"/>
      <family val="2"/>
    </font>
    <font>
      <i/>
      <sz val="11"/>
      <name val="Calibri"/>
      <family val="2"/>
    </font>
    <font>
      <sz val="18"/>
      <name val="Calibri"/>
      <family val="2"/>
    </font>
    <font>
      <b/>
      <sz val="18"/>
      <name val="Calibri"/>
      <family val="2"/>
    </font>
    <font>
      <b/>
      <sz val="16"/>
      <color indexed="8"/>
      <name val="Calibri"/>
      <family val="2"/>
    </font>
    <font>
      <sz val="16"/>
      <color indexed="8"/>
      <name val="Calibri"/>
      <family val="2"/>
    </font>
    <font>
      <b/>
      <sz val="16"/>
      <name val="Calibri"/>
      <family val="2"/>
    </font>
    <font>
      <b/>
      <sz val="26"/>
      <color indexed="8"/>
      <name val="Calibri"/>
      <family val="2"/>
    </font>
    <font>
      <b/>
      <sz val="20"/>
      <color indexed="8"/>
      <name val="Calibri"/>
      <family val="2"/>
    </font>
    <font>
      <sz val="20"/>
      <name val="Calibri"/>
      <family val="2"/>
    </font>
    <font>
      <b/>
      <sz val="26"/>
      <name val="Calibri"/>
      <family val="2"/>
    </font>
    <font>
      <sz val="18"/>
      <color indexed="54"/>
      <name val="Calibri Light"/>
      <family val="2"/>
    </font>
    <font>
      <b/>
      <sz val="15"/>
      <color indexed="54"/>
      <name val="Calibri"/>
      <family val="2"/>
    </font>
    <font>
      <sz val="10"/>
      <color indexed="8"/>
      <name val="Calibri"/>
      <family val="0"/>
    </font>
    <font>
      <sz val="9"/>
      <color indexed="63"/>
      <name val="Calibri"/>
      <family val="0"/>
    </font>
    <font>
      <sz val="14"/>
      <color indexed="63"/>
      <name val="Calibri"/>
      <family val="0"/>
    </font>
    <font>
      <b/>
      <sz val="2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000000"/>
      <name val="Calibri"/>
      <family val="2"/>
    </font>
    <font>
      <sz val="8"/>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8"/>
      <color theme="3"/>
      <name val="Calibri Light"/>
      <family val="2"/>
    </font>
    <font>
      <b/>
      <sz val="11"/>
      <color theme="1"/>
      <name val="Calibri"/>
      <family val="2"/>
    </font>
    <font>
      <sz val="16"/>
      <color rgb="FF000000"/>
      <name val="Tahoma"/>
      <family val="2"/>
    </font>
    <font>
      <i/>
      <sz val="16"/>
      <color rgb="FF000000"/>
      <name val="Tahoma"/>
      <family val="2"/>
    </font>
    <font>
      <b/>
      <sz val="16"/>
      <color theme="1"/>
      <name val="Tahoma"/>
      <family val="2"/>
    </font>
    <font>
      <b/>
      <sz val="16"/>
      <color rgb="FF000000"/>
      <name val="Tahoma"/>
      <family val="2"/>
    </font>
    <font>
      <b/>
      <sz val="12"/>
      <color theme="1"/>
      <name val="Tahoma"/>
      <family val="2"/>
    </font>
    <font>
      <b/>
      <sz val="18"/>
      <color rgb="FF000000"/>
      <name val="Tahoma"/>
      <family val="2"/>
    </font>
    <font>
      <sz val="18"/>
      <color rgb="FF000000"/>
      <name val="Tahoma"/>
      <family val="2"/>
    </font>
    <font>
      <b/>
      <sz val="12"/>
      <color theme="1"/>
      <name val="Calibri"/>
      <family val="2"/>
    </font>
    <font>
      <b/>
      <sz val="18"/>
      <color theme="1"/>
      <name val="Calibri"/>
      <family val="2"/>
    </font>
    <font>
      <sz val="18"/>
      <color theme="1"/>
      <name val="Calibri"/>
      <family val="2"/>
    </font>
    <font>
      <sz val="20"/>
      <color theme="1"/>
      <name val="Calibri"/>
      <family val="2"/>
    </font>
    <font>
      <sz val="18"/>
      <color rgb="FF000000"/>
      <name val="Calibri"/>
      <family val="2"/>
    </font>
    <font>
      <b/>
      <sz val="18"/>
      <color rgb="FF000000"/>
      <name val="Calibri"/>
      <family val="2"/>
    </font>
    <font>
      <b/>
      <sz val="16"/>
      <color rgb="FF000000"/>
      <name val="Calibri"/>
      <family val="2"/>
    </font>
    <font>
      <sz val="16"/>
      <color rgb="FF000000"/>
      <name val="Calibri"/>
      <family val="2"/>
    </font>
    <font>
      <sz val="16"/>
      <color theme="1"/>
      <name val="Calibri"/>
      <family val="2"/>
    </font>
    <font>
      <b/>
      <sz val="16"/>
      <color theme="1"/>
      <name val="Calibri"/>
      <family val="2"/>
    </font>
    <font>
      <b/>
      <sz val="20"/>
      <color theme="1"/>
      <name val="Calibri"/>
      <family val="2"/>
    </font>
    <font>
      <sz val="20"/>
      <color rgb="FF000000"/>
      <name val="Calibri"/>
      <family val="2"/>
    </font>
    <font>
      <b/>
      <sz val="20"/>
      <color rgb="FF000000"/>
      <name val="Calibri"/>
      <family val="2"/>
    </font>
    <font>
      <b/>
      <sz val="26"/>
      <color theme="1"/>
      <name val="Calibri"/>
      <family val="2"/>
    </font>
    <font>
      <b/>
      <sz val="18"/>
      <color theme="1"/>
      <name val="Tahoma"/>
      <family val="2"/>
    </font>
    <font>
      <b/>
      <sz val="2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E1F6"/>
        <bgColor indexed="64"/>
      </patternFill>
    </fill>
    <fill>
      <patternFill patternType="solid">
        <fgColor rgb="FFFFB3B3"/>
        <bgColor indexed="64"/>
      </patternFill>
    </fill>
    <fill>
      <patternFill patternType="solid">
        <fgColor theme="0"/>
        <bgColor indexed="64"/>
      </patternFill>
    </fill>
    <fill>
      <patternFill patternType="solid">
        <fgColor rgb="FFFFFF00"/>
        <bgColor indexed="64"/>
      </patternFill>
    </fill>
    <fill>
      <patternFill patternType="solid">
        <fgColor rgb="FFFFCC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style="thin"/>
      <right style="thin"/>
      <top style="medium"/>
      <bottom/>
    </border>
    <border>
      <left style="thin"/>
      <right style="medium"/>
      <top style="medium"/>
      <bottom/>
    </border>
    <border>
      <left style="thin"/>
      <right/>
      <top/>
      <bottom style="thin"/>
    </border>
    <border>
      <left style="medium"/>
      <right/>
      <top/>
      <bottom style="medium"/>
    </border>
    <border>
      <left/>
      <right/>
      <top/>
      <bottom style="medium"/>
    </border>
    <border>
      <left/>
      <right style="medium"/>
      <top/>
      <bottom style="medium"/>
    </border>
    <border>
      <left style="medium"/>
      <right style="thin"/>
      <top/>
      <bottom style="thin"/>
    </border>
    <border>
      <left style="thin"/>
      <right style="medium"/>
      <top/>
      <bottom style="thin"/>
    </border>
    <border>
      <left style="medium"/>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170" fontId="15" fillId="0" borderId="0">
      <alignment/>
      <protection/>
    </xf>
    <xf numFmtId="170" fontId="15" fillId="0" borderId="0">
      <alignment/>
      <protection/>
    </xf>
    <xf numFmtId="170" fontId="15" fillId="0" borderId="0">
      <alignment/>
      <protection/>
    </xf>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164" fontId="61" fillId="0" borderId="0">
      <alignment/>
      <protection locked="0"/>
    </xf>
    <xf numFmtId="41" fontId="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6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61" fillId="0" borderId="0">
      <alignment/>
      <protection locked="0"/>
    </xf>
    <xf numFmtId="164" fontId="61" fillId="0" borderId="0">
      <alignment/>
      <protection locked="0"/>
    </xf>
    <xf numFmtId="43" fontId="50" fillId="0" borderId="0" applyFont="0" applyFill="0" applyBorder="0" applyAlignment="0" applyProtection="0"/>
    <xf numFmtId="43" fontId="5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61" fillId="0" borderId="0">
      <alignment/>
      <protection locked="0"/>
    </xf>
    <xf numFmtId="172" fontId="16" fillId="0" borderId="0" applyFont="0" applyFill="0" applyBorder="0" applyAlignment="0" applyProtection="0"/>
    <xf numFmtId="164" fontId="50"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NumberFormat="0" applyFont="0" applyFill="0" applyBorder="0" applyAlignment="0" applyProtection="0"/>
    <xf numFmtId="43" fontId="16"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31" borderId="0" applyNumberFormat="0" applyBorder="0" applyAlignment="0" applyProtection="0"/>
    <xf numFmtId="0" fontId="62" fillId="0" borderId="0">
      <alignment/>
      <protection/>
    </xf>
    <xf numFmtId="0" fontId="16" fillId="0" borderId="0">
      <alignment/>
      <protection/>
    </xf>
    <xf numFmtId="0" fontId="16" fillId="0" borderId="0" applyNumberFormat="0" applyFont="0" applyFill="0" applyBorder="0" applyAlignment="0" applyProtection="0"/>
    <xf numFmtId="0" fontId="50" fillId="0" borderId="0">
      <alignment/>
      <protection/>
    </xf>
    <xf numFmtId="0" fontId="50" fillId="0" borderId="0">
      <alignment/>
      <protection/>
    </xf>
    <xf numFmtId="0" fontId="0" fillId="0" borderId="0">
      <alignment/>
      <protection/>
    </xf>
    <xf numFmtId="0" fontId="16" fillId="0" borderId="0">
      <alignment wrapText="1"/>
      <protection/>
    </xf>
    <xf numFmtId="0" fontId="16" fillId="0" borderId="0">
      <alignment/>
      <protection/>
    </xf>
    <xf numFmtId="0" fontId="16" fillId="0" borderId="0">
      <alignment/>
      <protection/>
    </xf>
    <xf numFmtId="0" fontId="50" fillId="0" borderId="0">
      <alignment/>
      <protection/>
    </xf>
    <xf numFmtId="0" fontId="50" fillId="0" borderId="0">
      <alignment/>
      <protection/>
    </xf>
    <xf numFmtId="0" fontId="50" fillId="0" borderId="0">
      <alignment/>
      <protection/>
    </xf>
    <xf numFmtId="170" fontId="15" fillId="0" borderId="0">
      <alignment/>
      <protection/>
    </xf>
    <xf numFmtId="0" fontId="1" fillId="0" borderId="0">
      <alignment/>
      <protection/>
    </xf>
    <xf numFmtId="0" fontId="50" fillId="0" borderId="0">
      <alignment/>
      <protection/>
    </xf>
    <xf numFmtId="170" fontId="15"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6" fillId="0" borderId="0">
      <alignment wrapText="1"/>
      <protection/>
    </xf>
    <xf numFmtId="0" fontId="16" fillId="0" borderId="0">
      <alignment wrapText="1"/>
      <protection/>
    </xf>
    <xf numFmtId="0" fontId="16" fillId="0" borderId="0">
      <alignment wrapText="1"/>
      <protection/>
    </xf>
    <xf numFmtId="0" fontId="16" fillId="0" borderId="0">
      <alignment wrapText="1"/>
      <protection/>
    </xf>
    <xf numFmtId="0" fontId="16" fillId="0" borderId="0" applyNumberFormat="0" applyFont="0" applyFill="0" applyBorder="0" applyAlignment="0" applyProtection="0"/>
    <xf numFmtId="0" fontId="16" fillId="0" borderId="0">
      <alignment/>
      <protection/>
    </xf>
    <xf numFmtId="0" fontId="16" fillId="0" borderId="0">
      <alignment wrapText="1"/>
      <protection/>
    </xf>
    <xf numFmtId="0" fontId="0" fillId="32" borderId="5" applyNumberFormat="0" applyFont="0" applyAlignment="0" applyProtection="0"/>
    <xf numFmtId="0" fontId="50" fillId="32" borderId="5" applyNumberFormat="0" applyFont="0" applyAlignment="0" applyProtection="0"/>
    <xf numFmtId="170" fontId="17" fillId="0" borderId="6">
      <alignment/>
      <protection/>
    </xf>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64" fillId="21" borderId="7"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57"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cellStyleXfs>
  <cellXfs count="437">
    <xf numFmtId="0" fontId="0" fillId="0" borderId="0" xfId="0" applyAlignment="1">
      <alignment/>
    </xf>
    <xf numFmtId="0" fontId="71" fillId="0" borderId="0" xfId="0" applyFont="1" applyAlignment="1">
      <alignment wrapText="1"/>
    </xf>
    <xf numFmtId="0" fontId="5" fillId="0" borderId="0" xfId="0" applyFont="1" applyAlignment="1">
      <alignment/>
    </xf>
    <xf numFmtId="0" fontId="71" fillId="0" borderId="0" xfId="0" applyFont="1" applyAlignment="1">
      <alignment horizontal="justify" vertical="center" wrapText="1"/>
    </xf>
    <xf numFmtId="0" fontId="71" fillId="0" borderId="0" xfId="0" applyFont="1" applyFill="1" applyAlignment="1">
      <alignment wrapText="1"/>
    </xf>
    <xf numFmtId="0" fontId="72" fillId="0" borderId="0" xfId="0" applyFont="1" applyFill="1" applyBorder="1" applyAlignment="1">
      <alignment horizontal="left" vertical="center" wrapText="1"/>
    </xf>
    <xf numFmtId="166" fontId="71" fillId="0" borderId="11" xfId="62" applyNumberFormat="1" applyFont="1" applyBorder="1" applyAlignment="1">
      <alignment vertical="center"/>
      <protection locked="0"/>
    </xf>
    <xf numFmtId="168" fontId="71" fillId="0" borderId="11" xfId="62" applyNumberFormat="1" applyFont="1" applyFill="1" applyBorder="1" applyAlignment="1" applyProtection="1">
      <alignment horizontal="justify" vertical="center" wrapText="1"/>
      <protection/>
    </xf>
    <xf numFmtId="168" fontId="71" fillId="0" borderId="11" xfId="62" applyNumberFormat="1" applyFont="1" applyBorder="1" applyAlignment="1" applyProtection="1">
      <alignment horizontal="center" vertical="center" wrapText="1"/>
      <protection/>
    </xf>
    <xf numFmtId="166" fontId="0" fillId="0" borderId="0" xfId="0" applyNumberFormat="1" applyAlignment="1">
      <alignment/>
    </xf>
    <xf numFmtId="0" fontId="0" fillId="0" borderId="0" xfId="0" applyAlignment="1">
      <alignment horizontal="left" indent="1"/>
    </xf>
    <xf numFmtId="166" fontId="0" fillId="0" borderId="0" xfId="0" applyNumberFormat="1" applyFont="1" applyAlignment="1">
      <alignment/>
    </xf>
    <xf numFmtId="168" fontId="71" fillId="0" borderId="12" xfId="62" applyNumberFormat="1" applyFont="1" applyBorder="1" applyAlignment="1" applyProtection="1">
      <alignment horizontal="center" vertical="center" wrapText="1"/>
      <protection/>
    </xf>
    <xf numFmtId="166" fontId="71" fillId="0" borderId="11" xfId="62" applyNumberFormat="1" applyFont="1" applyFill="1" applyBorder="1" applyAlignment="1">
      <alignment vertical="center"/>
      <protection locked="0"/>
    </xf>
    <xf numFmtId="0" fontId="0" fillId="0" borderId="11" xfId="0" applyBorder="1" applyAlignment="1">
      <alignment/>
    </xf>
    <xf numFmtId="164" fontId="0" fillId="0" borderId="0" xfId="0" applyNumberFormat="1" applyAlignment="1">
      <alignment/>
    </xf>
    <xf numFmtId="166" fontId="71" fillId="0" borderId="12" xfId="62" applyNumberFormat="1" applyFont="1" applyBorder="1" applyAlignment="1">
      <alignment vertical="center"/>
      <protection locked="0"/>
    </xf>
    <xf numFmtId="0" fontId="73" fillId="33" borderId="13" xfId="0" applyFont="1" applyFill="1" applyBorder="1" applyAlignment="1">
      <alignment horizontal="center" vertical="center" wrapText="1"/>
    </xf>
    <xf numFmtId="0" fontId="74" fillId="33" borderId="11" xfId="0" applyFont="1" applyFill="1" applyBorder="1" applyAlignment="1">
      <alignment vertical="center" wrapText="1"/>
    </xf>
    <xf numFmtId="166" fontId="74" fillId="33" borderId="11" xfId="62" applyNumberFormat="1" applyFont="1" applyFill="1" applyBorder="1" applyAlignment="1">
      <alignment vertical="center"/>
      <protection locked="0"/>
    </xf>
    <xf numFmtId="0" fontId="75" fillId="34" borderId="11" xfId="0" applyFont="1" applyFill="1" applyBorder="1" applyAlignment="1">
      <alignment horizontal="center" vertical="center" wrapText="1"/>
    </xf>
    <xf numFmtId="166" fontId="75" fillId="34" borderId="11" xfId="62" applyNumberFormat="1" applyFont="1" applyFill="1" applyBorder="1" applyAlignment="1">
      <alignment horizontal="center" vertical="center" wrapText="1"/>
      <protection locked="0"/>
    </xf>
    <xf numFmtId="0" fontId="73" fillId="33" borderId="12" xfId="0" applyFont="1" applyFill="1" applyBorder="1" applyAlignment="1">
      <alignment horizontal="center" vertical="center" wrapText="1"/>
    </xf>
    <xf numFmtId="166" fontId="73" fillId="33" borderId="12" xfId="62" applyNumberFormat="1" applyFont="1" applyFill="1" applyBorder="1" applyAlignment="1">
      <alignment horizontal="center" vertical="center" wrapText="1"/>
      <protection locked="0"/>
    </xf>
    <xf numFmtId="168" fontId="71" fillId="0" borderId="11" xfId="62" applyNumberFormat="1" applyFont="1" applyFill="1" applyBorder="1" applyAlignment="1" applyProtection="1">
      <alignment horizontal="center" vertical="center" wrapText="1"/>
      <protection/>
    </xf>
    <xf numFmtId="0" fontId="73" fillId="34" borderId="11" xfId="0" applyFont="1" applyFill="1" applyBorder="1" applyAlignment="1">
      <alignment horizontal="center" vertical="center" wrapText="1"/>
    </xf>
    <xf numFmtId="9" fontId="71" fillId="0" borderId="11" xfId="125" applyFont="1" applyBorder="1" applyAlignment="1" applyProtection="1">
      <alignment vertical="center"/>
      <protection locked="0"/>
    </xf>
    <xf numFmtId="166" fontId="71" fillId="0" borderId="11" xfId="62" applyNumberFormat="1" applyFont="1" applyBorder="1" applyAlignment="1">
      <alignment horizontal="right" vertical="center"/>
      <protection locked="0"/>
    </xf>
    <xf numFmtId="9" fontId="76" fillId="33" borderId="11" xfId="125" applyFont="1" applyFill="1" applyBorder="1" applyAlignment="1" applyProtection="1">
      <alignment vertical="center"/>
      <protection locked="0"/>
    </xf>
    <xf numFmtId="164" fontId="61" fillId="0" borderId="0" xfId="62">
      <alignment/>
      <protection locked="0"/>
    </xf>
    <xf numFmtId="0" fontId="73" fillId="34" borderId="11"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50" fillId="0" borderId="0" xfId="109">
      <alignment/>
      <protection/>
    </xf>
    <xf numFmtId="0" fontId="50" fillId="0" borderId="0" xfId="109" applyAlignment="1">
      <alignment horizontal="center"/>
      <protection/>
    </xf>
    <xf numFmtId="0" fontId="71" fillId="0" borderId="0" xfId="109" applyFont="1" applyAlignment="1" applyProtection="1">
      <alignment wrapText="1"/>
      <protection locked="0"/>
    </xf>
    <xf numFmtId="0" fontId="5" fillId="0" borderId="0" xfId="109" applyFont="1" applyAlignment="1" applyProtection="1">
      <alignment/>
      <protection locked="0"/>
    </xf>
    <xf numFmtId="0" fontId="71" fillId="0" borderId="0" xfId="109" applyFont="1" applyAlignment="1" applyProtection="1">
      <alignment horizontal="center" wrapText="1"/>
      <protection locked="0"/>
    </xf>
    <xf numFmtId="0" fontId="74" fillId="0" borderId="11" xfId="109" applyFont="1" applyFill="1" applyBorder="1" applyAlignment="1">
      <alignment horizontal="center" vertical="center" wrapText="1"/>
      <protection/>
    </xf>
    <xf numFmtId="49" fontId="74" fillId="0" borderId="11" xfId="109" applyNumberFormat="1" applyFont="1" applyFill="1" applyBorder="1" applyAlignment="1">
      <alignment horizontal="center" vertical="center" wrapText="1"/>
      <protection/>
    </xf>
    <xf numFmtId="0" fontId="71" fillId="0" borderId="11" xfId="109" applyFont="1" applyFill="1" applyBorder="1" applyAlignment="1">
      <alignment horizontal="justify" vertical="center" wrapText="1"/>
      <protection/>
    </xf>
    <xf numFmtId="0" fontId="71" fillId="0" borderId="11" xfId="109" applyFont="1" applyFill="1" applyBorder="1" applyAlignment="1">
      <alignment horizontal="center" vertical="center" wrapText="1"/>
      <protection/>
    </xf>
    <xf numFmtId="168" fontId="71" fillId="0" borderId="11" xfId="72" applyNumberFormat="1" applyFont="1" applyBorder="1" applyAlignment="1">
      <alignment horizontal="justify" vertical="center" wrapText="1"/>
    </xf>
    <xf numFmtId="168" fontId="71" fillId="0" borderId="11" xfId="72" applyNumberFormat="1" applyFont="1" applyFill="1" applyBorder="1" applyAlignment="1" applyProtection="1">
      <alignment horizontal="center" vertical="center" wrapText="1"/>
      <protection/>
    </xf>
    <xf numFmtId="3" fontId="71" fillId="0" borderId="11" xfId="109" applyNumberFormat="1" applyFont="1" applyFill="1" applyBorder="1" applyAlignment="1">
      <alignment horizontal="center" vertical="center" wrapText="1"/>
      <protection/>
    </xf>
    <xf numFmtId="168" fontId="71" fillId="35" borderId="11" xfId="109" applyNumberFormat="1" applyFont="1" applyFill="1" applyBorder="1" applyAlignment="1">
      <alignment horizontal="center" vertical="center" wrapText="1"/>
      <protection/>
    </xf>
    <xf numFmtId="168" fontId="74" fillId="35" borderId="11" xfId="109" applyNumberFormat="1" applyFont="1" applyFill="1" applyBorder="1" applyAlignment="1">
      <alignment horizontal="left" vertical="center" wrapText="1"/>
      <protection/>
    </xf>
    <xf numFmtId="0" fontId="71" fillId="0" borderId="11" xfId="109" applyFont="1" applyBorder="1" applyAlignment="1">
      <alignment horizontal="justify" vertical="center" wrapText="1"/>
      <protection/>
    </xf>
    <xf numFmtId="0" fontId="71" fillId="0" borderId="11" xfId="109" applyFont="1" applyBorder="1" applyAlignment="1">
      <alignment horizontal="center" vertical="center" wrapText="1"/>
      <protection/>
    </xf>
    <xf numFmtId="43" fontId="71" fillId="0" borderId="0" xfId="109" applyNumberFormat="1" applyFont="1" applyAlignment="1">
      <alignment horizontal="justify" vertical="center" wrapText="1"/>
      <protection/>
    </xf>
    <xf numFmtId="0" fontId="71" fillId="0" borderId="0" xfId="109" applyFont="1" applyAlignment="1">
      <alignment horizontal="justify" vertical="center" wrapText="1"/>
      <protection/>
    </xf>
    <xf numFmtId="0" fontId="74" fillId="36" borderId="11" xfId="109" applyFont="1" applyFill="1" applyBorder="1" applyAlignment="1">
      <alignment horizontal="center" vertical="center" wrapText="1"/>
      <protection/>
    </xf>
    <xf numFmtId="49" fontId="74" fillId="36" borderId="11" xfId="109" applyNumberFormat="1" applyFont="1" applyFill="1" applyBorder="1" applyAlignment="1">
      <alignment horizontal="center" vertical="center" wrapText="1"/>
      <protection/>
    </xf>
    <xf numFmtId="0" fontId="71" fillId="36" borderId="11" xfId="109" applyFont="1" applyFill="1" applyBorder="1" applyAlignment="1">
      <alignment horizontal="justify" vertical="center" wrapText="1"/>
      <protection/>
    </xf>
    <xf numFmtId="0" fontId="71" fillId="36" borderId="11" xfId="109" applyFont="1" applyFill="1" applyBorder="1" applyAlignment="1">
      <alignment horizontal="center" vertical="center" wrapText="1"/>
      <protection/>
    </xf>
    <xf numFmtId="168" fontId="71" fillId="36" borderId="11" xfId="62" applyNumberFormat="1" applyFont="1" applyFill="1" applyBorder="1" applyAlignment="1">
      <alignment vertical="center"/>
      <protection locked="0"/>
    </xf>
    <xf numFmtId="168" fontId="71" fillId="36" borderId="11" xfId="62" applyNumberFormat="1" applyFont="1" applyFill="1" applyBorder="1" applyAlignment="1" applyProtection="1">
      <alignment horizontal="center" vertical="center" wrapText="1"/>
      <protection/>
    </xf>
    <xf numFmtId="168" fontId="71" fillId="36" borderId="11" xfId="109" applyNumberFormat="1" applyFont="1" applyFill="1" applyBorder="1" applyAlignment="1">
      <alignment horizontal="center" vertical="center" wrapText="1"/>
      <protection/>
    </xf>
    <xf numFmtId="168" fontId="74" fillId="36" borderId="11" xfId="109" applyNumberFormat="1" applyFont="1" applyFill="1" applyBorder="1" applyAlignment="1">
      <alignment horizontal="left" vertical="center" wrapText="1"/>
      <protection/>
    </xf>
    <xf numFmtId="0" fontId="71" fillId="36" borderId="0" xfId="109" applyFont="1" applyFill="1" applyAlignment="1">
      <alignment horizontal="justify" vertical="center" wrapText="1"/>
      <protection/>
    </xf>
    <xf numFmtId="168" fontId="71" fillId="0" borderId="11" xfId="109" applyNumberFormat="1" applyFont="1" applyFill="1" applyBorder="1" applyAlignment="1">
      <alignment horizontal="center" vertical="center" wrapText="1"/>
      <protection/>
    </xf>
    <xf numFmtId="168" fontId="74" fillId="0" borderId="11" xfId="109" applyNumberFormat="1" applyFont="1" applyFill="1" applyBorder="1" applyAlignment="1">
      <alignment horizontal="left" vertical="center" wrapText="1"/>
      <protection/>
    </xf>
    <xf numFmtId="0" fontId="71" fillId="0" borderId="0" xfId="109" applyFont="1" applyFill="1" applyAlignment="1">
      <alignment horizontal="justify" vertical="center" wrapText="1"/>
      <protection/>
    </xf>
    <xf numFmtId="168" fontId="74" fillId="36" borderId="11" xfId="62" applyNumberFormat="1" applyFont="1" applyFill="1" applyBorder="1" applyAlignment="1" applyProtection="1">
      <alignment horizontal="left" vertical="center" wrapText="1"/>
      <protection/>
    </xf>
    <xf numFmtId="168" fontId="71" fillId="0" borderId="11" xfId="62" applyNumberFormat="1" applyFont="1" applyFill="1" applyBorder="1" applyAlignment="1">
      <alignment vertical="center"/>
      <protection locked="0"/>
    </xf>
    <xf numFmtId="164" fontId="71" fillId="36" borderId="11" xfId="72" applyFont="1" applyFill="1" applyBorder="1" applyAlignment="1">
      <alignment horizontal="right" vertical="center" wrapText="1"/>
    </xf>
    <xf numFmtId="164" fontId="71" fillId="36" borderId="11" xfId="72" applyFont="1" applyFill="1" applyBorder="1" applyAlignment="1">
      <alignment horizontal="justify" vertical="center" wrapText="1"/>
    </xf>
    <xf numFmtId="168" fontId="71" fillId="36" borderId="11" xfId="62" applyNumberFormat="1" applyFont="1" applyFill="1" applyBorder="1" applyAlignment="1" applyProtection="1">
      <alignment horizontal="justify" vertical="center" wrapText="1"/>
      <protection/>
    </xf>
    <xf numFmtId="0" fontId="71" fillId="35" borderId="11" xfId="109" applyFont="1" applyFill="1" applyBorder="1" applyAlignment="1">
      <alignment horizontal="justify" vertical="center" wrapText="1"/>
      <protection/>
    </xf>
    <xf numFmtId="0" fontId="71" fillId="35" borderId="11" xfId="109" applyFont="1" applyFill="1" applyBorder="1" applyAlignment="1">
      <alignment horizontal="center" vertical="center" wrapText="1"/>
      <protection/>
    </xf>
    <xf numFmtId="0" fontId="71" fillId="35" borderId="0" xfId="109" applyFont="1" applyFill="1" applyAlignment="1">
      <alignment horizontal="justify" vertical="center" wrapText="1"/>
      <protection/>
    </xf>
    <xf numFmtId="168" fontId="77" fillId="0" borderId="12" xfId="62" applyNumberFormat="1" applyFont="1" applyFill="1" applyBorder="1" applyAlignment="1">
      <alignment vertical="center"/>
      <protection locked="0"/>
    </xf>
    <xf numFmtId="4" fontId="50" fillId="0" borderId="0" xfId="109" applyNumberFormat="1">
      <alignment/>
      <protection/>
    </xf>
    <xf numFmtId="168" fontId="77" fillId="0" borderId="11" xfId="62" applyNumberFormat="1" applyFont="1" applyFill="1" applyBorder="1" applyAlignment="1">
      <alignment vertical="center"/>
      <protection locked="0"/>
    </xf>
    <xf numFmtId="4" fontId="78" fillId="0" borderId="0" xfId="109" applyNumberFormat="1" applyFont="1">
      <alignment/>
      <protection/>
    </xf>
    <xf numFmtId="0" fontId="78" fillId="0" borderId="0" xfId="109" applyFont="1">
      <alignment/>
      <protection/>
    </xf>
    <xf numFmtId="0" fontId="78" fillId="0" borderId="0" xfId="109" applyFont="1" applyAlignment="1">
      <alignment horizontal="center"/>
      <protection/>
    </xf>
    <xf numFmtId="4" fontId="79" fillId="0" borderId="11" xfId="109" applyNumberFormat="1" applyFont="1" applyBorder="1">
      <alignment/>
      <protection/>
    </xf>
    <xf numFmtId="168" fontId="76" fillId="0" borderId="11" xfId="62" applyNumberFormat="1" applyFont="1" applyFill="1" applyBorder="1" applyAlignment="1">
      <alignment vertical="center"/>
      <protection locked="0"/>
    </xf>
    <xf numFmtId="4" fontId="79" fillId="0" borderId="11" xfId="109" applyNumberFormat="1" applyFont="1" applyBorder="1" applyAlignment="1">
      <alignment vertical="center"/>
      <protection/>
    </xf>
    <xf numFmtId="0" fontId="79" fillId="0" borderId="0" xfId="109" applyFont="1" applyAlignment="1">
      <alignment vertical="center"/>
      <protection/>
    </xf>
    <xf numFmtId="0" fontId="79" fillId="0" borderId="0" xfId="109" applyFont="1" applyBorder="1" applyAlignment="1">
      <alignment vertical="center"/>
      <protection/>
    </xf>
    <xf numFmtId="0" fontId="50" fillId="0" borderId="0" xfId="109" applyBorder="1">
      <alignment/>
      <protection/>
    </xf>
    <xf numFmtId="168" fontId="71" fillId="0" borderId="0" xfId="62" applyNumberFormat="1" applyFont="1" applyFill="1" applyBorder="1" applyAlignment="1">
      <alignment vertical="center"/>
      <protection locked="0"/>
    </xf>
    <xf numFmtId="168" fontId="50" fillId="0" borderId="0" xfId="109" applyNumberFormat="1" applyBorder="1">
      <alignment/>
      <protection/>
    </xf>
    <xf numFmtId="168" fontId="80" fillId="0" borderId="0" xfId="109" applyNumberFormat="1" applyFont="1">
      <alignment/>
      <protection/>
    </xf>
    <xf numFmtId="168" fontId="50" fillId="0" borderId="0" xfId="109" applyNumberFormat="1">
      <alignment/>
      <protection/>
    </xf>
    <xf numFmtId="4" fontId="14" fillId="0" borderId="0" xfId="0" applyNumberFormat="1" applyFont="1" applyBorder="1" applyAlignment="1">
      <alignment horizontal="justify" vertical="center" wrapText="1"/>
    </xf>
    <xf numFmtId="9" fontId="0" fillId="0" borderId="0" xfId="124" applyFont="1" applyAlignment="1">
      <alignment/>
    </xf>
    <xf numFmtId="165" fontId="73" fillId="37" borderId="11" xfId="62" applyNumberFormat="1" applyFont="1" applyFill="1" applyBorder="1" applyAlignment="1" applyProtection="1">
      <alignment horizontal="center" vertical="center" wrapText="1"/>
      <protection locked="0"/>
    </xf>
    <xf numFmtId="168" fontId="81" fillId="0" borderId="0" xfId="109" applyNumberFormat="1" applyFont="1" applyBorder="1">
      <alignment/>
      <protection/>
    </xf>
    <xf numFmtId="168" fontId="81" fillId="0" borderId="0" xfId="109" applyNumberFormat="1" applyFont="1">
      <alignment/>
      <protection/>
    </xf>
    <xf numFmtId="43" fontId="71" fillId="0" borderId="0" xfId="0" applyNumberFormat="1" applyFont="1" applyAlignment="1" applyProtection="1">
      <alignment horizontal="center" wrapText="1"/>
      <protection locked="0"/>
    </xf>
    <xf numFmtId="0" fontId="73" fillId="34" borderId="11" xfId="0" applyFont="1" applyFill="1" applyBorder="1" applyAlignment="1">
      <alignment horizontal="center" vertical="center" wrapText="1"/>
    </xf>
    <xf numFmtId="168" fontId="71" fillId="0" borderId="12" xfId="62" applyNumberFormat="1" applyFont="1" applyFill="1" applyBorder="1" applyAlignment="1" applyProtection="1">
      <alignment horizontal="center" vertical="center" wrapText="1"/>
      <protection/>
    </xf>
    <xf numFmtId="0" fontId="74" fillId="0" borderId="12" xfId="109" applyFont="1" applyFill="1" applyBorder="1" applyAlignment="1">
      <alignment horizontal="center" vertical="center" wrapText="1"/>
      <protection/>
    </xf>
    <xf numFmtId="49" fontId="74" fillId="0" borderId="12" xfId="109" applyNumberFormat="1" applyFont="1" applyFill="1" applyBorder="1" applyAlignment="1">
      <alignment horizontal="center" vertical="center" wrapText="1"/>
      <protection/>
    </xf>
    <xf numFmtId="0" fontId="71" fillId="0" borderId="12" xfId="109" applyFont="1" applyFill="1" applyBorder="1" applyAlignment="1">
      <alignment horizontal="justify" vertical="center" wrapText="1"/>
      <protection/>
    </xf>
    <xf numFmtId="0" fontId="71" fillId="0" borderId="12" xfId="109" applyFont="1" applyFill="1" applyBorder="1" applyAlignment="1">
      <alignment horizontal="center" vertical="center" wrapText="1"/>
      <protection/>
    </xf>
    <xf numFmtId="168" fontId="71" fillId="0" borderId="12" xfId="62" applyNumberFormat="1" applyFont="1" applyFill="1" applyBorder="1" applyAlignment="1">
      <alignment vertical="center"/>
      <protection locked="0"/>
    </xf>
    <xf numFmtId="168" fontId="71" fillId="35" borderId="12" xfId="109" applyNumberFormat="1" applyFont="1" applyFill="1" applyBorder="1" applyAlignment="1">
      <alignment horizontal="center" vertical="center" wrapText="1"/>
      <protection/>
    </xf>
    <xf numFmtId="168" fontId="71" fillId="35" borderId="0" xfId="109" applyNumberFormat="1" applyFont="1" applyFill="1" applyBorder="1" applyAlignment="1">
      <alignment horizontal="center" vertical="center" wrapText="1"/>
      <protection/>
    </xf>
    <xf numFmtId="168" fontId="74" fillId="35" borderId="0" xfId="109" applyNumberFormat="1" applyFont="1" applyFill="1" applyBorder="1" applyAlignment="1">
      <alignment horizontal="left" vertical="center" wrapText="1"/>
      <protection/>
    </xf>
    <xf numFmtId="0" fontId="71" fillId="35" borderId="0" xfId="109" applyFont="1" applyFill="1" applyBorder="1" applyAlignment="1">
      <alignment horizontal="justify" vertical="center" wrapText="1"/>
      <protection/>
    </xf>
    <xf numFmtId="0" fontId="71" fillId="35" borderId="0" xfId="109" applyFont="1" applyFill="1" applyBorder="1" applyAlignment="1">
      <alignment horizontal="center" vertical="center" wrapText="1"/>
      <protection/>
    </xf>
    <xf numFmtId="0" fontId="71" fillId="0" borderId="0" xfId="109" applyFont="1" applyFill="1" applyBorder="1" applyAlignment="1">
      <alignment horizontal="center" vertical="center" wrapText="1"/>
      <protection/>
    </xf>
    <xf numFmtId="166" fontId="73" fillId="33" borderId="11" xfId="0" applyNumberFormat="1"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15" xfId="0" applyFont="1" applyFill="1" applyBorder="1" applyAlignment="1">
      <alignment horizontal="center" vertical="center" wrapText="1"/>
    </xf>
    <xf numFmtId="0" fontId="73" fillId="33" borderId="16" xfId="0" applyFont="1" applyFill="1" applyBorder="1" applyAlignment="1">
      <alignment horizontal="center" vertical="center" wrapText="1"/>
    </xf>
    <xf numFmtId="0" fontId="74" fillId="33" borderId="17" xfId="0" applyFont="1" applyFill="1" applyBorder="1" applyAlignment="1">
      <alignment vertical="center" wrapText="1"/>
    </xf>
    <xf numFmtId="166" fontId="71" fillId="0" borderId="18" xfId="62" applyNumberFormat="1" applyFont="1" applyBorder="1" applyAlignment="1">
      <alignment vertical="center"/>
      <protection locked="0"/>
    </xf>
    <xf numFmtId="0" fontId="74" fillId="33" borderId="19" xfId="0" applyFont="1" applyFill="1" applyBorder="1" applyAlignment="1">
      <alignment vertical="center" wrapText="1"/>
    </xf>
    <xf numFmtId="166" fontId="71" fillId="0" borderId="20" xfId="62" applyNumberFormat="1" applyFont="1" applyBorder="1" applyAlignment="1">
      <alignment vertical="center"/>
      <protection locked="0"/>
    </xf>
    <xf numFmtId="166" fontId="71" fillId="0" borderId="21" xfId="62" applyNumberFormat="1" applyFont="1" applyBorder="1" applyAlignment="1">
      <alignment vertical="center"/>
      <protection locked="0"/>
    </xf>
    <xf numFmtId="0" fontId="74" fillId="33" borderId="16" xfId="0" applyFont="1" applyFill="1" applyBorder="1" applyAlignment="1">
      <alignment horizontal="center" vertical="center" wrapText="1"/>
    </xf>
    <xf numFmtId="166" fontId="71" fillId="0" borderId="18" xfId="62" applyNumberFormat="1" applyFont="1" applyBorder="1" applyAlignment="1">
      <alignment horizontal="center" vertical="center"/>
      <protection locked="0"/>
    </xf>
    <xf numFmtId="166" fontId="71" fillId="0" borderId="21" xfId="62" applyNumberFormat="1" applyFont="1" applyBorder="1" applyAlignment="1">
      <alignment horizontal="center" vertical="center"/>
      <protection locked="0"/>
    </xf>
    <xf numFmtId="0" fontId="73" fillId="34" borderId="11" xfId="0" applyFont="1" applyFill="1" applyBorder="1" applyAlignment="1">
      <alignment horizontal="center" vertical="center" wrapText="1"/>
    </xf>
    <xf numFmtId="166" fontId="73" fillId="33" borderId="13" xfId="62" applyNumberFormat="1" applyFont="1" applyFill="1" applyBorder="1" applyAlignment="1">
      <alignment horizontal="center" vertical="center" wrapText="1"/>
      <protection locked="0"/>
    </xf>
    <xf numFmtId="166" fontId="73" fillId="33" borderId="15" xfId="62" applyNumberFormat="1" applyFont="1" applyFill="1" applyBorder="1" applyAlignment="1">
      <alignment horizontal="center" vertical="center" wrapText="1"/>
      <protection locked="0"/>
    </xf>
    <xf numFmtId="166" fontId="74" fillId="33" borderId="20" xfId="62" applyNumberFormat="1" applyFont="1" applyFill="1" applyBorder="1" applyAlignment="1">
      <alignment vertical="center"/>
      <protection locked="0"/>
    </xf>
    <xf numFmtId="166" fontId="74" fillId="33" borderId="21" xfId="62" applyNumberFormat="1" applyFont="1" applyFill="1" applyBorder="1" applyAlignment="1">
      <alignment vertical="center"/>
      <protection locked="0"/>
    </xf>
    <xf numFmtId="0" fontId="73" fillId="33" borderId="22" xfId="0" applyFont="1" applyFill="1" applyBorder="1" applyAlignment="1">
      <alignment horizontal="center" vertical="center" wrapText="1"/>
    </xf>
    <xf numFmtId="0" fontId="82" fillId="0" borderId="0" xfId="98" applyFont="1" applyFill="1" applyAlignment="1">
      <alignment wrapText="1"/>
      <protection/>
    </xf>
    <xf numFmtId="0" fontId="82" fillId="0" borderId="0" xfId="98" applyFont="1" applyAlignment="1">
      <alignment wrapText="1"/>
      <protection/>
    </xf>
    <xf numFmtId="0" fontId="35" fillId="0" borderId="0" xfId="98" applyFont="1" applyAlignment="1">
      <alignment/>
      <protection/>
    </xf>
    <xf numFmtId="164" fontId="82" fillId="0" borderId="0" xfId="62" applyFont="1">
      <alignment/>
      <protection locked="0"/>
    </xf>
    <xf numFmtId="43" fontId="82" fillId="0" borderId="0" xfId="98" applyNumberFormat="1" applyFont="1" applyAlignment="1" applyProtection="1">
      <alignment horizontal="center" wrapText="1"/>
      <protection locked="0"/>
    </xf>
    <xf numFmtId="0" fontId="82" fillId="0" borderId="0" xfId="98" applyFont="1" applyAlignment="1">
      <alignment horizontal="justify" vertical="center" wrapText="1"/>
      <protection/>
    </xf>
    <xf numFmtId="0" fontId="82" fillId="0" borderId="11" xfId="98" applyFont="1" applyFill="1" applyBorder="1" applyAlignment="1">
      <alignment horizontal="justify" vertical="center" wrapText="1"/>
      <protection/>
    </xf>
    <xf numFmtId="0" fontId="82" fillId="35" borderId="11" xfId="98" applyFont="1" applyFill="1" applyBorder="1" applyAlignment="1">
      <alignment horizontal="justify" vertical="center" wrapText="1"/>
      <protection/>
    </xf>
    <xf numFmtId="168" fontId="82" fillId="0" borderId="11" xfId="62" applyNumberFormat="1" applyFont="1" applyFill="1" applyBorder="1" applyAlignment="1" applyProtection="1">
      <alignment horizontal="center" vertical="center" wrapText="1"/>
      <protection/>
    </xf>
    <xf numFmtId="168" fontId="82" fillId="35" borderId="11" xfId="98" applyNumberFormat="1" applyFont="1" applyFill="1" applyBorder="1" applyAlignment="1">
      <alignment horizontal="center" vertical="center" wrapText="1"/>
      <protection/>
    </xf>
    <xf numFmtId="168" fontId="82" fillId="0" borderId="11" xfId="98" applyNumberFormat="1" applyFont="1" applyFill="1" applyBorder="1" applyAlignment="1">
      <alignment horizontal="center" vertical="center" wrapText="1"/>
      <protection/>
    </xf>
    <xf numFmtId="9" fontId="83" fillId="35" borderId="11" xfId="125" applyFont="1" applyFill="1" applyBorder="1" applyAlignment="1">
      <alignment horizontal="justify" vertical="center" wrapText="1"/>
    </xf>
    <xf numFmtId="9" fontId="83" fillId="0" borderId="11" xfId="127" applyFont="1" applyFill="1" applyBorder="1" applyAlignment="1" applyProtection="1">
      <alignment horizontal="center" vertical="center" wrapText="1"/>
      <protection/>
    </xf>
    <xf numFmtId="0" fontId="82" fillId="35" borderId="0" xfId="98" applyFont="1" applyFill="1" applyAlignment="1">
      <alignment horizontal="justify" vertical="center" wrapText="1"/>
      <protection/>
    </xf>
    <xf numFmtId="168" fontId="82" fillId="0" borderId="11" xfId="62" applyNumberFormat="1" applyFont="1" applyFill="1" applyBorder="1" applyAlignment="1" applyProtection="1">
      <alignment horizontal="justify" vertical="center" wrapText="1"/>
      <protection/>
    </xf>
    <xf numFmtId="168" fontId="82" fillId="0" borderId="11" xfId="62" applyNumberFormat="1" applyFont="1" applyBorder="1" applyAlignment="1" applyProtection="1">
      <alignment horizontal="justify" vertical="center" wrapText="1"/>
      <protection/>
    </xf>
    <xf numFmtId="168" fontId="82" fillId="0" borderId="11" xfId="98" applyNumberFormat="1" applyFont="1" applyBorder="1" applyAlignment="1">
      <alignment horizontal="justify" vertical="center" wrapText="1"/>
      <protection/>
    </xf>
    <xf numFmtId="168" fontId="82" fillId="0" borderId="11" xfId="98" applyNumberFormat="1" applyFont="1" applyFill="1" applyBorder="1" applyAlignment="1">
      <alignment horizontal="justify" vertical="center" wrapText="1"/>
      <protection/>
    </xf>
    <xf numFmtId="0" fontId="82" fillId="0" borderId="11" xfId="98" applyFont="1" applyBorder="1" applyAlignment="1">
      <alignment horizontal="justify" vertical="center" wrapText="1"/>
      <protection/>
    </xf>
    <xf numFmtId="0" fontId="82" fillId="0" borderId="11" xfId="98" applyFont="1" applyBorder="1" applyAlignment="1">
      <alignment wrapText="1"/>
      <protection/>
    </xf>
    <xf numFmtId="9" fontId="36" fillId="35" borderId="11" xfId="125" applyFont="1" applyFill="1" applyBorder="1" applyAlignment="1">
      <alignment horizontal="justify" vertical="center" wrapText="1"/>
    </xf>
    <xf numFmtId="3" fontId="82" fillId="0" borderId="11" xfId="88" applyNumberFormat="1" applyFont="1" applyFill="1" applyBorder="1" applyAlignment="1">
      <alignment horizontal="right" vertical="center" wrapText="1"/>
    </xf>
    <xf numFmtId="9" fontId="36" fillId="0" borderId="11" xfId="125" applyFont="1" applyFill="1" applyBorder="1" applyAlignment="1">
      <alignment horizontal="justify" vertical="center" wrapText="1"/>
    </xf>
    <xf numFmtId="168" fontId="82" fillId="0" borderId="11" xfId="98" applyNumberFormat="1" applyFont="1" applyFill="1" applyBorder="1" applyAlignment="1">
      <alignment horizontal="right" vertical="center" wrapText="1"/>
      <protection/>
    </xf>
    <xf numFmtId="9" fontId="36" fillId="0" borderId="11" xfId="127" applyFont="1" applyBorder="1" applyAlignment="1">
      <alignment horizontal="center" vertical="center" wrapText="1"/>
    </xf>
    <xf numFmtId="164" fontId="82" fillId="0" borderId="11" xfId="62" applyFont="1" applyBorder="1" applyAlignment="1">
      <alignment vertical="center"/>
      <protection locked="0"/>
    </xf>
    <xf numFmtId="0" fontId="83" fillId="0" borderId="0" xfId="98" applyFont="1" applyFill="1" applyBorder="1" applyAlignment="1">
      <alignment horizontal="center" vertical="center" wrapText="1"/>
      <protection/>
    </xf>
    <xf numFmtId="9" fontId="83" fillId="35" borderId="11" xfId="125" applyFont="1" applyFill="1" applyBorder="1" applyAlignment="1" applyProtection="1">
      <alignment horizontal="center" vertical="center" wrapText="1"/>
      <protection/>
    </xf>
    <xf numFmtId="9" fontId="83" fillId="35" borderId="11" xfId="125" applyFont="1" applyFill="1" applyBorder="1" applyAlignment="1" applyProtection="1">
      <alignment vertical="center" wrapText="1"/>
      <protection/>
    </xf>
    <xf numFmtId="0" fontId="35" fillId="0" borderId="11" xfId="98" applyFont="1" applyBorder="1" applyAlignment="1">
      <alignment/>
      <protection/>
    </xf>
    <xf numFmtId="0" fontId="79" fillId="37" borderId="11" xfId="98" applyFont="1" applyFill="1" applyBorder="1" applyAlignment="1">
      <alignment horizontal="center" vertical="center" wrapText="1"/>
      <protection/>
    </xf>
    <xf numFmtId="168" fontId="80" fillId="0" borderId="11" xfId="62" applyNumberFormat="1" applyFont="1" applyBorder="1" applyAlignment="1" applyProtection="1">
      <alignment vertical="center"/>
      <protection/>
    </xf>
    <xf numFmtId="9" fontId="80" fillId="0" borderId="11" xfId="125" applyFont="1" applyBorder="1" applyAlignment="1">
      <alignment horizontal="center" vertical="center"/>
    </xf>
    <xf numFmtId="0" fontId="79" fillId="37" borderId="17" xfId="98" applyFont="1" applyFill="1" applyBorder="1" applyAlignment="1">
      <alignment horizontal="center" vertical="center" wrapText="1"/>
      <protection/>
    </xf>
    <xf numFmtId="0" fontId="79" fillId="37" borderId="18" xfId="98" applyFont="1" applyFill="1" applyBorder="1" applyAlignment="1">
      <alignment horizontal="center" vertical="center" wrapText="1"/>
      <protection/>
    </xf>
    <xf numFmtId="0" fontId="80" fillId="0" borderId="17" xfId="98" applyFont="1" applyBorder="1" applyAlignment="1">
      <alignment vertical="center"/>
      <protection/>
    </xf>
    <xf numFmtId="0" fontId="79" fillId="37" borderId="19" xfId="98" applyFont="1" applyFill="1" applyBorder="1" applyAlignment="1">
      <alignment horizontal="center" vertical="center" wrapText="1"/>
      <protection/>
    </xf>
    <xf numFmtId="167" fontId="79" fillId="37" borderId="20" xfId="62" applyNumberFormat="1" applyFont="1" applyFill="1" applyBorder="1" applyAlignment="1" applyProtection="1">
      <alignment horizontal="center" vertical="center" wrapText="1"/>
      <protection/>
    </xf>
    <xf numFmtId="9" fontId="79" fillId="37" borderId="20" xfId="125" applyFont="1" applyFill="1" applyBorder="1" applyAlignment="1">
      <alignment horizontal="center" vertical="center" wrapText="1"/>
    </xf>
    <xf numFmtId="1" fontId="80" fillId="0" borderId="18" xfId="62" applyNumberFormat="1" applyFont="1" applyBorder="1" applyAlignment="1" applyProtection="1">
      <alignment horizontal="center" vertical="center"/>
      <protection/>
    </xf>
    <xf numFmtId="1" fontId="79" fillId="37" borderId="20" xfId="62" applyNumberFormat="1" applyFont="1" applyFill="1" applyBorder="1" applyAlignment="1" applyProtection="1">
      <alignment horizontal="center" vertical="center" wrapText="1"/>
      <protection/>
    </xf>
    <xf numFmtId="0" fontId="73" fillId="33" borderId="23" xfId="0" applyFont="1" applyFill="1" applyBorder="1" applyAlignment="1">
      <alignment horizontal="center" vertical="center" wrapText="1"/>
    </xf>
    <xf numFmtId="0" fontId="73" fillId="33" borderId="24" xfId="0" applyFont="1" applyFill="1" applyBorder="1" applyAlignment="1">
      <alignment horizontal="center" vertical="center" wrapText="1"/>
    </xf>
    <xf numFmtId="166" fontId="71" fillId="0" borderId="18" xfId="62" applyNumberFormat="1" applyFont="1" applyFill="1" applyBorder="1" applyAlignment="1">
      <alignment vertical="center"/>
      <protection locked="0"/>
    </xf>
    <xf numFmtId="168" fontId="82" fillId="0" borderId="11" xfId="62" applyNumberFormat="1" applyFont="1" applyBorder="1">
      <alignment/>
      <protection locked="0"/>
    </xf>
    <xf numFmtId="168" fontId="82" fillId="0" borderId="11" xfId="62" applyNumberFormat="1" applyFont="1" applyBorder="1" applyAlignment="1" applyProtection="1">
      <alignment horizontal="center" vertical="center" wrapText="1"/>
      <protection/>
    </xf>
    <xf numFmtId="0" fontId="73" fillId="34" borderId="25" xfId="0" applyFont="1" applyFill="1" applyBorder="1" applyAlignment="1">
      <alignment horizontal="center" vertical="center" wrapText="1"/>
    </xf>
    <xf numFmtId="0" fontId="73" fillId="34" borderId="26" xfId="0" applyFont="1" applyFill="1" applyBorder="1" applyAlignment="1">
      <alignment vertical="center" wrapText="1"/>
    </xf>
    <xf numFmtId="0" fontId="73" fillId="34" borderId="27" xfId="0" applyFont="1" applyFill="1" applyBorder="1" applyAlignment="1">
      <alignment vertical="center" wrapText="1"/>
    </xf>
    <xf numFmtId="0" fontId="73" fillId="34" borderId="28" xfId="0" applyFont="1" applyFill="1" applyBorder="1" applyAlignment="1">
      <alignment vertical="center" wrapText="1"/>
    </xf>
    <xf numFmtId="166" fontId="71" fillId="0" borderId="11" xfId="62" applyNumberFormat="1" applyFont="1" applyFill="1" applyBorder="1" applyAlignment="1" applyProtection="1">
      <alignment vertical="center"/>
      <protection/>
    </xf>
    <xf numFmtId="166" fontId="74" fillId="33" borderId="11" xfId="62" applyNumberFormat="1" applyFont="1" applyFill="1" applyBorder="1" applyAlignment="1" applyProtection="1">
      <alignment vertical="center"/>
      <protection/>
    </xf>
    <xf numFmtId="0" fontId="73" fillId="34" borderId="12" xfId="0" applyFont="1" applyFill="1" applyBorder="1" applyAlignment="1">
      <alignment horizontal="center" vertical="center" wrapText="1"/>
    </xf>
    <xf numFmtId="0" fontId="35" fillId="0" borderId="11" xfId="98" applyNumberFormat="1" applyFont="1" applyBorder="1" applyAlignment="1">
      <alignment horizontal="center" vertical="center" wrapText="1"/>
      <protection/>
    </xf>
    <xf numFmtId="0" fontId="82" fillId="35" borderId="11" xfId="98" applyNumberFormat="1" applyFont="1" applyFill="1" applyBorder="1" applyAlignment="1">
      <alignment horizontal="center" vertical="center" wrapText="1"/>
      <protection/>
    </xf>
    <xf numFmtId="0" fontId="82" fillId="0" borderId="11" xfId="98" applyNumberFormat="1" applyFont="1" applyFill="1" applyBorder="1" applyAlignment="1">
      <alignment horizontal="center" vertical="center" wrapText="1"/>
      <protection/>
    </xf>
    <xf numFmtId="0" fontId="82" fillId="0" borderId="11" xfId="98" applyNumberFormat="1" applyFont="1" applyBorder="1" applyAlignment="1">
      <alignment horizontal="center" vertical="center" wrapText="1"/>
      <protection/>
    </xf>
    <xf numFmtId="0" fontId="35" fillId="0" borderId="11" xfId="98" applyNumberFormat="1" applyFont="1" applyBorder="1" applyAlignment="1">
      <alignment horizontal="center" vertical="center"/>
      <protection/>
    </xf>
    <xf numFmtId="0" fontId="82" fillId="0" borderId="11" xfId="98" applyFont="1" applyFill="1" applyBorder="1" applyAlignment="1">
      <alignment horizontal="justify" vertical="center"/>
      <protection/>
    </xf>
    <xf numFmtId="0" fontId="82" fillId="0" borderId="11" xfId="98" applyFont="1" applyBorder="1" applyAlignment="1">
      <alignment vertical="center" wrapText="1"/>
      <protection/>
    </xf>
    <xf numFmtId="0" fontId="83" fillId="0" borderId="17" xfId="98" applyFont="1" applyFill="1" applyBorder="1" applyAlignment="1">
      <alignment horizontal="center" vertical="center" wrapText="1"/>
      <protection/>
    </xf>
    <xf numFmtId="0" fontId="82" fillId="0" borderId="11" xfId="98" applyFont="1" applyFill="1" applyBorder="1" applyAlignment="1">
      <alignment horizontal="center" vertical="center" wrapText="1"/>
      <protection/>
    </xf>
    <xf numFmtId="9" fontId="36" fillId="35" borderId="18" xfId="125" applyFont="1" applyFill="1" applyBorder="1" applyAlignment="1">
      <alignment horizontal="center" vertical="center" wrapText="1"/>
    </xf>
    <xf numFmtId="173" fontId="82" fillId="0" borderId="11" xfId="62" applyNumberFormat="1" applyFont="1" applyFill="1" applyBorder="1" applyAlignment="1" applyProtection="1">
      <alignment horizontal="center" vertical="center" wrapText="1"/>
      <protection/>
    </xf>
    <xf numFmtId="3" fontId="82" fillId="0" borderId="11" xfId="90" applyNumberFormat="1" applyFont="1" applyFill="1" applyBorder="1" applyAlignment="1">
      <alignment horizontal="right" vertical="center" wrapText="1"/>
    </xf>
    <xf numFmtId="9" fontId="36" fillId="0" borderId="11" xfId="127" applyFont="1" applyBorder="1" applyAlignment="1" applyProtection="1">
      <alignment horizontal="center" vertical="center" wrapText="1"/>
      <protection/>
    </xf>
    <xf numFmtId="0" fontId="83" fillId="0" borderId="19" xfId="98" applyFont="1" applyFill="1" applyBorder="1" applyAlignment="1">
      <alignment horizontal="center" vertical="center" wrapText="1"/>
      <protection/>
    </xf>
    <xf numFmtId="0" fontId="82" fillId="0" borderId="20" xfId="98" applyFont="1" applyFill="1" applyBorder="1" applyAlignment="1">
      <alignment horizontal="justify" vertical="center" wrapText="1"/>
      <protection/>
    </xf>
    <xf numFmtId="0" fontId="35" fillId="0" borderId="20" xfId="98" applyNumberFormat="1" applyFont="1" applyBorder="1" applyAlignment="1">
      <alignment horizontal="center" vertical="center"/>
      <protection/>
    </xf>
    <xf numFmtId="168" fontId="82" fillId="0" borderId="20" xfId="98" applyNumberFormat="1" applyFont="1" applyFill="1" applyBorder="1" applyAlignment="1">
      <alignment horizontal="center" vertical="center" wrapText="1"/>
      <protection/>
    </xf>
    <xf numFmtId="0" fontId="35" fillId="0" borderId="20" xfId="98" applyFont="1" applyBorder="1" applyAlignment="1">
      <alignment/>
      <protection/>
    </xf>
    <xf numFmtId="168" fontId="82" fillId="0" borderId="20" xfId="62" applyNumberFormat="1" applyFont="1" applyFill="1" applyBorder="1" applyAlignment="1" applyProtection="1">
      <alignment horizontal="justify" vertical="center" wrapText="1"/>
      <protection/>
    </xf>
    <xf numFmtId="168" fontId="82" fillId="0" borderId="20" xfId="98" applyNumberFormat="1" applyFont="1" applyFill="1" applyBorder="1" applyAlignment="1">
      <alignment horizontal="justify" vertical="center" wrapText="1"/>
      <protection/>
    </xf>
    <xf numFmtId="168" fontId="82" fillId="0" borderId="20" xfId="62" applyNumberFormat="1" applyFont="1" applyFill="1" applyBorder="1" applyAlignment="1" applyProtection="1">
      <alignment horizontal="center" vertical="center" wrapText="1"/>
      <protection/>
    </xf>
    <xf numFmtId="9" fontId="36" fillId="0" borderId="20" xfId="127" applyFont="1" applyBorder="1" applyAlignment="1">
      <alignment horizontal="center" vertical="center" wrapText="1"/>
    </xf>
    <xf numFmtId="9" fontId="83" fillId="35" borderId="20" xfId="125" applyFont="1" applyFill="1" applyBorder="1" applyAlignment="1" applyProtection="1">
      <alignment horizontal="center" vertical="center" wrapText="1"/>
      <protection/>
    </xf>
    <xf numFmtId="9" fontId="83" fillId="0" borderId="20" xfId="127" applyFont="1" applyFill="1" applyBorder="1" applyAlignment="1" applyProtection="1">
      <alignment horizontal="center" vertical="center" wrapText="1"/>
      <protection/>
    </xf>
    <xf numFmtId="9" fontId="36" fillId="35" borderId="21" xfId="125" applyFont="1" applyFill="1" applyBorder="1" applyAlignment="1">
      <alignment horizontal="center" vertical="center" wrapText="1"/>
    </xf>
    <xf numFmtId="0" fontId="84" fillId="33" borderId="17" xfId="0" applyFont="1" applyFill="1" applyBorder="1" applyAlignment="1">
      <alignment vertical="center" wrapText="1"/>
    </xf>
    <xf numFmtId="166" fontId="85" fillId="0" borderId="11" xfId="62" applyNumberFormat="1" applyFont="1" applyBorder="1" applyAlignment="1">
      <alignment vertical="center"/>
      <protection locked="0"/>
    </xf>
    <xf numFmtId="166" fontId="85" fillId="0" borderId="11" xfId="62" applyNumberFormat="1" applyFont="1" applyFill="1" applyBorder="1" applyAlignment="1">
      <alignment vertical="center"/>
      <protection locked="0"/>
    </xf>
    <xf numFmtId="166" fontId="85" fillId="0" borderId="18" xfId="62" applyNumberFormat="1" applyFont="1" applyFill="1" applyBorder="1" applyAlignment="1">
      <alignment vertical="center"/>
      <protection locked="0"/>
    </xf>
    <xf numFmtId="0" fontId="5" fillId="0" borderId="0" xfId="0" applyFont="1" applyAlignment="1">
      <alignment/>
    </xf>
    <xf numFmtId="166" fontId="5" fillId="0" borderId="0" xfId="0" applyNumberFormat="1" applyFont="1" applyAlignment="1">
      <alignment/>
    </xf>
    <xf numFmtId="0" fontId="86" fillId="0" borderId="17" xfId="98" applyFont="1" applyBorder="1" applyAlignment="1">
      <alignment vertical="center"/>
      <protection/>
    </xf>
    <xf numFmtId="168" fontId="86" fillId="0" borderId="11" xfId="62" applyNumberFormat="1" applyFont="1" applyBorder="1" applyAlignment="1" applyProtection="1">
      <alignment vertical="center"/>
      <protection/>
    </xf>
    <xf numFmtId="9" fontId="86" fillId="0" borderId="11" xfId="125" applyFont="1" applyBorder="1" applyAlignment="1">
      <alignment horizontal="center" vertical="center"/>
    </xf>
    <xf numFmtId="1" fontId="86" fillId="0" borderId="0" xfId="62" applyNumberFormat="1" applyFont="1" applyBorder="1" applyAlignment="1" applyProtection="1">
      <alignment horizontal="center" vertical="center"/>
      <protection/>
    </xf>
    <xf numFmtId="0" fontId="87" fillId="37" borderId="19" xfId="98" applyFont="1" applyFill="1" applyBorder="1" applyAlignment="1">
      <alignment horizontal="center" vertical="center" wrapText="1"/>
      <protection/>
    </xf>
    <xf numFmtId="167" fontId="87" fillId="37" borderId="20" xfId="62" applyNumberFormat="1" applyFont="1" applyFill="1" applyBorder="1" applyAlignment="1" applyProtection="1">
      <alignment horizontal="center" vertical="center" wrapText="1"/>
      <protection/>
    </xf>
    <xf numFmtId="9" fontId="87" fillId="37" borderId="20" xfId="125" applyFont="1" applyFill="1" applyBorder="1" applyAlignment="1">
      <alignment horizontal="center" vertical="center" wrapText="1"/>
    </xf>
    <xf numFmtId="1" fontId="87" fillId="37" borderId="0" xfId="62" applyNumberFormat="1" applyFont="1" applyFill="1" applyBorder="1" applyAlignment="1" applyProtection="1">
      <alignment horizontal="center" vertical="center" wrapText="1"/>
      <protection/>
    </xf>
    <xf numFmtId="0" fontId="86" fillId="0" borderId="0" xfId="102" applyFont="1">
      <alignment/>
      <protection/>
    </xf>
    <xf numFmtId="3" fontId="86" fillId="0" borderId="0" xfId="102" applyNumberFormat="1" applyFont="1" applyFill="1">
      <alignment/>
      <protection/>
    </xf>
    <xf numFmtId="3" fontId="86" fillId="0" borderId="0" xfId="102" applyNumberFormat="1" applyFont="1">
      <alignment/>
      <protection/>
    </xf>
    <xf numFmtId="0" fontId="87" fillId="33" borderId="14" xfId="102" applyFont="1" applyFill="1" applyBorder="1" applyAlignment="1">
      <alignment horizontal="center" vertical="center" wrapText="1"/>
      <protection/>
    </xf>
    <xf numFmtId="3" fontId="86" fillId="0" borderId="11" xfId="102" applyNumberFormat="1" applyFont="1" applyFill="1" applyBorder="1">
      <alignment/>
      <protection/>
    </xf>
    <xf numFmtId="10" fontId="86" fillId="0" borderId="11" xfId="124" applyNumberFormat="1" applyFont="1" applyBorder="1" applyAlignment="1">
      <alignment horizontal="center"/>
    </xf>
    <xf numFmtId="3" fontId="87" fillId="37" borderId="11" xfId="102" applyNumberFormat="1" applyFont="1" applyFill="1" applyBorder="1">
      <alignment/>
      <protection/>
    </xf>
    <xf numFmtId="3" fontId="86" fillId="0" borderId="11" xfId="102" applyNumberFormat="1" applyFont="1" applyFill="1" applyBorder="1" applyAlignment="1">
      <alignment/>
      <protection/>
    </xf>
    <xf numFmtId="3" fontId="86" fillId="0" borderId="18" xfId="102" applyNumberFormat="1" applyFont="1" applyFill="1" applyBorder="1" applyAlignment="1">
      <alignment/>
      <protection/>
    </xf>
    <xf numFmtId="0" fontId="87" fillId="33" borderId="15" xfId="102" applyFont="1" applyFill="1" applyBorder="1" applyAlignment="1">
      <alignment horizontal="center" vertical="center" wrapText="1"/>
      <protection/>
    </xf>
    <xf numFmtId="0" fontId="87" fillId="33" borderId="16" xfId="102" applyFont="1" applyFill="1" applyBorder="1" applyAlignment="1">
      <alignment horizontal="center" vertical="center" wrapText="1"/>
      <protection/>
    </xf>
    <xf numFmtId="0" fontId="85" fillId="0" borderId="17" xfId="0" applyFont="1" applyBorder="1" applyAlignment="1">
      <alignment/>
    </xf>
    <xf numFmtId="0" fontId="86" fillId="0" borderId="11" xfId="102" applyFont="1" applyBorder="1" applyAlignment="1">
      <alignment horizontal="center"/>
      <protection/>
    </xf>
    <xf numFmtId="3" fontId="86" fillId="0" borderId="11" xfId="102" applyNumberFormat="1" applyFont="1" applyBorder="1">
      <alignment/>
      <protection/>
    </xf>
    <xf numFmtId="9" fontId="86" fillId="0" borderId="11" xfId="124" applyFont="1" applyBorder="1" applyAlignment="1">
      <alignment horizontal="center"/>
    </xf>
    <xf numFmtId="3" fontId="86" fillId="0" borderId="18" xfId="102" applyNumberFormat="1" applyFont="1" applyBorder="1">
      <alignment/>
      <protection/>
    </xf>
    <xf numFmtId="0" fontId="84" fillId="0" borderId="17" xfId="0" applyFont="1" applyBorder="1" applyAlignment="1">
      <alignment/>
    </xf>
    <xf numFmtId="0" fontId="87" fillId="0" borderId="11" xfId="102" applyFont="1" applyBorder="1" applyAlignment="1">
      <alignment horizontal="center"/>
      <protection/>
    </xf>
    <xf numFmtId="3" fontId="87" fillId="0" borderId="11" xfId="102" applyNumberFormat="1" applyFont="1" applyBorder="1">
      <alignment/>
      <protection/>
    </xf>
    <xf numFmtId="9" fontId="87" fillId="0" borderId="11" xfId="124" applyFont="1" applyBorder="1" applyAlignment="1">
      <alignment horizontal="center"/>
    </xf>
    <xf numFmtId="3" fontId="87" fillId="0" borderId="18" xfId="102" applyNumberFormat="1" applyFont="1" applyBorder="1">
      <alignment/>
      <protection/>
    </xf>
    <xf numFmtId="0" fontId="86" fillId="0" borderId="0" xfId="102" applyFont="1" applyFill="1">
      <alignment/>
      <protection/>
    </xf>
    <xf numFmtId="164" fontId="85" fillId="0" borderId="0" xfId="51" applyFont="1">
      <alignment/>
      <protection locked="0"/>
    </xf>
    <xf numFmtId="0" fontId="86" fillId="0" borderId="0" xfId="102" applyFont="1" applyBorder="1" applyAlignment="1">
      <alignment horizontal="justify" vertical="center" wrapText="1"/>
      <protection/>
    </xf>
    <xf numFmtId="0" fontId="84" fillId="33" borderId="16" xfId="0" applyFont="1" applyFill="1" applyBorder="1" applyAlignment="1">
      <alignment horizontal="center" vertical="center" wrapText="1"/>
    </xf>
    <xf numFmtId="166" fontId="85" fillId="0" borderId="18" xfId="62" applyNumberFormat="1" applyFont="1" applyBorder="1" applyAlignment="1">
      <alignment horizontal="center" vertical="center"/>
      <protection locked="0"/>
    </xf>
    <xf numFmtId="0" fontId="86" fillId="0" borderId="17" xfId="102" applyFont="1" applyFill="1" applyBorder="1" applyProtection="1">
      <alignment/>
      <protection/>
    </xf>
    <xf numFmtId="168" fontId="83" fillId="35" borderId="11" xfId="98" applyNumberFormat="1" applyFont="1" applyFill="1" applyBorder="1" applyAlignment="1">
      <alignment horizontal="center" vertical="center" wrapText="1"/>
      <protection/>
    </xf>
    <xf numFmtId="168" fontId="83" fillId="0" borderId="11" xfId="98" applyNumberFormat="1" applyFont="1" applyBorder="1" applyAlignment="1">
      <alignment horizontal="center" vertical="center" wrapText="1"/>
      <protection/>
    </xf>
    <xf numFmtId="168" fontId="83" fillId="0" borderId="11" xfId="98" applyNumberFormat="1" applyFont="1" applyFill="1" applyBorder="1" applyAlignment="1">
      <alignment horizontal="center" vertical="center" wrapText="1"/>
      <protection/>
    </xf>
    <xf numFmtId="0" fontId="82" fillId="0" borderId="0" xfId="98" applyFont="1" applyFill="1" applyAlignment="1" applyProtection="1">
      <alignment wrapText="1"/>
      <protection/>
    </xf>
    <xf numFmtId="0" fontId="82" fillId="0" borderId="0" xfId="98" applyFont="1" applyAlignment="1" applyProtection="1">
      <alignment wrapText="1"/>
      <protection/>
    </xf>
    <xf numFmtId="0" fontId="35" fillId="0" borderId="0" xfId="98" applyFont="1" applyAlignment="1" applyProtection="1">
      <alignment/>
      <protection/>
    </xf>
    <xf numFmtId="0" fontId="82" fillId="0" borderId="0" xfId="98" applyFont="1" applyAlignment="1" applyProtection="1">
      <alignment horizontal="center" vertical="center" wrapText="1"/>
      <protection/>
    </xf>
    <xf numFmtId="168" fontId="82" fillId="0" borderId="0" xfId="98" applyNumberFormat="1" applyFont="1" applyFill="1" applyAlignment="1" applyProtection="1">
      <alignment wrapText="1"/>
      <protection/>
    </xf>
    <xf numFmtId="0" fontId="5" fillId="0" borderId="0" xfId="0" applyFont="1" applyAlignment="1" applyProtection="1">
      <alignment/>
      <protection/>
    </xf>
    <xf numFmtId="0" fontId="71" fillId="0" borderId="0" xfId="0" applyFont="1" applyAlignment="1" applyProtection="1">
      <alignment horizontal="center" wrapText="1"/>
      <protection/>
    </xf>
    <xf numFmtId="0" fontId="71" fillId="0" borderId="0" xfId="0" applyFont="1" applyAlignment="1" applyProtection="1">
      <alignment horizontal="justify" vertical="center" wrapText="1"/>
      <protection/>
    </xf>
    <xf numFmtId="0" fontId="71" fillId="0" borderId="0" xfId="0" applyFont="1" applyFill="1" applyAlignment="1" applyProtection="1">
      <alignment wrapText="1"/>
      <protection/>
    </xf>
    <xf numFmtId="0" fontId="71" fillId="0" borderId="0" xfId="0" applyFont="1" applyAlignment="1" applyProtection="1">
      <alignment wrapText="1"/>
      <protection/>
    </xf>
    <xf numFmtId="0" fontId="0" fillId="0" borderId="0" xfId="0" applyAlignment="1" applyProtection="1">
      <alignment/>
      <protection/>
    </xf>
    <xf numFmtId="3" fontId="82" fillId="0" borderId="0" xfId="98" applyNumberFormat="1" applyFont="1" applyAlignment="1" applyProtection="1">
      <alignment wrapText="1"/>
      <protection/>
    </xf>
    <xf numFmtId="0" fontId="84" fillId="33" borderId="29" xfId="0" applyFont="1" applyFill="1" applyBorder="1" applyAlignment="1">
      <alignment vertical="center" wrapText="1"/>
    </xf>
    <xf numFmtId="166" fontId="85" fillId="0" borderId="12" xfId="62" applyNumberFormat="1" applyFont="1" applyBorder="1" applyAlignment="1">
      <alignment vertical="center"/>
      <protection locked="0"/>
    </xf>
    <xf numFmtId="166" fontId="85" fillId="0" borderId="12" xfId="62" applyNumberFormat="1" applyFont="1" applyFill="1" applyBorder="1" applyAlignment="1">
      <alignment vertical="center"/>
      <protection locked="0"/>
    </xf>
    <xf numFmtId="166" fontId="85" fillId="0" borderId="30" xfId="62" applyNumberFormat="1" applyFont="1" applyFill="1" applyBorder="1" applyAlignment="1">
      <alignment vertical="center"/>
      <protection locked="0"/>
    </xf>
    <xf numFmtId="0" fontId="87" fillId="33" borderId="31" xfId="0" applyFont="1" applyFill="1" applyBorder="1" applyAlignment="1" applyProtection="1">
      <alignment horizontal="center" vertical="center" wrapText="1"/>
      <protection/>
    </xf>
    <xf numFmtId="166" fontId="87" fillId="33" borderId="31" xfId="62" applyNumberFormat="1" applyFont="1" applyFill="1" applyBorder="1" applyAlignment="1" applyProtection="1">
      <alignment horizontal="center" vertical="center" wrapText="1"/>
      <protection/>
    </xf>
    <xf numFmtId="0" fontId="84" fillId="33" borderId="32" xfId="0" applyFont="1" applyFill="1" applyBorder="1" applyAlignment="1">
      <alignment vertical="center" wrapText="1"/>
    </xf>
    <xf numFmtId="166" fontId="85" fillId="0" borderId="33" xfId="62" applyNumberFormat="1" applyFont="1" applyBorder="1" applyAlignment="1">
      <alignment vertical="center"/>
      <protection locked="0"/>
    </xf>
    <xf numFmtId="166" fontId="85" fillId="0" borderId="33" xfId="62" applyNumberFormat="1" applyFont="1" applyFill="1" applyBorder="1" applyAlignment="1">
      <alignment vertical="center"/>
      <protection locked="0"/>
    </xf>
    <xf numFmtId="166" fontId="85" fillId="0" borderId="34" xfId="62" applyNumberFormat="1" applyFont="1" applyFill="1" applyBorder="1" applyAlignment="1">
      <alignment vertical="center"/>
      <protection locked="0"/>
    </xf>
    <xf numFmtId="0" fontId="84" fillId="33" borderId="31" xfId="0" applyFont="1" applyFill="1" applyBorder="1" applyAlignment="1" applyProtection="1">
      <alignment vertical="center" wrapText="1"/>
      <protection/>
    </xf>
    <xf numFmtId="166" fontId="84" fillId="33" borderId="31" xfId="62" applyNumberFormat="1" applyFont="1" applyFill="1" applyBorder="1" applyAlignment="1" applyProtection="1">
      <alignment vertical="center"/>
      <protection/>
    </xf>
    <xf numFmtId="0" fontId="86" fillId="0" borderId="29" xfId="102" applyFont="1" applyFill="1" applyBorder="1" applyProtection="1">
      <alignment/>
      <protection/>
    </xf>
    <xf numFmtId="3" fontId="86" fillId="0" borderId="12" xfId="102" applyNumberFormat="1" applyFont="1" applyFill="1" applyBorder="1">
      <alignment/>
      <protection/>
    </xf>
    <xf numFmtId="10" fontId="86" fillId="0" borderId="12" xfId="124" applyNumberFormat="1" applyFont="1" applyBorder="1" applyAlignment="1">
      <alignment horizontal="center"/>
    </xf>
    <xf numFmtId="3" fontId="87" fillId="37" borderId="12" xfId="102" applyNumberFormat="1" applyFont="1" applyFill="1" applyBorder="1">
      <alignment/>
      <protection/>
    </xf>
    <xf numFmtId="3" fontId="86" fillId="0" borderId="12" xfId="102" applyNumberFormat="1" applyFont="1" applyFill="1" applyBorder="1" applyAlignment="1">
      <alignment/>
      <protection/>
    </xf>
    <xf numFmtId="3" fontId="86" fillId="0" borderId="30" xfId="102" applyNumberFormat="1" applyFont="1" applyFill="1" applyBorder="1" applyAlignment="1">
      <alignment/>
      <protection/>
    </xf>
    <xf numFmtId="0" fontId="87" fillId="33" borderId="31" xfId="102" applyFont="1" applyFill="1" applyBorder="1" applyAlignment="1" applyProtection="1">
      <alignment horizontal="center" vertical="center" wrapText="1"/>
      <protection/>
    </xf>
    <xf numFmtId="3" fontId="87" fillId="33" borderId="31" xfId="102" applyNumberFormat="1" applyFont="1" applyFill="1" applyBorder="1" applyAlignment="1" applyProtection="1">
      <alignment horizontal="center" vertical="center" wrapText="1"/>
      <protection/>
    </xf>
    <xf numFmtId="3" fontId="39" fillId="33" borderId="31" xfId="102" applyNumberFormat="1" applyFont="1" applyFill="1" applyBorder="1" applyAlignment="1" applyProtection="1">
      <alignment horizontal="center" vertical="center" wrapText="1"/>
      <protection/>
    </xf>
    <xf numFmtId="0" fontId="86" fillId="0" borderId="32" xfId="102" applyFont="1" applyFill="1" applyBorder="1" applyProtection="1">
      <alignment/>
      <protection/>
    </xf>
    <xf numFmtId="3" fontId="86" fillId="0" borderId="33" xfId="102" applyNumberFormat="1" applyFont="1" applyFill="1" applyBorder="1">
      <alignment/>
      <protection/>
    </xf>
    <xf numFmtId="10" fontId="86" fillId="0" borderId="33" xfId="124" applyNumberFormat="1" applyFont="1" applyBorder="1" applyAlignment="1">
      <alignment horizontal="center"/>
    </xf>
    <xf numFmtId="3" fontId="87" fillId="37" borderId="33" xfId="102" applyNumberFormat="1" applyFont="1" applyFill="1" applyBorder="1">
      <alignment/>
      <protection/>
    </xf>
    <xf numFmtId="3" fontId="86" fillId="0" borderId="33" xfId="102" applyNumberFormat="1" applyFont="1" applyFill="1" applyBorder="1" applyAlignment="1">
      <alignment/>
      <protection/>
    </xf>
    <xf numFmtId="3" fontId="86" fillId="0" borderId="34" xfId="102" applyNumberFormat="1" applyFont="1" applyFill="1" applyBorder="1" applyAlignment="1">
      <alignment/>
      <protection/>
    </xf>
    <xf numFmtId="0" fontId="87" fillId="33" borderId="31" xfId="102" applyFont="1" applyFill="1" applyBorder="1" applyAlignment="1">
      <alignment horizontal="center"/>
      <protection/>
    </xf>
    <xf numFmtId="3" fontId="87" fillId="33" borderId="31" xfId="102" applyNumberFormat="1" applyFont="1" applyFill="1" applyBorder="1" applyAlignment="1">
      <alignment horizontal="center"/>
      <protection/>
    </xf>
    <xf numFmtId="0" fontId="87" fillId="33" borderId="31" xfId="102" applyFont="1" applyFill="1" applyBorder="1">
      <alignment/>
      <protection/>
    </xf>
    <xf numFmtId="3" fontId="87" fillId="33" borderId="31" xfId="102" applyNumberFormat="1" applyFont="1" applyFill="1" applyBorder="1">
      <alignment/>
      <protection/>
    </xf>
    <xf numFmtId="3" fontId="87" fillId="33" borderId="31" xfId="102" applyNumberFormat="1" applyFont="1" applyFill="1" applyBorder="1" applyAlignment="1">
      <alignment/>
      <protection/>
    </xf>
    <xf numFmtId="166" fontId="84" fillId="0" borderId="21" xfId="62" applyNumberFormat="1" applyFont="1" applyBorder="1" applyAlignment="1">
      <alignment horizontal="center" vertical="center"/>
      <protection locked="0"/>
    </xf>
    <xf numFmtId="49" fontId="82" fillId="0" borderId="11" xfId="98" applyNumberFormat="1" applyFont="1" applyFill="1" applyBorder="1" applyAlignment="1">
      <alignment horizontal="center" vertical="center" wrapText="1"/>
      <protection/>
    </xf>
    <xf numFmtId="49" fontId="82" fillId="35" borderId="11" xfId="98" applyNumberFormat="1" applyFont="1" applyFill="1" applyBorder="1" applyAlignment="1">
      <alignment horizontal="center" vertical="center" wrapText="1"/>
      <protection/>
    </xf>
    <xf numFmtId="49" fontId="82" fillId="0" borderId="11" xfId="98" applyNumberFormat="1" applyFont="1" applyFill="1" applyBorder="1" applyAlignment="1">
      <alignment horizontal="center" vertical="center"/>
      <protection/>
    </xf>
    <xf numFmtId="49" fontId="82" fillId="0" borderId="20" xfId="98" applyNumberFormat="1" applyFont="1" applyFill="1" applyBorder="1" applyAlignment="1">
      <alignment horizontal="center" vertical="center" wrapText="1"/>
      <protection/>
    </xf>
    <xf numFmtId="0" fontId="82" fillId="0" borderId="11" xfId="0" applyFont="1" applyFill="1" applyBorder="1" applyAlignment="1">
      <alignment horizontal="justify" vertical="center" wrapText="1"/>
    </xf>
    <xf numFmtId="0" fontId="82" fillId="35" borderId="11" xfId="0" applyFont="1" applyFill="1" applyBorder="1" applyAlignment="1">
      <alignment horizontal="justify" vertical="center" wrapText="1"/>
    </xf>
    <xf numFmtId="0" fontId="84" fillId="0" borderId="17" xfId="0" applyFont="1" applyFill="1" applyBorder="1" applyAlignment="1" applyProtection="1">
      <alignment horizontal="center" vertical="center" wrapText="1"/>
      <protection/>
    </xf>
    <xf numFmtId="49" fontId="85" fillId="0" borderId="11" xfId="0" applyNumberFormat="1" applyFont="1" applyFill="1" applyBorder="1" applyAlignment="1" applyProtection="1">
      <alignment horizontal="justify" vertical="center" wrapText="1"/>
      <protection/>
    </xf>
    <xf numFmtId="0" fontId="85" fillId="0" borderId="11" xfId="0" applyFont="1" applyFill="1" applyBorder="1" applyAlignment="1" applyProtection="1">
      <alignment horizontal="justify" vertical="center" wrapText="1"/>
      <protection/>
    </xf>
    <xf numFmtId="0" fontId="85" fillId="0" borderId="11" xfId="0" applyFont="1" applyFill="1" applyBorder="1" applyAlignment="1">
      <alignment horizontal="center" vertical="center" wrapText="1"/>
    </xf>
    <xf numFmtId="168" fontId="85" fillId="0" borderId="11" xfId="62" applyNumberFormat="1" applyFont="1" applyFill="1" applyBorder="1" applyAlignment="1" applyProtection="1">
      <alignment horizontal="center" vertical="center" wrapText="1"/>
      <protection/>
    </xf>
    <xf numFmtId="168" fontId="85" fillId="0" borderId="11" xfId="62" applyNumberFormat="1" applyFont="1" applyBorder="1" applyAlignment="1" applyProtection="1">
      <alignment horizontal="center" vertical="center" wrapText="1"/>
      <protection/>
    </xf>
    <xf numFmtId="168" fontId="85" fillId="0" borderId="11" xfId="51" applyNumberFormat="1" applyFont="1" applyFill="1" applyBorder="1" applyAlignment="1" applyProtection="1">
      <alignment horizontal="center" vertical="center" wrapText="1"/>
      <protection/>
    </xf>
    <xf numFmtId="0" fontId="84" fillId="35" borderId="17" xfId="0" applyFont="1" applyFill="1" applyBorder="1" applyAlignment="1" applyProtection="1">
      <alignment horizontal="center" vertical="center" wrapText="1"/>
      <protection/>
    </xf>
    <xf numFmtId="168" fontId="84" fillId="0" borderId="18" xfId="51" applyNumberFormat="1" applyFont="1" applyFill="1" applyBorder="1" applyAlignment="1" applyProtection="1">
      <alignment horizontal="center" vertical="center" wrapText="1"/>
      <protection/>
    </xf>
    <xf numFmtId="0" fontId="84" fillId="0" borderId="29" xfId="0" applyFont="1" applyFill="1" applyBorder="1" applyAlignment="1" applyProtection="1">
      <alignment horizontal="center" vertical="center" wrapText="1"/>
      <protection/>
    </xf>
    <xf numFmtId="49" fontId="85" fillId="0" borderId="12" xfId="0" applyNumberFormat="1" applyFont="1" applyFill="1" applyBorder="1" applyAlignment="1" applyProtection="1">
      <alignment horizontal="justify" vertical="center" wrapText="1"/>
      <protection/>
    </xf>
    <xf numFmtId="0" fontId="85" fillId="0" borderId="12" xfId="0" applyFont="1" applyFill="1" applyBorder="1" applyAlignment="1" applyProtection="1">
      <alignment horizontal="justify" vertical="center" wrapText="1"/>
      <protection/>
    </xf>
    <xf numFmtId="0" fontId="85" fillId="0" borderId="12" xfId="0" applyFont="1" applyFill="1" applyBorder="1" applyAlignment="1">
      <alignment horizontal="center" vertical="center" wrapText="1"/>
    </xf>
    <xf numFmtId="168" fontId="85" fillId="0" borderId="12" xfId="62" applyNumberFormat="1" applyFont="1" applyFill="1" applyBorder="1" applyAlignment="1" applyProtection="1">
      <alignment horizontal="center" vertical="center" wrapText="1"/>
      <protection/>
    </xf>
    <xf numFmtId="168" fontId="85" fillId="0" borderId="12" xfId="62" applyNumberFormat="1" applyFont="1" applyBorder="1" applyAlignment="1" applyProtection="1">
      <alignment horizontal="center" vertical="center" wrapText="1"/>
      <protection/>
    </xf>
    <xf numFmtId="168" fontId="85" fillId="0" borderId="12" xfId="51" applyNumberFormat="1" applyFont="1" applyFill="1" applyBorder="1" applyAlignment="1" applyProtection="1">
      <alignment horizontal="center" vertical="center" wrapText="1"/>
      <protection/>
    </xf>
    <xf numFmtId="168" fontId="84" fillId="0" borderId="30" xfId="51" applyNumberFormat="1" applyFont="1" applyFill="1" applyBorder="1" applyAlignment="1" applyProtection="1">
      <alignment horizontal="center" vertical="center" wrapText="1"/>
      <protection/>
    </xf>
    <xf numFmtId="165" fontId="87" fillId="37" borderId="31" xfId="62" applyNumberFormat="1" applyFont="1" applyFill="1" applyBorder="1" applyAlignment="1" applyProtection="1">
      <alignment horizontal="center" vertical="center" wrapText="1"/>
      <protection/>
    </xf>
    <xf numFmtId="0" fontId="84" fillId="35" borderId="32" xfId="0" applyFont="1" applyFill="1" applyBorder="1" applyAlignment="1" applyProtection="1">
      <alignment horizontal="center" vertical="center" wrapText="1"/>
      <protection/>
    </xf>
    <xf numFmtId="49" fontId="85" fillId="0" borderId="33" xfId="0" applyNumberFormat="1" applyFont="1" applyFill="1" applyBorder="1" applyAlignment="1" applyProtection="1">
      <alignment horizontal="justify" vertical="center" wrapText="1"/>
      <protection/>
    </xf>
    <xf numFmtId="0" fontId="85" fillId="0" borderId="33" xfId="0" applyFont="1" applyFill="1" applyBorder="1" applyAlignment="1" applyProtection="1">
      <alignment horizontal="justify" vertical="center" wrapText="1"/>
      <protection/>
    </xf>
    <xf numFmtId="0" fontId="85" fillId="0" borderId="33" xfId="0" applyFont="1" applyFill="1" applyBorder="1" applyAlignment="1">
      <alignment horizontal="center" vertical="center" wrapText="1"/>
    </xf>
    <xf numFmtId="168" fontId="85" fillId="0" borderId="33" xfId="62" applyNumberFormat="1" applyFont="1" applyFill="1" applyBorder="1" applyAlignment="1" applyProtection="1">
      <alignment horizontal="center" vertical="center" wrapText="1"/>
      <protection/>
    </xf>
    <xf numFmtId="168" fontId="85" fillId="0" borderId="33" xfId="62" applyNumberFormat="1" applyFont="1" applyBorder="1" applyAlignment="1" applyProtection="1">
      <alignment horizontal="center" vertical="center" wrapText="1"/>
      <protection/>
    </xf>
    <xf numFmtId="168" fontId="85" fillId="0" borderId="33" xfId="51" applyNumberFormat="1" applyFont="1" applyFill="1" applyBorder="1" applyAlignment="1" applyProtection="1">
      <alignment horizontal="center" vertical="center" wrapText="1"/>
      <protection/>
    </xf>
    <xf numFmtId="168" fontId="84" fillId="0" borderId="34" xfId="51" applyNumberFormat="1" applyFont="1" applyFill="1" applyBorder="1" applyAlignment="1" applyProtection="1">
      <alignment horizontal="center" vertical="center" wrapText="1"/>
      <protection/>
    </xf>
    <xf numFmtId="0" fontId="39" fillId="0" borderId="0" xfId="0" applyFont="1" applyAlignment="1" applyProtection="1">
      <alignment vertical="center"/>
      <protection/>
    </xf>
    <xf numFmtId="0" fontId="74" fillId="0" borderId="0" xfId="0" applyFont="1" applyAlignment="1">
      <alignment vertical="center" wrapText="1"/>
    </xf>
    <xf numFmtId="0" fontId="39" fillId="0" borderId="0" xfId="0" applyFont="1" applyAlignment="1">
      <alignment vertical="center"/>
    </xf>
    <xf numFmtId="168" fontId="74" fillId="0" borderId="31" xfId="0" applyNumberFormat="1" applyFont="1" applyFill="1" applyBorder="1" applyAlignment="1">
      <alignment vertical="center" wrapText="1"/>
    </xf>
    <xf numFmtId="0" fontId="74" fillId="0" borderId="31" xfId="0" applyFont="1" applyBorder="1" applyAlignment="1">
      <alignment vertical="center" wrapText="1"/>
    </xf>
    <xf numFmtId="0" fontId="83" fillId="0" borderId="29" xfId="98" applyFont="1" applyFill="1" applyBorder="1" applyAlignment="1">
      <alignment horizontal="center" vertical="center" wrapText="1"/>
      <protection/>
    </xf>
    <xf numFmtId="49" fontId="82" fillId="0" borderId="12" xfId="98" applyNumberFormat="1" applyFont="1" applyFill="1" applyBorder="1" applyAlignment="1">
      <alignment horizontal="center" vertical="center" wrapText="1"/>
      <protection/>
    </xf>
    <xf numFmtId="0" fontId="82" fillId="0" borderId="12" xfId="98" applyFont="1" applyFill="1" applyBorder="1" applyAlignment="1">
      <alignment horizontal="justify" vertical="center" wrapText="1"/>
      <protection/>
    </xf>
    <xf numFmtId="0" fontId="35" fillId="0" borderId="12" xfId="98" applyNumberFormat="1" applyFont="1" applyBorder="1" applyAlignment="1">
      <alignment horizontal="center" vertical="center" wrapText="1"/>
      <protection/>
    </xf>
    <xf numFmtId="0" fontId="82" fillId="0" borderId="12" xfId="98" applyFont="1" applyFill="1" applyBorder="1" applyAlignment="1">
      <alignment horizontal="center" vertical="center" wrapText="1"/>
      <protection/>
    </xf>
    <xf numFmtId="0" fontId="82" fillId="0" borderId="12" xfId="0" applyFont="1" applyFill="1" applyBorder="1" applyAlignment="1">
      <alignment horizontal="justify" vertical="center" wrapText="1"/>
    </xf>
    <xf numFmtId="168" fontId="82" fillId="0" borderId="12" xfId="62" applyNumberFormat="1" applyFont="1" applyBorder="1">
      <alignment/>
      <protection locked="0"/>
    </xf>
    <xf numFmtId="168" fontId="82" fillId="0" borderId="12" xfId="62" applyNumberFormat="1" applyFont="1" applyFill="1" applyBorder="1" applyAlignment="1" applyProtection="1">
      <alignment horizontal="center" vertical="center" wrapText="1"/>
      <protection/>
    </xf>
    <xf numFmtId="168" fontId="82" fillId="0" borderId="12" xfId="62" applyNumberFormat="1" applyFont="1" applyBorder="1" applyAlignment="1" applyProtection="1">
      <alignment horizontal="center" vertical="center" wrapText="1"/>
      <protection/>
    </xf>
    <xf numFmtId="168" fontId="83" fillId="0" borderId="12" xfId="62" applyNumberFormat="1" applyFont="1" applyFill="1" applyBorder="1" applyAlignment="1" applyProtection="1">
      <alignment horizontal="center" vertical="center" wrapText="1"/>
      <protection/>
    </xf>
    <xf numFmtId="9" fontId="83" fillId="35" borderId="12" xfId="125" applyFont="1" applyFill="1" applyBorder="1" applyAlignment="1" applyProtection="1">
      <alignment horizontal="justify" vertical="center" wrapText="1"/>
      <protection/>
    </xf>
    <xf numFmtId="9" fontId="83" fillId="0" borderId="12" xfId="127" applyFont="1" applyFill="1" applyBorder="1" applyAlignment="1" applyProtection="1">
      <alignment horizontal="center" vertical="center" wrapText="1"/>
      <protection/>
    </xf>
    <xf numFmtId="0" fontId="82" fillId="0" borderId="12" xfId="98" applyFont="1" applyBorder="1" applyAlignment="1">
      <alignment horizontal="justify" vertical="center" wrapText="1"/>
      <protection/>
    </xf>
    <xf numFmtId="9" fontId="36" fillId="35" borderId="30" xfId="125" applyFont="1" applyFill="1" applyBorder="1" applyAlignment="1">
      <alignment horizontal="center" vertical="center" wrapText="1"/>
    </xf>
    <xf numFmtId="0" fontId="79" fillId="37" borderId="31" xfId="98" applyFont="1" applyFill="1" applyBorder="1" applyAlignment="1" applyProtection="1">
      <alignment horizontal="center" vertical="center" wrapText="1"/>
      <protection/>
    </xf>
    <xf numFmtId="165" fontId="79" fillId="37" borderId="31" xfId="62" applyNumberFormat="1" applyFont="1" applyFill="1" applyBorder="1" applyAlignment="1" applyProtection="1">
      <alignment horizontal="center" vertical="center" wrapText="1"/>
      <protection/>
    </xf>
    <xf numFmtId="165" fontId="83" fillId="37" borderId="31" xfId="62" applyNumberFormat="1" applyFont="1" applyFill="1" applyBorder="1" applyAlignment="1" applyProtection="1">
      <alignment horizontal="center" vertical="center" wrapText="1"/>
      <protection/>
    </xf>
    <xf numFmtId="9" fontId="79" fillId="37" borderId="31" xfId="127" applyFont="1" applyFill="1" applyBorder="1" applyAlignment="1" applyProtection="1">
      <alignment horizontal="center" vertical="center" wrapText="1"/>
      <protection/>
    </xf>
    <xf numFmtId="9" fontId="79" fillId="37" borderId="31" xfId="125" applyFont="1" applyFill="1" applyBorder="1" applyAlignment="1" applyProtection="1">
      <alignment horizontal="center" vertical="center" wrapText="1"/>
      <protection/>
    </xf>
    <xf numFmtId="168" fontId="83" fillId="37" borderId="31" xfId="98" applyNumberFormat="1" applyFont="1" applyFill="1" applyBorder="1" applyAlignment="1">
      <alignment vertical="center" wrapText="1"/>
      <protection/>
    </xf>
    <xf numFmtId="0" fontId="88" fillId="33" borderId="17"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protection/>
    </xf>
    <xf numFmtId="0" fontId="88" fillId="33" borderId="18" xfId="0" applyFont="1" applyFill="1" applyBorder="1" applyAlignment="1" applyProtection="1">
      <alignment horizontal="center" vertical="center" wrapText="1"/>
      <protection/>
    </xf>
    <xf numFmtId="0" fontId="89" fillId="0" borderId="17" xfId="0" applyFont="1" applyFill="1" applyBorder="1" applyAlignment="1" applyProtection="1">
      <alignment vertical="center" wrapText="1"/>
      <protection/>
    </xf>
    <xf numFmtId="168" fontId="89" fillId="0" borderId="11" xfId="0" applyNumberFormat="1" applyFont="1" applyFill="1" applyBorder="1" applyAlignment="1" applyProtection="1">
      <alignment vertical="center" wrapText="1"/>
      <protection/>
    </xf>
    <xf numFmtId="9" fontId="89" fillId="0" borderId="11" xfId="127" applyFont="1" applyFill="1" applyBorder="1" applyAlignment="1" applyProtection="1">
      <alignment horizontal="center" vertical="center" wrapText="1"/>
      <protection/>
    </xf>
    <xf numFmtId="0" fontId="89" fillId="0" borderId="17" xfId="0" applyFont="1" applyFill="1" applyBorder="1" applyAlignment="1">
      <alignment vertical="center" wrapText="1"/>
    </xf>
    <xf numFmtId="0" fontId="89" fillId="0" borderId="32" xfId="0" applyFont="1" applyFill="1" applyBorder="1" applyAlignment="1">
      <alignment vertical="center" wrapText="1"/>
    </xf>
    <xf numFmtId="168" fontId="89" fillId="0" borderId="33" xfId="0" applyNumberFormat="1" applyFont="1" applyFill="1" applyBorder="1" applyAlignment="1" applyProtection="1">
      <alignment vertical="center" wrapText="1"/>
      <protection/>
    </xf>
    <xf numFmtId="9" fontId="89" fillId="0" borderId="33" xfId="127" applyFont="1" applyFill="1" applyBorder="1" applyAlignment="1" applyProtection="1">
      <alignment horizontal="center" vertical="center" wrapText="1"/>
      <protection/>
    </xf>
    <xf numFmtId="0" fontId="90" fillId="0" borderId="19" xfId="0" applyFont="1" applyFill="1" applyBorder="1" applyAlignment="1">
      <alignment horizontal="center" vertical="center" wrapText="1"/>
    </xf>
    <xf numFmtId="168" fontId="90" fillId="0" borderId="20" xfId="0" applyNumberFormat="1" applyFont="1" applyFill="1" applyBorder="1" applyAlignment="1" applyProtection="1">
      <alignment horizontal="center" vertical="center" wrapText="1"/>
      <protection/>
    </xf>
    <xf numFmtId="9" fontId="90" fillId="0" borderId="21" xfId="0" applyNumberFormat="1" applyFont="1" applyFill="1" applyBorder="1" applyAlignment="1" applyProtection="1">
      <alignment horizontal="center" vertical="center" wrapText="1"/>
      <protection/>
    </xf>
    <xf numFmtId="0" fontId="42" fillId="0" borderId="0" xfId="0" applyFont="1" applyAlignment="1">
      <alignment/>
    </xf>
    <xf numFmtId="0" fontId="89" fillId="0" borderId="18" xfId="0" applyFont="1" applyBorder="1" applyAlignment="1" applyProtection="1">
      <alignment horizontal="justify" vertical="center"/>
      <protection/>
    </xf>
    <xf numFmtId="0" fontId="89" fillId="0" borderId="18" xfId="0" applyFont="1" applyBorder="1" applyAlignment="1">
      <alignment horizontal="justify" vertical="center"/>
    </xf>
    <xf numFmtId="0" fontId="89" fillId="0" borderId="21" xfId="0" applyFont="1" applyBorder="1" applyAlignment="1">
      <alignment horizontal="justify" vertical="center"/>
    </xf>
    <xf numFmtId="0" fontId="43" fillId="0" borderId="35" xfId="0" applyFont="1" applyBorder="1" applyAlignment="1">
      <alignment horizontal="center"/>
    </xf>
    <xf numFmtId="0" fontId="43" fillId="0" borderId="36" xfId="0" applyFont="1" applyBorder="1" applyAlignment="1">
      <alignment horizontal="center"/>
    </xf>
    <xf numFmtId="0" fontId="43" fillId="0" borderId="37" xfId="0" applyFont="1" applyBorder="1" applyAlignment="1">
      <alignment horizontal="center"/>
    </xf>
    <xf numFmtId="0" fontId="91" fillId="37" borderId="38" xfId="0" applyFont="1" applyFill="1" applyBorder="1" applyAlignment="1">
      <alignment horizontal="center" wrapText="1"/>
    </xf>
    <xf numFmtId="0" fontId="91" fillId="37" borderId="39" xfId="0" applyFont="1" applyFill="1" applyBorder="1" applyAlignment="1">
      <alignment horizontal="center" wrapText="1"/>
    </xf>
    <xf numFmtId="0" fontId="91" fillId="37" borderId="40" xfId="0" applyFont="1" applyFill="1" applyBorder="1" applyAlignment="1">
      <alignment horizontal="center" wrapText="1"/>
    </xf>
    <xf numFmtId="0" fontId="91" fillId="37" borderId="26" xfId="0" applyFont="1" applyFill="1" applyBorder="1" applyAlignment="1">
      <alignment horizontal="center" wrapText="1"/>
    </xf>
    <xf numFmtId="0" fontId="91" fillId="37" borderId="27" xfId="0" applyFont="1" applyFill="1" applyBorder="1" applyAlignment="1">
      <alignment horizontal="center" wrapText="1"/>
    </xf>
    <xf numFmtId="0" fontId="91" fillId="37" borderId="28" xfId="0" applyFont="1" applyFill="1" applyBorder="1" applyAlignment="1">
      <alignment horizontal="center" wrapText="1"/>
    </xf>
    <xf numFmtId="0" fontId="87" fillId="33" borderId="31" xfId="0" applyFont="1" applyFill="1" applyBorder="1" applyAlignment="1">
      <alignment horizontal="center" vertical="center" wrapText="1"/>
    </xf>
    <xf numFmtId="0" fontId="84" fillId="33" borderId="19" xfId="0" applyFont="1" applyFill="1" applyBorder="1" applyAlignment="1">
      <alignment horizontal="justify" vertical="center" wrapText="1"/>
    </xf>
    <xf numFmtId="0" fontId="84" fillId="33" borderId="20" xfId="0" applyFont="1" applyFill="1" applyBorder="1" applyAlignment="1">
      <alignment horizontal="justify" vertical="center" wrapText="1"/>
    </xf>
    <xf numFmtId="0" fontId="86" fillId="0" borderId="17" xfId="102" applyFont="1" applyBorder="1" applyAlignment="1">
      <alignment horizontal="justify" vertical="center" wrapText="1"/>
      <protection/>
    </xf>
    <xf numFmtId="0" fontId="86" fillId="0" borderId="11" xfId="102" applyFont="1" applyBorder="1" applyAlignment="1">
      <alignment horizontal="justify" vertical="center" wrapText="1"/>
      <protection/>
    </xf>
    <xf numFmtId="0" fontId="86" fillId="0" borderId="18" xfId="102" applyFont="1" applyBorder="1" applyAlignment="1">
      <alignment horizontal="justify" vertical="center" wrapText="1"/>
      <protection/>
    </xf>
    <xf numFmtId="0" fontId="86" fillId="0" borderId="19" xfId="102" applyFont="1" applyBorder="1" applyAlignment="1">
      <alignment horizontal="justify" vertical="center" wrapText="1"/>
      <protection/>
    </xf>
    <xf numFmtId="0" fontId="86" fillId="0" borderId="20" xfId="102" applyFont="1" applyBorder="1" applyAlignment="1">
      <alignment horizontal="justify" vertical="center" wrapText="1"/>
      <protection/>
    </xf>
    <xf numFmtId="0" fontId="86" fillId="0" borderId="21" xfId="102" applyFont="1" applyBorder="1" applyAlignment="1">
      <alignment horizontal="justify" vertical="center" wrapText="1"/>
      <protection/>
    </xf>
    <xf numFmtId="0" fontId="84" fillId="33" borderId="14"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4" fillId="33" borderId="17" xfId="0" applyFont="1" applyFill="1" applyBorder="1" applyAlignment="1">
      <alignment horizontal="justify" vertical="center" wrapText="1"/>
    </xf>
    <xf numFmtId="0" fontId="84" fillId="33" borderId="11" xfId="0" applyFont="1" applyFill="1" applyBorder="1" applyAlignment="1">
      <alignment horizontal="justify" vertical="center" wrapText="1"/>
    </xf>
    <xf numFmtId="0" fontId="91" fillId="37" borderId="35" xfId="102" applyFont="1" applyFill="1" applyBorder="1" applyAlignment="1">
      <alignment horizontal="center" vertical="center"/>
      <protection/>
    </xf>
    <xf numFmtId="0" fontId="91" fillId="37" borderId="36" xfId="102" applyFont="1" applyFill="1" applyBorder="1" applyAlignment="1">
      <alignment horizontal="center" vertical="center"/>
      <protection/>
    </xf>
    <xf numFmtId="0" fontId="91" fillId="37" borderId="37" xfId="102" applyFont="1" applyFill="1" applyBorder="1" applyAlignment="1">
      <alignment horizontal="center" vertical="center"/>
      <protection/>
    </xf>
    <xf numFmtId="0" fontId="87" fillId="33" borderId="31" xfId="102" applyFont="1" applyFill="1" applyBorder="1" applyAlignment="1">
      <alignment horizontal="center" vertical="center"/>
      <protection/>
    </xf>
    <xf numFmtId="0" fontId="79" fillId="37" borderId="41" xfId="98" applyFont="1" applyFill="1" applyBorder="1" applyAlignment="1">
      <alignment horizontal="center" vertical="center" wrapText="1"/>
      <protection/>
    </xf>
    <xf numFmtId="0" fontId="79" fillId="37" borderId="42" xfId="98" applyFont="1" applyFill="1" applyBorder="1" applyAlignment="1">
      <alignment horizontal="center" vertical="center" wrapText="1"/>
      <protection/>
    </xf>
    <xf numFmtId="0" fontId="79" fillId="37" borderId="43" xfId="98" applyFont="1" applyFill="1" applyBorder="1" applyAlignment="1">
      <alignment horizontal="center" vertical="center" wrapText="1"/>
      <protection/>
    </xf>
    <xf numFmtId="0" fontId="73" fillId="34" borderId="11" xfId="0" applyFont="1" applyFill="1" applyBorder="1" applyAlignment="1">
      <alignment horizontal="center" vertical="center" wrapText="1"/>
    </xf>
    <xf numFmtId="0" fontId="72" fillId="0" borderId="11" xfId="0" applyFont="1" applyFill="1" applyBorder="1" applyAlignment="1">
      <alignment horizontal="left" vertical="center" wrapText="1"/>
    </xf>
    <xf numFmtId="0" fontId="73" fillId="34" borderId="26" xfId="0" applyFont="1" applyFill="1" applyBorder="1" applyAlignment="1">
      <alignment horizontal="center" vertical="center" wrapText="1"/>
    </xf>
    <xf numFmtId="0" fontId="73" fillId="34" borderId="27" xfId="0" applyFont="1" applyFill="1" applyBorder="1" applyAlignment="1">
      <alignment horizontal="center" vertical="center" wrapText="1"/>
    </xf>
    <xf numFmtId="0" fontId="73" fillId="34" borderId="28" xfId="0" applyFont="1" applyFill="1" applyBorder="1" applyAlignment="1">
      <alignment horizontal="center" vertical="center" wrapText="1"/>
    </xf>
    <xf numFmtId="0" fontId="73" fillId="34" borderId="38" xfId="0" applyFont="1" applyFill="1" applyBorder="1" applyAlignment="1">
      <alignment horizontal="center" vertical="center" wrapText="1"/>
    </xf>
    <xf numFmtId="0" fontId="73" fillId="34" borderId="39" xfId="0" applyFont="1" applyFill="1" applyBorder="1" applyAlignment="1">
      <alignment horizontal="center" vertical="center" wrapText="1"/>
    </xf>
    <xf numFmtId="0" fontId="73" fillId="34" borderId="40" xfId="0" applyFont="1" applyFill="1" applyBorder="1" applyAlignment="1">
      <alignment horizontal="center" vertical="center" wrapText="1"/>
    </xf>
    <xf numFmtId="0" fontId="74" fillId="33" borderId="19" xfId="0" applyFont="1" applyFill="1" applyBorder="1" applyAlignment="1">
      <alignment horizontal="left" vertical="center" wrapText="1"/>
    </xf>
    <xf numFmtId="0" fontId="74" fillId="33" borderId="20" xfId="0" applyFont="1" applyFill="1" applyBorder="1" applyAlignment="1">
      <alignment horizontal="left" vertical="center" wrapText="1"/>
    </xf>
    <xf numFmtId="0" fontId="74" fillId="33" borderId="14" xfId="0" applyFont="1" applyFill="1" applyBorder="1" applyAlignment="1">
      <alignment horizontal="center" vertical="center" wrapText="1"/>
    </xf>
    <xf numFmtId="0" fontId="74" fillId="33" borderId="15" xfId="0" applyFont="1" applyFill="1" applyBorder="1" applyAlignment="1">
      <alignment horizontal="center" vertical="center" wrapText="1"/>
    </xf>
    <xf numFmtId="0" fontId="74" fillId="33" borderId="17" xfId="0" applyFont="1" applyFill="1" applyBorder="1" applyAlignment="1">
      <alignment horizontal="left" vertical="center" wrapText="1"/>
    </xf>
    <xf numFmtId="0" fontId="74" fillId="33" borderId="11" xfId="0" applyFont="1" applyFill="1" applyBorder="1" applyAlignment="1">
      <alignment horizontal="left" vertical="center" wrapText="1"/>
    </xf>
    <xf numFmtId="0" fontId="34" fillId="0" borderId="44" xfId="0" applyFont="1" applyBorder="1" applyAlignment="1">
      <alignment horizontal="justify" vertical="center"/>
    </xf>
    <xf numFmtId="0" fontId="34" fillId="0" borderId="45" xfId="0" applyFont="1" applyBorder="1" applyAlignment="1">
      <alignment horizontal="justify" vertical="center"/>
    </xf>
    <xf numFmtId="0" fontId="34" fillId="0" borderId="46" xfId="0" applyFont="1" applyBorder="1" applyAlignment="1">
      <alignment horizontal="justify" vertical="center"/>
    </xf>
    <xf numFmtId="0" fontId="73" fillId="34" borderId="12" xfId="0" applyFont="1" applyFill="1" applyBorder="1" applyAlignment="1">
      <alignment horizontal="center" vertical="center" wrapText="1"/>
    </xf>
    <xf numFmtId="0" fontId="72" fillId="0" borderId="33" xfId="0" applyFont="1" applyFill="1" applyBorder="1" applyAlignment="1">
      <alignment horizontal="left" vertical="center" wrapText="1"/>
    </xf>
    <xf numFmtId="0" fontId="73" fillId="34" borderId="44" xfId="0" applyFont="1" applyFill="1" applyBorder="1" applyAlignment="1">
      <alignment horizontal="center" vertical="center" wrapText="1"/>
    </xf>
    <xf numFmtId="0" fontId="73" fillId="34" borderId="45" xfId="0" applyFont="1" applyFill="1" applyBorder="1" applyAlignment="1">
      <alignment horizontal="center" vertical="center" wrapText="1"/>
    </xf>
    <xf numFmtId="0" fontId="73" fillId="34" borderId="46" xfId="0" applyFont="1" applyFill="1" applyBorder="1" applyAlignment="1">
      <alignment horizontal="center" vertical="center" wrapText="1"/>
    </xf>
    <xf numFmtId="0" fontId="92" fillId="37" borderId="11" xfId="109" applyFont="1" applyFill="1" applyBorder="1" applyAlignment="1" applyProtection="1">
      <alignment horizontal="left" vertical="center" wrapText="1"/>
      <protection locked="0"/>
    </xf>
    <xf numFmtId="165" fontId="73" fillId="37" borderId="11" xfId="72" applyNumberFormat="1" applyFont="1" applyFill="1" applyBorder="1" applyAlignment="1" applyProtection="1">
      <alignment horizontal="center" vertical="center" wrapText="1"/>
      <protection locked="0"/>
    </xf>
    <xf numFmtId="0" fontId="71" fillId="35" borderId="11" xfId="109" applyFont="1" applyFill="1" applyBorder="1" applyAlignment="1">
      <alignment horizontal="center" vertical="center" wrapText="1"/>
      <protection/>
    </xf>
    <xf numFmtId="0" fontId="92" fillId="37" borderId="12" xfId="109" applyFont="1" applyFill="1" applyBorder="1" applyAlignment="1" applyProtection="1">
      <alignment horizontal="left" vertical="center" wrapText="1"/>
      <protection locked="0"/>
    </xf>
    <xf numFmtId="0" fontId="73" fillId="37" borderId="11" xfId="109" applyFont="1" applyFill="1" applyBorder="1" applyAlignment="1" applyProtection="1">
      <alignment horizontal="center" vertical="center" wrapText="1"/>
      <protection locked="0"/>
    </xf>
    <xf numFmtId="0" fontId="43" fillId="0" borderId="35" xfId="0" applyFont="1" applyBorder="1" applyAlignment="1" applyProtection="1">
      <alignment horizontal="center" vertical="center"/>
      <protection/>
    </xf>
    <xf numFmtId="0" fontId="43" fillId="0" borderId="36" xfId="0" applyFont="1" applyBorder="1" applyAlignment="1" applyProtection="1">
      <alignment horizontal="center" vertical="center"/>
      <protection/>
    </xf>
    <xf numFmtId="0" fontId="43" fillId="0" borderId="37" xfId="0" applyFont="1" applyBorder="1" applyAlignment="1" applyProtection="1">
      <alignment horizontal="center" vertical="center"/>
      <protection/>
    </xf>
    <xf numFmtId="0" fontId="74" fillId="0" borderId="31" xfId="0" applyFont="1" applyFill="1" applyBorder="1" applyAlignment="1">
      <alignment horizontal="center" vertical="center" wrapText="1"/>
    </xf>
    <xf numFmtId="0" fontId="91" fillId="37" borderId="31" xfId="0" applyFont="1" applyFill="1" applyBorder="1" applyAlignment="1" applyProtection="1">
      <alignment horizontal="center" vertical="center" wrapText="1"/>
      <protection/>
    </xf>
    <xf numFmtId="165" fontId="87" fillId="37" borderId="31" xfId="51" applyNumberFormat="1" applyFont="1" applyFill="1" applyBorder="1" applyAlignment="1" applyProtection="1">
      <alignment horizontal="center" vertical="center" wrapText="1"/>
      <protection/>
    </xf>
    <xf numFmtId="0" fontId="87" fillId="37" borderId="31" xfId="0" applyFont="1" applyFill="1" applyBorder="1" applyAlignment="1" applyProtection="1">
      <alignment horizontal="center" vertical="center" wrapText="1"/>
      <protection/>
    </xf>
    <xf numFmtId="0" fontId="93" fillId="37" borderId="26" xfId="98" applyFont="1" applyFill="1" applyBorder="1" applyAlignment="1" applyProtection="1">
      <alignment horizontal="center" vertical="center" wrapText="1"/>
      <protection/>
    </xf>
    <xf numFmtId="0" fontId="93" fillId="37" borderId="27" xfId="98" applyFont="1" applyFill="1" applyBorder="1" applyAlignment="1" applyProtection="1">
      <alignment horizontal="center" vertical="center" wrapText="1"/>
      <protection/>
    </xf>
    <xf numFmtId="0" fontId="93" fillId="37" borderId="28" xfId="98" applyFont="1" applyFill="1" applyBorder="1" applyAlignment="1" applyProtection="1">
      <alignment horizontal="center" vertical="center" wrapText="1"/>
      <protection/>
    </xf>
    <xf numFmtId="0" fontId="83" fillId="37" borderId="31" xfId="98" applyFont="1" applyFill="1" applyBorder="1" applyAlignment="1">
      <alignment horizontal="center" vertical="center" wrapText="1"/>
      <protection/>
    </xf>
    <xf numFmtId="0" fontId="93" fillId="0" borderId="35" xfId="98" applyFont="1" applyFill="1" applyBorder="1" applyAlignment="1" applyProtection="1">
      <alignment horizontal="center" wrapText="1"/>
      <protection/>
    </xf>
    <xf numFmtId="0" fontId="93" fillId="0" borderId="36" xfId="98" applyFont="1" applyFill="1" applyBorder="1" applyAlignment="1" applyProtection="1">
      <alignment horizontal="center" wrapText="1"/>
      <protection/>
    </xf>
    <xf numFmtId="0" fontId="93" fillId="0" borderId="37" xfId="98" applyFont="1" applyFill="1" applyBorder="1" applyAlignment="1" applyProtection="1">
      <alignment horizontal="center" wrapText="1"/>
      <protection/>
    </xf>
    <xf numFmtId="0" fontId="91" fillId="34" borderId="14" xfId="0" applyFont="1" applyFill="1" applyBorder="1" applyAlignment="1" applyProtection="1">
      <alignment horizontal="center" vertical="center"/>
      <protection/>
    </xf>
    <xf numFmtId="0" fontId="91" fillId="34" borderId="15" xfId="0" applyFont="1" applyFill="1" applyBorder="1" applyAlignment="1" applyProtection="1">
      <alignment horizontal="center" vertical="center"/>
      <protection/>
    </xf>
    <xf numFmtId="0" fontId="91" fillId="34" borderId="16" xfId="0" applyFont="1" applyFill="1" applyBorder="1" applyAlignment="1" applyProtection="1">
      <alignment horizontal="center" vertical="center"/>
      <protection/>
    </xf>
  </cellXfs>
  <cellStyles count="12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Hipervínculo 2" xfId="49"/>
    <cellStyle name="Incorrecto" xfId="50"/>
    <cellStyle name="Comma" xfId="51"/>
    <cellStyle name="Comma [0]" xfId="52"/>
    <cellStyle name="Millares 10" xfId="53"/>
    <cellStyle name="Millares 10 2" xfId="54"/>
    <cellStyle name="Millares 10 2 2" xfId="55"/>
    <cellStyle name="Millares 10 3" xfId="56"/>
    <cellStyle name="Millares 10 4" xfId="57"/>
    <cellStyle name="Millares 10 5" xfId="58"/>
    <cellStyle name="Millares 11" xfId="59"/>
    <cellStyle name="Millares 12" xfId="60"/>
    <cellStyle name="Millares 13" xfId="61"/>
    <cellStyle name="Millares 2" xfId="62"/>
    <cellStyle name="Millares 2 2" xfId="63"/>
    <cellStyle name="Millares 2 2 2" xfId="64"/>
    <cellStyle name="Millares 2 2 2 2" xfId="65"/>
    <cellStyle name="Millares 2 2 3" xfId="66"/>
    <cellStyle name="Millares 2 3" xfId="67"/>
    <cellStyle name="Millares 2 4" xfId="68"/>
    <cellStyle name="Millares 2 5" xfId="69"/>
    <cellStyle name="Millares 3" xfId="70"/>
    <cellStyle name="Millares 3 2" xfId="71"/>
    <cellStyle name="Millares 4" xfId="72"/>
    <cellStyle name="Millares 4 2" xfId="73"/>
    <cellStyle name="Millares 4 3" xfId="74"/>
    <cellStyle name="Millares 5" xfId="75"/>
    <cellStyle name="Millares 5 2" xfId="76"/>
    <cellStyle name="Millares 5 3" xfId="77"/>
    <cellStyle name="Millares 6" xfId="78"/>
    <cellStyle name="Millares 7" xfId="79"/>
    <cellStyle name="Millares 8" xfId="80"/>
    <cellStyle name="Millares 8 2" xfId="81"/>
    <cellStyle name="Millares 8 2 2" xfId="82"/>
    <cellStyle name="Millares 8 3" xfId="83"/>
    <cellStyle name="Millares 8 4" xfId="84"/>
    <cellStyle name="Millares 9" xfId="85"/>
    <cellStyle name="Currency" xfId="86"/>
    <cellStyle name="Currency [0]" xfId="87"/>
    <cellStyle name="Moneda 2" xfId="88"/>
    <cellStyle name="Moneda 2 2" xfId="89"/>
    <cellStyle name="Moneda 2 3" xfId="90"/>
    <cellStyle name="Moneda 3" xfId="91"/>
    <cellStyle name="Neutral" xfId="92"/>
    <cellStyle name="Normal 10" xfId="93"/>
    <cellStyle name="Normal 11" xfId="94"/>
    <cellStyle name="Normal 12" xfId="95"/>
    <cellStyle name="Normal 13" xfId="96"/>
    <cellStyle name="Normal 14" xfId="97"/>
    <cellStyle name="Normal 2" xfId="98"/>
    <cellStyle name="Normal 2 2" xfId="99"/>
    <cellStyle name="Normal 2 3" xfId="100"/>
    <cellStyle name="Normal 2 4" xfId="101"/>
    <cellStyle name="Normal 3" xfId="102"/>
    <cellStyle name="Normal 3 2" xfId="103"/>
    <cellStyle name="Normal 3 2 2" xfId="104"/>
    <cellStyle name="Normal 3 2 2 2" xfId="105"/>
    <cellStyle name="Normal 3 2 3" xfId="106"/>
    <cellStyle name="Normal 3 3" xfId="107"/>
    <cellStyle name="Normal 3 4" xfId="108"/>
    <cellStyle name="Normal 4" xfId="109"/>
    <cellStyle name="Normal 4 2" xfId="110"/>
    <cellStyle name="Normal 4 3" xfId="111"/>
    <cellStyle name="Normal 5" xfId="112"/>
    <cellStyle name="Normal 5 2" xfId="113"/>
    <cellStyle name="Normal 6" xfId="114"/>
    <cellStyle name="Normal 7" xfId="115"/>
    <cellStyle name="Normal 7 2" xfId="116"/>
    <cellStyle name="Normal 7 3" xfId="117"/>
    <cellStyle name="Normal 8" xfId="118"/>
    <cellStyle name="Normal 9" xfId="119"/>
    <cellStyle name="Normal 9 2" xfId="120"/>
    <cellStyle name="Notas" xfId="121"/>
    <cellStyle name="Notas 2" xfId="122"/>
    <cellStyle name="Percen - Modelo3" xfId="123"/>
    <cellStyle name="Percent" xfId="124"/>
    <cellStyle name="Porcentaje 2" xfId="125"/>
    <cellStyle name="Porcentaje 2 2" xfId="126"/>
    <cellStyle name="Porcentual 2" xfId="127"/>
    <cellStyle name="Porcentual 2 2" xfId="128"/>
    <cellStyle name="Porcentual 3" xfId="129"/>
    <cellStyle name="Porcentual 3 2" xfId="130"/>
    <cellStyle name="Salida" xfId="131"/>
    <cellStyle name="Texto de advertencia" xfId="132"/>
    <cellStyle name="Texto explicativo" xfId="133"/>
    <cellStyle name="Título" xfId="134"/>
    <cellStyle name="Título 2" xfId="135"/>
    <cellStyle name="Título 3" xfId="136"/>
    <cellStyle name="Título 4" xfId="137"/>
    <cellStyle name="Total"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INVERSIÓN MUNICIPIOS 
</a:t>
            </a:r>
            <a:r>
              <a:rPr lang="en-US" cap="none" sz="1800" b="1" i="0" u="none" baseline="0">
                <a:solidFill>
                  <a:srgbClr val="000000"/>
                </a:solidFill>
                <a:latin typeface="Calibri"/>
                <a:ea typeface="Calibri"/>
                <a:cs typeface="Calibri"/>
              </a:rPr>
              <a:t>SGR VIGENCIAS 2012-2015</a:t>
            </a:r>
          </a:p>
        </c:rich>
      </c:tx>
      <c:layout>
        <c:manualLayout>
          <c:xMode val="factor"/>
          <c:yMode val="factor"/>
          <c:x val="0.29925"/>
          <c:y val="0.01525"/>
        </c:manualLayout>
      </c:layout>
      <c:spPr>
        <a:noFill/>
        <a:ln w="3175">
          <a:noFill/>
        </a:ln>
      </c:spPr>
    </c:title>
    <c:view3D>
      <c:rotX val="15"/>
      <c:hPercent val="40"/>
      <c:rotY val="20"/>
      <c:depthPercent val="100"/>
      <c:rAngAx val="1"/>
    </c:view3D>
    <c:plotArea>
      <c:layout>
        <c:manualLayout>
          <c:xMode val="edge"/>
          <c:yMode val="edge"/>
          <c:x val="0.04575"/>
          <c:y val="0.03625"/>
          <c:w val="0.6535"/>
          <c:h val="0.73125"/>
        </c:manualLayout>
      </c:layout>
      <c:bar3DChart>
        <c:barDir val="col"/>
        <c:grouping val="clustered"/>
        <c:varyColors val="0"/>
        <c:ser>
          <c:idx val="0"/>
          <c:order val="0"/>
          <c:tx>
            <c:strRef>
              <c:f>'ANEXO 8 PPTO. DEPARTAMENTO 2015'!$E$47</c:f>
              <c:strCache>
                <c:ptCount val="1"/>
                <c:pt idx="0">
                  <c:v>Recursos Asignados Vigencia 2012-2015</c:v>
                </c:pt>
              </c:strCache>
            </c:strRef>
          </c:tx>
          <c:spPr>
            <a:solidFill>
              <a:srgbClr val="C59E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 8 PPTO. DEPARTAMENTO 2015'!$C$48:$C$58</c:f>
              <c:strCache/>
            </c:strRef>
          </c:cat>
          <c:val>
            <c:numRef>
              <c:f>'ANEXO 8 PPTO. DEPARTAMENTO 2015'!$E$48:$E$58</c:f>
              <c:numCache/>
            </c:numRef>
          </c:val>
          <c:shape val="cylinder"/>
        </c:ser>
        <c:ser>
          <c:idx val="1"/>
          <c:order val="1"/>
          <c:tx>
            <c:strRef>
              <c:f>'ANEXO 8 PPTO. DEPARTAMENTO 2015'!$F$47</c:f>
              <c:strCache>
                <c:ptCount val="1"/>
                <c:pt idx="0">
                  <c:v>Recursos Aprobados Vigencia 2012-2015</c:v>
                </c:pt>
              </c:strCache>
            </c:strRef>
          </c:tx>
          <c:spPr>
            <a:solidFill>
              <a:srgbClr val="C5E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'ANEXO 8 PPTO. DEPARTAMENTO 2015'!$C$48:$C$58</c:f>
              <c:strCache/>
            </c:strRef>
          </c:cat>
          <c:val>
            <c:numRef>
              <c:f>'ANEXO 8 PPTO. DEPARTAMENTO 2015'!$F$48:$F$58</c:f>
              <c:numCache/>
            </c:numRef>
          </c:val>
          <c:shape val="cylinder"/>
        </c:ser>
        <c:ser>
          <c:idx val="2"/>
          <c:order val="2"/>
          <c:tx>
            <c:strRef>
              <c:f>'ANEXO 8 PPTO. DEPARTAMENTO 2015'!$H$47</c:f>
              <c:strCache>
                <c:ptCount val="1"/>
                <c:pt idx="0">
                  <c:v>Giros Realizados vigencia 2012-2015</c:v>
                </c:pt>
              </c:strCache>
            </c:strRef>
          </c:tx>
          <c:spPr>
            <a:solidFill>
              <a:srgbClr val="FF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'ANEXO 8 PPTO. DEPARTAMENTO 2015'!$H$48:$H$58</c:f>
              <c:numCache/>
            </c:numRef>
          </c:val>
          <c:shape val="cylinder"/>
        </c:ser>
        <c:shape val="cylinder"/>
        <c:axId val="7704389"/>
        <c:axId val="2230638"/>
      </c:bar3DChart>
      <c:catAx>
        <c:axId val="7704389"/>
        <c:scaling>
          <c:orientation val="minMax"/>
        </c:scaling>
        <c:axPos val="b"/>
        <c:delete val="0"/>
        <c:numFmt formatCode="General" sourceLinked="0"/>
        <c:majorTickMark val="out"/>
        <c:minorTickMark val="none"/>
        <c:tickLblPos val="nextTo"/>
        <c:spPr>
          <a:ln w="3175">
            <a:solidFill>
              <a:srgbClr val="808080"/>
            </a:solidFill>
          </a:ln>
        </c:spPr>
        <c:crossAx val="2230638"/>
        <c:crosses val="autoZero"/>
        <c:auto val="1"/>
        <c:lblOffset val="100"/>
        <c:tickLblSkip val="1"/>
        <c:noMultiLvlLbl val="0"/>
      </c:catAx>
      <c:valAx>
        <c:axId val="22306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04389"/>
        <c:crossesAt val="1"/>
        <c:crossBetween val="between"/>
        <c:dispUnits/>
      </c:valAx>
      <c:spPr>
        <a:noFill/>
        <a:ln>
          <a:noFill/>
        </a:ln>
      </c:spPr>
    </c:plotArea>
    <c:legend>
      <c:legendPos val="r"/>
      <c:layout>
        <c:manualLayout>
          <c:xMode val="edge"/>
          <c:yMode val="edge"/>
          <c:x val="0.709"/>
          <c:y val="0.309"/>
          <c:w val="0.291"/>
          <c:h val="0.46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APROBACIÓN DE RECURSOS DEPARMENTO DEL QUINDIO VIGENCIA 2012-2014 FCR 60%, FDR Y FCTeI</a:t>
            </a:r>
          </a:p>
        </c:rich>
      </c:tx>
      <c:layout/>
      <c:spPr>
        <a:noFill/>
        <a:ln>
          <a:noFill/>
        </a:ln>
      </c:spPr>
    </c:title>
    <c:view3D>
      <c:rotX val="15"/>
      <c:hPercent val="5"/>
      <c:rotY val="20"/>
      <c:depthPercent val="100"/>
      <c:rAngAx val="1"/>
    </c:view3D>
    <c:plotArea>
      <c:layout/>
      <c:bar3DChart>
        <c:barDir val="col"/>
        <c:grouping val="clustered"/>
        <c:varyColors val="0"/>
        <c:ser>
          <c:idx val="0"/>
          <c:order val="0"/>
          <c:tx>
            <c:strRef>
              <c:f>'PRESUPUESTO DEPARTAMENTO '!$C$46</c:f>
              <c:strCache>
                <c:ptCount val="1"/>
                <c:pt idx="0">
                  <c:v>RECURSOS ASIGNADOS VIGENCIA 2012</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'!$C$47:$C$50</c:f>
            </c:numRef>
          </c:val>
          <c:shape val="cylinder"/>
        </c:ser>
        <c:ser>
          <c:idx val="1"/>
          <c:order val="1"/>
          <c:tx>
            <c:strRef>
              <c:f>'PRESUPUESTO DEPARTAMENTO '!$D$46</c:f>
              <c:strCache>
                <c:ptCount val="1"/>
                <c:pt idx="0">
                  <c:v>RECURSOS APROBADOS VIGENCIA 2012</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'!$D$47:$D$50</c:f>
            </c:numRef>
          </c:val>
          <c:shape val="cylinder"/>
        </c:ser>
        <c:ser>
          <c:idx val="2"/>
          <c:order val="2"/>
          <c:tx>
            <c:strRef>
              <c:f>'PRESUPUESTO DEPARTAMENTO '!$E$46</c:f>
              <c:strCache>
                <c:ptCount val="1"/>
                <c:pt idx="0">
                  <c:v>RECURSOS NO COMPROMETIDOS VIGENCIA 2012</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'!$E$47:$E$50</c:f>
            </c:numRef>
          </c:val>
          <c:shape val="box"/>
        </c:ser>
        <c:ser>
          <c:idx val="3"/>
          <c:order val="3"/>
          <c:tx>
            <c:strRef>
              <c:f>'PRESUPUESTO DEPARTAMENTO '!$F$46</c:f>
              <c:strCache>
                <c:ptCount val="1"/>
                <c:pt idx="0">
                  <c:v>RECURSOS ASIGNADOS VIGENCIA 2013-2014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'!$F$47:$F$50</c:f>
            </c:numRef>
          </c:val>
          <c:shape val="box"/>
        </c:ser>
        <c:ser>
          <c:idx val="4"/>
          <c:order val="4"/>
          <c:tx>
            <c:strRef>
              <c:f>'PRESUPUESTO DEPARTAMENTO '!$G$46</c:f>
              <c:strCache>
                <c:ptCount val="1"/>
                <c:pt idx="0">
                  <c:v>RECURSOS ASIGNADOS VIGENCIA 2013-2014</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'!$G$47:$G$50</c:f>
            </c:numRef>
          </c:val>
          <c:shape val="cylinder"/>
        </c:ser>
        <c:ser>
          <c:idx val="5"/>
          <c:order val="5"/>
          <c:tx>
            <c:strRef>
              <c:f>'PRESUPUESTO DEPARTAMENTO '!$H$46</c:f>
              <c:strCache>
                <c:ptCount val="1"/>
                <c:pt idx="0">
                  <c:v>RECURSOS APROBADOS VIGENCIA 2013-2014</c:v>
                </c:pt>
              </c:strCache>
            </c:strRef>
          </c:tx>
          <c:spPr>
            <a:solidFill>
              <a:srgbClr val="FD5D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'!$H$47:$H$50</c:f>
            </c:numRef>
          </c:val>
          <c:shape val="cylinder"/>
        </c:ser>
        <c:ser>
          <c:idx val="6"/>
          <c:order val="6"/>
          <c:tx>
            <c:strRef>
              <c:f>'PRESUPUESTO DEPARTAMENTO '!$I$46</c:f>
              <c:strCache>
                <c:ptCount val="1"/>
                <c:pt idx="0">
                  <c:v>SALDOS NO COMPROMETIDOS VIGENCIA 2013-2014</c:v>
                </c:pt>
              </c:strCache>
            </c:strRef>
          </c:tx>
          <c:spPr>
            <a:solidFill>
              <a:srgbClr val="97B9E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'!$I$47:$I$50</c:f>
            </c:numRef>
          </c:val>
          <c:shape val="box"/>
        </c:ser>
        <c:ser>
          <c:idx val="7"/>
          <c:order val="7"/>
          <c:tx>
            <c:strRef>
              <c:f>'PRESUPUESTO DEPARTAMENTO '!$J$46</c:f>
              <c:strCache>
                <c:ptCount val="1"/>
                <c:pt idx="0">
                  <c:v>RECURSOS ASIGNADOS VIGENCIA 2015-2016</c:v>
                </c:pt>
              </c:strCache>
            </c:strRef>
          </c:tx>
          <c:spPr>
            <a:solidFill>
              <a:srgbClr val="F1A7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'!$J$47:$J$50</c:f>
            </c:numRef>
          </c:val>
          <c:shape val="cylinder"/>
        </c:ser>
        <c:ser>
          <c:idx val="8"/>
          <c:order val="8"/>
          <c:tx>
            <c:strRef>
              <c:f>'PRESUPUESTO DEPARTAMENTO '!$K$46</c:f>
              <c:strCache>
                <c:ptCount val="1"/>
                <c:pt idx="0">
                  <c:v>RECURSOS APROBADOS VIGENCIA 2015-2016</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 '!$B$47:$B$50</c:f>
            </c:strRef>
          </c:cat>
          <c:val>
            <c:numRef>
              <c:f>'PRESUPUESTO DEPARTAMENTO '!$K$47:$K$50</c:f>
            </c:numRef>
          </c:val>
          <c:shape val="cylinder"/>
        </c:ser>
        <c:shape val="cylinder"/>
        <c:axId val="20075743"/>
        <c:axId val="46463960"/>
      </c:bar3DChart>
      <c:catAx>
        <c:axId val="2007574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463960"/>
        <c:crosses val="autoZero"/>
        <c:auto val="1"/>
        <c:lblOffset val="100"/>
        <c:tickLblSkip val="1"/>
        <c:noMultiLvlLbl val="0"/>
      </c:catAx>
      <c:valAx>
        <c:axId val="464639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0075743"/>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APROBACIÓN DE RECURSOS DEPARMENTO DEL QUINDIO VIGENCIA 2012-2014 FCR 60%, FDR Y FCTeI</a:t>
            </a:r>
          </a:p>
        </c:rich>
      </c:tx>
      <c:layout>
        <c:manualLayout>
          <c:xMode val="factor"/>
          <c:yMode val="factor"/>
          <c:x val="-0.0015"/>
          <c:y val="-0.01225"/>
        </c:manualLayout>
      </c:layout>
      <c:spPr>
        <a:noFill/>
        <a:ln>
          <a:noFill/>
        </a:ln>
      </c:spPr>
    </c:title>
    <c:view3D>
      <c:rotX val="15"/>
      <c:hPercent val="86"/>
      <c:rotY val="20"/>
      <c:depthPercent val="100"/>
      <c:rAngAx val="1"/>
    </c:view3D>
    <c:plotArea>
      <c:layout>
        <c:manualLayout>
          <c:xMode val="edge"/>
          <c:yMode val="edge"/>
          <c:x val="0.01425"/>
          <c:y val="0.165"/>
          <c:w val="0.63125"/>
          <c:h val="0.80825"/>
        </c:manualLayout>
      </c:layout>
      <c:bar3DChart>
        <c:barDir val="col"/>
        <c:grouping val="clustered"/>
        <c:varyColors val="0"/>
        <c:ser>
          <c:idx val="0"/>
          <c:order val="0"/>
          <c:tx>
            <c:strRef>
              <c:f>'PRESUPUESTO DEPARTAMENTO'!$C$16</c:f>
              <c:strCache>
                <c:ptCount val="1"/>
                <c:pt idx="0">
                  <c:v>RECURSOS DISPONIBLES VIGENCIA 2012 </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DEPARTAMENTO'!$B$17:$B$20</c:f>
              <c:strCache/>
            </c:strRef>
          </c:cat>
          <c:val>
            <c:numRef>
              <c:f>'PRESUPUESTO DEPARTAMENTO'!$C$17:$C$20</c:f>
              <c:numCache/>
            </c:numRef>
          </c:val>
          <c:shape val="box"/>
        </c:ser>
        <c:ser>
          <c:idx val="1"/>
          <c:order val="1"/>
          <c:tx>
            <c:strRef>
              <c:f>'PRESUPUESTO DEPARTAMENTO'!$D$16</c:f>
              <c:strCache>
                <c:ptCount val="1"/>
                <c:pt idx="0">
                  <c:v>RECURSOS APROBADOS VIGENCIA 2012</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DEPARTAMENTO'!$D$17:$D$20</c:f>
              <c:numCache/>
            </c:numRef>
          </c:val>
          <c:shape val="box"/>
        </c:ser>
        <c:ser>
          <c:idx val="2"/>
          <c:order val="2"/>
          <c:tx>
            <c:strRef>
              <c:f>'PRESUPUESTO DEPARTAMENTO'!$E$16</c:f>
              <c:strCache>
                <c:ptCount val="1"/>
                <c:pt idx="0">
                  <c:v>RECURSOS DISPONIBLES VIGENCIA 2013-2014</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DEPARTAMENTO'!$E$17:$E$20</c:f>
              <c:numCache/>
            </c:numRef>
          </c:val>
          <c:shape val="box"/>
        </c:ser>
        <c:ser>
          <c:idx val="3"/>
          <c:order val="3"/>
          <c:tx>
            <c:strRef>
              <c:f>'PRESUPUESTO DEPARTAMENTO'!$F$16</c:f>
              <c:strCache>
                <c:ptCount val="1"/>
                <c:pt idx="0">
                  <c:v>RECURSOS APROBADOS VIGENCIA 2013-2014</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DEPARTAMENTO'!$F$17:$F$20</c:f>
              <c:numCache/>
            </c:numRef>
          </c:val>
          <c:shape val="box"/>
        </c:ser>
        <c:shape val="box"/>
        <c:axId val="15522457"/>
        <c:axId val="5484386"/>
      </c:bar3DChart>
      <c:catAx>
        <c:axId val="1552245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84386"/>
        <c:crosses val="autoZero"/>
        <c:auto val="1"/>
        <c:lblOffset val="100"/>
        <c:tickLblSkip val="1"/>
        <c:noMultiLvlLbl val="0"/>
      </c:catAx>
      <c:valAx>
        <c:axId val="54843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5522457"/>
        <c:crossesAt val="1"/>
        <c:crossBetween val="between"/>
        <c:dispUnits/>
      </c:valAx>
      <c:spPr>
        <a:noFill/>
        <a:ln>
          <a:noFill/>
        </a:ln>
      </c:spPr>
    </c:plotArea>
    <c:legend>
      <c:legendPos val="r"/>
      <c:layout>
        <c:manualLayout>
          <c:xMode val="edge"/>
          <c:yMode val="edge"/>
          <c:x val="0.66725"/>
          <c:y val="0.38575"/>
          <c:w val="0.3255"/>
          <c:h val="0.361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75"/>
        </c:manualLayout>
      </c:layout>
      <c:spPr>
        <a:noFill/>
        <a:ln w="3175">
          <a:noFill/>
        </a:ln>
      </c:spPr>
      <c:txPr>
        <a:bodyPr vert="horz" rot="0"/>
        <a:lstStyle/>
        <a:p>
          <a:pPr>
            <a:defRPr lang="en-US" cap="none" sz="2800" b="1" i="0" u="none" baseline="0">
              <a:solidFill>
                <a:srgbClr val="000000"/>
              </a:solidFill>
              <a:latin typeface="Calibri"/>
              <a:ea typeface="Calibri"/>
              <a:cs typeface="Calibri"/>
            </a:defRPr>
          </a:pPr>
        </a:p>
      </c:txPr>
    </c:title>
    <c:view3D>
      <c:rotX val="15"/>
      <c:hPercent val="98"/>
      <c:rotY val="20"/>
      <c:depthPercent val="100"/>
      <c:rAngAx val="1"/>
    </c:view3D>
    <c:plotArea>
      <c:layout>
        <c:manualLayout>
          <c:xMode val="edge"/>
          <c:yMode val="edge"/>
          <c:x val="0.01375"/>
          <c:y val="0.04975"/>
          <c:w val="0.758"/>
          <c:h val="0.82075"/>
        </c:manualLayout>
      </c:layout>
      <c:bar3DChart>
        <c:barDir val="bar"/>
        <c:grouping val="clustered"/>
        <c:varyColors val="0"/>
        <c:ser>
          <c:idx val="0"/>
          <c:order val="0"/>
          <c:tx>
            <c:strRef>
              <c:f>'ANEXO 11 TABLA INV SECTOR'!$C$4</c:f>
              <c:strCache>
                <c:ptCount val="1"/>
                <c:pt idx="0">
                  <c:v>INVERSIÓN REALIZADA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966"/>
              </a:solidFill>
              <a:ln w="3175">
                <a:noFill/>
              </a:ln>
            </c:spPr>
          </c:dPt>
          <c:dPt>
            <c:idx val="2"/>
            <c:invertIfNegative val="0"/>
            <c:spPr>
              <a:solidFill>
                <a:srgbClr val="F32D2D">
                  <a:alpha val="90000"/>
                </a:srgbClr>
              </a:solidFill>
              <a:ln w="3175">
                <a:noFill/>
              </a:ln>
            </c:spPr>
          </c:dPt>
          <c:dPt>
            <c:idx val="3"/>
            <c:invertIfNegative val="0"/>
            <c:spPr>
              <a:solidFill>
                <a:srgbClr val="C5E0B4"/>
              </a:solidFill>
              <a:ln w="3175">
                <a:noFill/>
              </a:ln>
            </c:spPr>
          </c:dPt>
          <c:dPt>
            <c:idx val="4"/>
            <c:invertIfNegative val="0"/>
            <c:spPr>
              <a:solidFill>
                <a:srgbClr val="00B050"/>
              </a:solidFill>
              <a:ln w="3175">
                <a:noFill/>
              </a:ln>
            </c:spPr>
          </c:dPt>
          <c:dPt>
            <c:idx val="5"/>
            <c:invertIfNegative val="0"/>
            <c:spPr>
              <a:solidFill>
                <a:srgbClr val="7030A0"/>
              </a:solidFill>
              <a:ln w="3175">
                <a:noFill/>
              </a:ln>
            </c:spPr>
          </c:dPt>
          <c:dPt>
            <c:idx val="6"/>
            <c:invertIfNegative val="0"/>
            <c:spPr>
              <a:solidFill>
                <a:srgbClr val="00B0F0"/>
              </a:solidFill>
              <a:ln w="3175">
                <a:noFill/>
              </a:ln>
            </c:spPr>
          </c:dPt>
          <c:dPt>
            <c:idx val="7"/>
            <c:invertIfNegative val="0"/>
            <c:spPr>
              <a:solidFill>
                <a:srgbClr val="FFC000"/>
              </a:solidFill>
              <a:ln w="3175">
                <a:noFill/>
              </a:ln>
            </c:spPr>
          </c:dPt>
          <c:dPt>
            <c:idx val="8"/>
            <c:invertIfNegative val="0"/>
            <c:spPr>
              <a:solidFill>
                <a:srgbClr val="F4B183"/>
              </a:solidFill>
              <a:ln w="3175">
                <a:noFill/>
              </a:ln>
            </c:spPr>
          </c:dPt>
          <c:dPt>
            <c:idx val="9"/>
            <c:invertIfNegative val="0"/>
            <c:spPr>
              <a:solidFill>
                <a:srgbClr val="8497B0"/>
              </a:solidFill>
              <a:ln w="3175">
                <a:noFill/>
              </a:ln>
            </c:spPr>
          </c:dPt>
          <c:dPt>
            <c:idx val="10"/>
            <c:invertIfNegative val="0"/>
            <c:spPr>
              <a:solidFill>
                <a:srgbClr val="548235"/>
              </a:solidFill>
              <a:ln w="3175">
                <a:noFill/>
              </a:ln>
            </c:spPr>
          </c:dPt>
          <c:dPt>
            <c:idx val="11"/>
            <c:invertIfNegative val="0"/>
            <c:spPr>
              <a:solidFill>
                <a:srgbClr val="996633"/>
              </a:solidFill>
              <a:ln w="3175">
                <a:noFill/>
              </a:ln>
            </c:spPr>
          </c:dPt>
          <c:cat>
            <c:strRef>
              <c:f>'ANEXO 11 TABLA INV SECTOR'!$B$5:$B$19</c:f>
              <c:strCache/>
            </c:strRef>
          </c:cat>
          <c:val>
            <c:numRef>
              <c:f>'ANEXO 11 TABLA INV SECTOR'!$C$5:$C$19</c:f>
              <c:numCache/>
            </c:numRef>
          </c:val>
          <c:shape val="cylinder"/>
        </c:ser>
        <c:shape val="cylinder"/>
        <c:axId val="49359475"/>
        <c:axId val="41582092"/>
      </c:bar3DChart>
      <c:catAx>
        <c:axId val="49359475"/>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2000" b="0" i="0" u="none" baseline="0">
                <a:solidFill>
                  <a:srgbClr val="000000"/>
                </a:solidFill>
                <a:latin typeface="Calibri"/>
                <a:ea typeface="Calibri"/>
                <a:cs typeface="Calibri"/>
              </a:defRPr>
            </a:pPr>
          </a:p>
        </c:txPr>
        <c:crossAx val="41582092"/>
        <c:crosses val="autoZero"/>
        <c:auto val="1"/>
        <c:lblOffset val="100"/>
        <c:tickLblSkip val="1"/>
        <c:noMultiLvlLbl val="0"/>
      </c:catAx>
      <c:valAx>
        <c:axId val="4158209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2000" b="0" i="0" u="none" baseline="0">
                <a:solidFill>
                  <a:srgbClr val="000000"/>
                </a:solidFill>
                <a:latin typeface="Calibri"/>
                <a:ea typeface="Calibri"/>
                <a:cs typeface="Calibri"/>
              </a:defRPr>
            </a:pPr>
          </a:p>
        </c:txPr>
        <c:crossAx val="49359475"/>
        <c:crossesAt val="1"/>
        <c:crossBetween val="between"/>
        <c:dispUnits/>
      </c:valAx>
      <c:spPr>
        <a:noFill/>
        <a:ln>
          <a:noFill/>
        </a:ln>
      </c:spPr>
    </c:plotArea>
    <c:legend>
      <c:legendPos val="r"/>
      <c:layout>
        <c:manualLayout>
          <c:xMode val="edge"/>
          <c:yMode val="edge"/>
          <c:x val="0.791"/>
          <c:y val="0.25925"/>
          <c:w val="0.20675"/>
          <c:h val="0.53"/>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 Id="rId3" Type="http://schemas.openxmlformats.org/officeDocument/2006/relationships/image" Target="../media/image1.png" /><Relationship Id="rId4" Type="http://schemas.openxmlformats.org/officeDocument/2006/relationships/image" Target="../media/image3.png" /><Relationship Id="rId5"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63</xdr:row>
      <xdr:rowOff>47625</xdr:rowOff>
    </xdr:from>
    <xdr:to>
      <xdr:col>14</xdr:col>
      <xdr:colOff>276225</xdr:colOff>
      <xdr:row>87</xdr:row>
      <xdr:rowOff>76200</xdr:rowOff>
    </xdr:to>
    <xdr:graphicFrame>
      <xdr:nvGraphicFramePr>
        <xdr:cNvPr id="1" name="1 Gráfico"/>
        <xdr:cNvGraphicFramePr/>
      </xdr:nvGraphicFramePr>
      <xdr:xfrm>
        <a:off x="14363700" y="16887825"/>
        <a:ext cx="15039975" cy="5695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352425</xdr:colOff>
      <xdr:row>0</xdr:row>
      <xdr:rowOff>190500</xdr:rowOff>
    </xdr:from>
    <xdr:to>
      <xdr:col>0</xdr:col>
      <xdr:colOff>2705100</xdr:colOff>
      <xdr:row>7</xdr:row>
      <xdr:rowOff>19050</xdr:rowOff>
    </xdr:to>
    <xdr:pic>
      <xdr:nvPicPr>
        <xdr:cNvPr id="2" name="Imagen 5"/>
        <xdr:cNvPicPr preferRelativeResize="1">
          <a:picLocks noChangeAspect="1"/>
        </xdr:cNvPicPr>
      </xdr:nvPicPr>
      <xdr:blipFill>
        <a:blip r:embed="rId2"/>
        <a:stretch>
          <a:fillRect/>
        </a:stretch>
      </xdr:blipFill>
      <xdr:spPr>
        <a:xfrm>
          <a:off x="352425" y="190500"/>
          <a:ext cx="2352675" cy="3124200"/>
        </a:xfrm>
        <a:prstGeom prst="rect">
          <a:avLst/>
        </a:prstGeom>
        <a:noFill/>
        <a:ln w="9525" cmpd="sng">
          <a:noFill/>
        </a:ln>
      </xdr:spPr>
    </xdr:pic>
    <xdr:clientData/>
  </xdr:twoCellAnchor>
  <xdr:twoCellAnchor editAs="oneCell">
    <xdr:from>
      <xdr:col>16</xdr:col>
      <xdr:colOff>1924050</xdr:colOff>
      <xdr:row>0</xdr:row>
      <xdr:rowOff>352425</xdr:rowOff>
    </xdr:from>
    <xdr:to>
      <xdr:col>17</xdr:col>
      <xdr:colOff>2771775</xdr:colOff>
      <xdr:row>5</xdr:row>
      <xdr:rowOff>0</xdr:rowOff>
    </xdr:to>
    <xdr:pic>
      <xdr:nvPicPr>
        <xdr:cNvPr id="3" name="Imagen 6"/>
        <xdr:cNvPicPr preferRelativeResize="1">
          <a:picLocks noChangeAspect="1"/>
        </xdr:cNvPicPr>
      </xdr:nvPicPr>
      <xdr:blipFill>
        <a:blip r:embed="rId3"/>
        <a:stretch>
          <a:fillRect/>
        </a:stretch>
      </xdr:blipFill>
      <xdr:spPr>
        <a:xfrm>
          <a:off x="34871025" y="352425"/>
          <a:ext cx="3133725" cy="2257425"/>
        </a:xfrm>
        <a:prstGeom prst="rect">
          <a:avLst/>
        </a:prstGeom>
        <a:noFill/>
        <a:ln w="9525" cmpd="sng">
          <a:noFill/>
        </a:ln>
      </xdr:spPr>
    </xdr:pic>
    <xdr:clientData/>
  </xdr:twoCellAnchor>
  <xdr:twoCellAnchor editAs="oneCell">
    <xdr:from>
      <xdr:col>1</xdr:col>
      <xdr:colOff>95250</xdr:colOff>
      <xdr:row>0</xdr:row>
      <xdr:rowOff>76200</xdr:rowOff>
    </xdr:from>
    <xdr:to>
      <xdr:col>2</xdr:col>
      <xdr:colOff>1562100</xdr:colOff>
      <xdr:row>1</xdr:row>
      <xdr:rowOff>581025</xdr:rowOff>
    </xdr:to>
    <xdr:pic>
      <xdr:nvPicPr>
        <xdr:cNvPr id="4" name="Imagen 7"/>
        <xdr:cNvPicPr preferRelativeResize="1">
          <a:picLocks noChangeAspect="1"/>
        </xdr:cNvPicPr>
      </xdr:nvPicPr>
      <xdr:blipFill>
        <a:blip r:embed="rId4"/>
        <a:stretch>
          <a:fillRect/>
        </a:stretch>
      </xdr:blipFill>
      <xdr:spPr>
        <a:xfrm>
          <a:off x="3000375" y="76200"/>
          <a:ext cx="4410075" cy="1419225"/>
        </a:xfrm>
        <a:prstGeom prst="rect">
          <a:avLst/>
        </a:prstGeom>
        <a:noFill/>
        <a:ln w="9525" cmpd="sng">
          <a:noFill/>
        </a:ln>
      </xdr:spPr>
    </xdr:pic>
    <xdr:clientData/>
  </xdr:twoCellAnchor>
  <xdr:twoCellAnchor editAs="oneCell">
    <xdr:from>
      <xdr:col>0</xdr:col>
      <xdr:colOff>1000125</xdr:colOff>
      <xdr:row>72</xdr:row>
      <xdr:rowOff>142875</xdr:rowOff>
    </xdr:from>
    <xdr:to>
      <xdr:col>4</xdr:col>
      <xdr:colOff>1676400</xdr:colOff>
      <xdr:row>82</xdr:row>
      <xdr:rowOff>0</xdr:rowOff>
    </xdr:to>
    <xdr:pic>
      <xdr:nvPicPr>
        <xdr:cNvPr id="5" name="Imagen 9"/>
        <xdr:cNvPicPr preferRelativeResize="1">
          <a:picLocks noChangeAspect="1"/>
        </xdr:cNvPicPr>
      </xdr:nvPicPr>
      <xdr:blipFill>
        <a:blip r:embed="rId5"/>
        <a:stretch>
          <a:fillRect/>
        </a:stretch>
      </xdr:blipFill>
      <xdr:spPr>
        <a:xfrm>
          <a:off x="1000125" y="19792950"/>
          <a:ext cx="10734675" cy="2524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1171575</xdr:colOff>
      <xdr:row>36</xdr:row>
      <xdr:rowOff>171450</xdr:rowOff>
    </xdr:from>
    <xdr:to>
      <xdr:col>18</xdr:col>
      <xdr:colOff>1181100</xdr:colOff>
      <xdr:row>57</xdr:row>
      <xdr:rowOff>133350</xdr:rowOff>
    </xdr:to>
    <xdr:graphicFrame>
      <xdr:nvGraphicFramePr>
        <xdr:cNvPr id="1" name="Gráfico 4"/>
        <xdr:cNvGraphicFramePr/>
      </xdr:nvGraphicFramePr>
      <xdr:xfrm>
        <a:off x="35966400" y="771525"/>
        <a:ext cx="66484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39</xdr:row>
      <xdr:rowOff>161925</xdr:rowOff>
    </xdr:from>
    <xdr:to>
      <xdr:col>6</xdr:col>
      <xdr:colOff>600075</xdr:colOff>
      <xdr:row>60</xdr:row>
      <xdr:rowOff>123825</xdr:rowOff>
    </xdr:to>
    <xdr:graphicFrame>
      <xdr:nvGraphicFramePr>
        <xdr:cNvPr id="1" name="Gráfico 4"/>
        <xdr:cNvGraphicFramePr/>
      </xdr:nvGraphicFramePr>
      <xdr:xfrm>
        <a:off x="6076950" y="12496800"/>
        <a:ext cx="6524625" cy="3962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1885950</xdr:colOff>
      <xdr:row>6</xdr:row>
      <xdr:rowOff>476250</xdr:rowOff>
    </xdr:from>
    <xdr:ext cx="295275" cy="304800"/>
    <xdr:sp>
      <xdr:nvSpPr>
        <xdr:cNvPr id="1"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953375"/>
          <a:ext cx="29527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7</xdr:row>
      <xdr:rowOff>1028700</xdr:rowOff>
    </xdr:from>
    <xdr:ext cx="304800" cy="304800"/>
    <xdr:sp>
      <xdr:nvSpPr>
        <xdr:cNvPr id="2" name="AutoShape 7" descr="0464-1.jpg"/>
        <xdr:cNvSpPr>
          <a:spLocks noChangeAspect="1"/>
        </xdr:cNvSpPr>
      </xdr:nvSpPr>
      <xdr:spPr>
        <a:xfrm>
          <a:off x="27222450" y="10296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4"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5"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6" name="AutoShape 7"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7" name="AutoShape 8"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8" name="AutoShape 10" descr="Imágenes integradas 1"/>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9"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0"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1"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2" name="AutoShape 7"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3" name="AutoShape 8" descr="0464-1.jpg"/>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304800" cy="304800"/>
    <xdr:sp>
      <xdr:nvSpPr>
        <xdr:cNvPr id="14" name="AutoShape 10" descr="Imágenes integradas 1"/>
        <xdr:cNvSpPr>
          <a:spLocks noChangeAspect="1"/>
        </xdr:cNvSpPr>
      </xdr:nvSpPr>
      <xdr:spPr>
        <a:xfrm>
          <a:off x="88106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5"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6"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7"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8" name="AutoShape 7" descr="0464-1.jpg"/>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19" name="AutoShape 8" descr="0464-1.jpg"/>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7</xdr:row>
      <xdr:rowOff>0</xdr:rowOff>
    </xdr:from>
    <xdr:ext cx="304800" cy="304800"/>
    <xdr:sp>
      <xdr:nvSpPr>
        <xdr:cNvPr id="20" name="AutoShape 10" descr="Imágenes integradas 1"/>
        <xdr:cNvSpPr>
          <a:spLocks noChangeAspect="1"/>
        </xdr:cNvSpPr>
      </xdr:nvSpPr>
      <xdr:spPr>
        <a:xfrm>
          <a:off x="26222325" y="9267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1885950</xdr:colOff>
      <xdr:row>7</xdr:row>
      <xdr:rowOff>476250</xdr:rowOff>
    </xdr:from>
    <xdr:ext cx="304800" cy="304800"/>
    <xdr:sp>
      <xdr:nvSpPr>
        <xdr:cNvPr id="21"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97440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1885950</xdr:colOff>
      <xdr:row>8</xdr:row>
      <xdr:rowOff>476250</xdr:rowOff>
    </xdr:from>
    <xdr:ext cx="304800" cy="304800"/>
    <xdr:sp>
      <xdr:nvSpPr>
        <xdr:cNvPr id="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5347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1885950</xdr:colOff>
      <xdr:row>9</xdr:row>
      <xdr:rowOff>476250</xdr:rowOff>
    </xdr:from>
    <xdr:ext cx="304800" cy="304800"/>
    <xdr:sp>
      <xdr:nvSpPr>
        <xdr:cNvPr id="2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33254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8</xdr:row>
      <xdr:rowOff>1028700</xdr:rowOff>
    </xdr:from>
    <xdr:ext cx="304800" cy="304800"/>
    <xdr:sp>
      <xdr:nvSpPr>
        <xdr:cNvPr id="24" name="AutoShape 7" descr="0464-1.jpg"/>
        <xdr:cNvSpPr>
          <a:spLocks noChangeAspect="1"/>
        </xdr:cNvSpPr>
      </xdr:nvSpPr>
      <xdr:spPr>
        <a:xfrm>
          <a:off x="27222450" y="12087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5"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6"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7"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8" name="AutoShape 7"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29" name="AutoShape 8"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30" name="AutoShape 10" descr="Imágenes integradas 1"/>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9</xdr:row>
      <xdr:rowOff>1028700</xdr:rowOff>
    </xdr:from>
    <xdr:ext cx="304800" cy="304800"/>
    <xdr:sp>
      <xdr:nvSpPr>
        <xdr:cNvPr id="31" name="AutoShape 7" descr="0464-1.jpg"/>
        <xdr:cNvSpPr>
          <a:spLocks noChangeAspect="1"/>
        </xdr:cNvSpPr>
      </xdr:nvSpPr>
      <xdr:spPr>
        <a:xfrm>
          <a:off x="27222450" y="13877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5" name="AutoShape 7"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6" name="AutoShape 8"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37" name="AutoShape 10" descr="Imágenes integradas 1"/>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10</xdr:row>
      <xdr:rowOff>1028700</xdr:rowOff>
    </xdr:from>
    <xdr:ext cx="304800" cy="304800"/>
    <xdr:sp>
      <xdr:nvSpPr>
        <xdr:cNvPr id="38" name="AutoShape 7" descr="0464-1.jpg"/>
        <xdr:cNvSpPr>
          <a:spLocks noChangeAspect="1"/>
        </xdr:cNvSpPr>
      </xdr:nvSpPr>
      <xdr:spPr>
        <a:xfrm>
          <a:off x="27222450" y="156686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39"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0"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1"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2" name="AutoShape 7"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3" name="AutoShape 8"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44" name="AutoShape 10" descr="Imágenes integradas 1"/>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8</xdr:row>
      <xdr:rowOff>1028700</xdr:rowOff>
    </xdr:from>
    <xdr:ext cx="304800" cy="304800"/>
    <xdr:sp>
      <xdr:nvSpPr>
        <xdr:cNvPr id="45" name="AutoShape 7" descr="0464-1.jpg"/>
        <xdr:cNvSpPr>
          <a:spLocks noChangeAspect="1"/>
        </xdr:cNvSpPr>
      </xdr:nvSpPr>
      <xdr:spPr>
        <a:xfrm>
          <a:off x="27222450" y="12087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49" name="AutoShape 7"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50" name="AutoShape 8" descr="0464-1.jpg"/>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8</xdr:row>
      <xdr:rowOff>0</xdr:rowOff>
    </xdr:from>
    <xdr:ext cx="304800" cy="304800"/>
    <xdr:sp>
      <xdr:nvSpPr>
        <xdr:cNvPr id="51" name="AutoShape 10" descr="Imágenes integradas 1"/>
        <xdr:cNvSpPr>
          <a:spLocks noChangeAspect="1"/>
        </xdr:cNvSpPr>
      </xdr:nvSpPr>
      <xdr:spPr>
        <a:xfrm>
          <a:off x="26222325" y="1105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9</xdr:row>
      <xdr:rowOff>1028700</xdr:rowOff>
    </xdr:from>
    <xdr:ext cx="304800" cy="304800"/>
    <xdr:sp>
      <xdr:nvSpPr>
        <xdr:cNvPr id="52" name="AutoShape 7" descr="0464-1.jpg"/>
        <xdr:cNvSpPr>
          <a:spLocks noChangeAspect="1"/>
        </xdr:cNvSpPr>
      </xdr:nvSpPr>
      <xdr:spPr>
        <a:xfrm>
          <a:off x="27222450" y="13877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4"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5"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6" name="AutoShape 7"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7" name="AutoShape 8" descr="0464-1.jpg"/>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9</xdr:row>
      <xdr:rowOff>0</xdr:rowOff>
    </xdr:from>
    <xdr:ext cx="304800" cy="304800"/>
    <xdr:sp>
      <xdr:nvSpPr>
        <xdr:cNvPr id="58" name="AutoShape 10" descr="Imágenes integradas 1"/>
        <xdr:cNvSpPr>
          <a:spLocks noChangeAspect="1"/>
        </xdr:cNvSpPr>
      </xdr:nvSpPr>
      <xdr:spPr>
        <a:xfrm>
          <a:off x="26222325" y="128492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10</xdr:row>
      <xdr:rowOff>1028700</xdr:rowOff>
    </xdr:from>
    <xdr:ext cx="304800" cy="304800"/>
    <xdr:sp>
      <xdr:nvSpPr>
        <xdr:cNvPr id="59" name="AutoShape 7" descr="0464-1.jpg"/>
        <xdr:cNvSpPr>
          <a:spLocks noChangeAspect="1"/>
        </xdr:cNvSpPr>
      </xdr:nvSpPr>
      <xdr:spPr>
        <a:xfrm>
          <a:off x="27222450" y="156686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3" name="AutoShape 7"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4" name="AutoShape 8" descr="0464-1.jpg"/>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10</xdr:row>
      <xdr:rowOff>0</xdr:rowOff>
    </xdr:from>
    <xdr:ext cx="304800" cy="304800"/>
    <xdr:sp>
      <xdr:nvSpPr>
        <xdr:cNvPr id="65" name="AutoShape 10" descr="Imágenes integradas 1"/>
        <xdr:cNvSpPr>
          <a:spLocks noChangeAspect="1"/>
        </xdr:cNvSpPr>
      </xdr:nvSpPr>
      <xdr:spPr>
        <a:xfrm>
          <a:off x="26222325" y="146399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1000125</xdr:colOff>
      <xdr:row>6</xdr:row>
      <xdr:rowOff>1028700</xdr:rowOff>
    </xdr:from>
    <xdr:ext cx="304800" cy="304800"/>
    <xdr:sp>
      <xdr:nvSpPr>
        <xdr:cNvPr id="66" name="AutoShape 7" descr="0464-1.jpg"/>
        <xdr:cNvSpPr>
          <a:spLocks noChangeAspect="1"/>
        </xdr:cNvSpPr>
      </xdr:nvSpPr>
      <xdr:spPr>
        <a:xfrm>
          <a:off x="27222450" y="85058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67"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68"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69"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70" name="AutoShape 7" descr="0464-1.jpg"/>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71" name="AutoShape 8" descr="0464-1.jpg"/>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0</xdr:colOff>
      <xdr:row>6</xdr:row>
      <xdr:rowOff>0</xdr:rowOff>
    </xdr:from>
    <xdr:ext cx="304800" cy="304800"/>
    <xdr:sp>
      <xdr:nvSpPr>
        <xdr:cNvPr id="72" name="AutoShape 10" descr="Imágenes integradas 1"/>
        <xdr:cNvSpPr>
          <a:spLocks noChangeAspect="1"/>
        </xdr:cNvSpPr>
      </xdr:nvSpPr>
      <xdr:spPr>
        <a:xfrm>
          <a:off x="26222325" y="74771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942975</xdr:colOff>
      <xdr:row>0</xdr:row>
      <xdr:rowOff>171450</xdr:rowOff>
    </xdr:from>
    <xdr:to>
      <xdr:col>2</xdr:col>
      <xdr:colOff>1743075</xdr:colOff>
      <xdr:row>0</xdr:row>
      <xdr:rowOff>3429000</xdr:rowOff>
    </xdr:to>
    <xdr:pic>
      <xdr:nvPicPr>
        <xdr:cNvPr id="73" name="Imagen 78"/>
        <xdr:cNvPicPr preferRelativeResize="1">
          <a:picLocks noChangeAspect="1"/>
        </xdr:cNvPicPr>
      </xdr:nvPicPr>
      <xdr:blipFill>
        <a:blip r:embed="rId1"/>
        <a:stretch>
          <a:fillRect/>
        </a:stretch>
      </xdr:blipFill>
      <xdr:spPr>
        <a:xfrm>
          <a:off x="942975" y="171450"/>
          <a:ext cx="2438400" cy="3257550"/>
        </a:xfrm>
        <a:prstGeom prst="rect">
          <a:avLst/>
        </a:prstGeom>
        <a:noFill/>
        <a:ln w="9525" cmpd="sng">
          <a:noFill/>
        </a:ln>
      </xdr:spPr>
    </xdr:pic>
    <xdr:clientData/>
  </xdr:twoCellAnchor>
  <xdr:twoCellAnchor editAs="oneCell">
    <xdr:from>
      <xdr:col>3</xdr:col>
      <xdr:colOff>333375</xdr:colOff>
      <xdr:row>0</xdr:row>
      <xdr:rowOff>228600</xdr:rowOff>
    </xdr:from>
    <xdr:to>
      <xdr:col>5</xdr:col>
      <xdr:colOff>2076450</xdr:colOff>
      <xdr:row>0</xdr:row>
      <xdr:rowOff>2505075</xdr:rowOff>
    </xdr:to>
    <xdr:pic>
      <xdr:nvPicPr>
        <xdr:cNvPr id="74" name="Imagen 79"/>
        <xdr:cNvPicPr preferRelativeResize="1">
          <a:picLocks noChangeAspect="1"/>
        </xdr:cNvPicPr>
      </xdr:nvPicPr>
      <xdr:blipFill>
        <a:blip r:embed="rId2"/>
        <a:stretch>
          <a:fillRect/>
        </a:stretch>
      </xdr:blipFill>
      <xdr:spPr>
        <a:xfrm>
          <a:off x="3876675" y="228600"/>
          <a:ext cx="7010400" cy="2266950"/>
        </a:xfrm>
        <a:prstGeom prst="rect">
          <a:avLst/>
        </a:prstGeom>
        <a:noFill/>
        <a:ln w="9525" cmpd="sng">
          <a:noFill/>
        </a:ln>
      </xdr:spPr>
    </xdr:pic>
    <xdr:clientData/>
  </xdr:twoCellAnchor>
  <xdr:twoCellAnchor editAs="oneCell">
    <xdr:from>
      <xdr:col>14</xdr:col>
      <xdr:colOff>1876425</xdr:colOff>
      <xdr:row>0</xdr:row>
      <xdr:rowOff>142875</xdr:rowOff>
    </xdr:from>
    <xdr:to>
      <xdr:col>17</xdr:col>
      <xdr:colOff>0</xdr:colOff>
      <xdr:row>0</xdr:row>
      <xdr:rowOff>3552825</xdr:rowOff>
    </xdr:to>
    <xdr:pic>
      <xdr:nvPicPr>
        <xdr:cNvPr id="75" name="Imagen 80"/>
        <xdr:cNvPicPr preferRelativeResize="1">
          <a:picLocks noChangeAspect="1"/>
        </xdr:cNvPicPr>
      </xdr:nvPicPr>
      <xdr:blipFill>
        <a:blip r:embed="rId3"/>
        <a:stretch>
          <a:fillRect/>
        </a:stretch>
      </xdr:blipFill>
      <xdr:spPr>
        <a:xfrm>
          <a:off x="26212800" y="142875"/>
          <a:ext cx="4743450" cy="3400425"/>
        </a:xfrm>
        <a:prstGeom prst="rect">
          <a:avLst/>
        </a:prstGeom>
        <a:noFill/>
        <a:ln w="9525" cmpd="sng">
          <a:noFill/>
        </a:ln>
      </xdr:spPr>
    </xdr:pic>
    <xdr:clientData/>
  </xdr:twoCellAnchor>
  <xdr:twoCellAnchor editAs="oneCell">
    <xdr:from>
      <xdr:col>5</xdr:col>
      <xdr:colOff>2381250</xdr:colOff>
      <xdr:row>14</xdr:row>
      <xdr:rowOff>0</xdr:rowOff>
    </xdr:from>
    <xdr:to>
      <xdr:col>13</xdr:col>
      <xdr:colOff>1857375</xdr:colOff>
      <xdr:row>25</xdr:row>
      <xdr:rowOff>0</xdr:rowOff>
    </xdr:to>
    <xdr:pic>
      <xdr:nvPicPr>
        <xdr:cNvPr id="76" name="Imagen 81"/>
        <xdr:cNvPicPr preferRelativeResize="1">
          <a:picLocks noChangeAspect="1"/>
        </xdr:cNvPicPr>
      </xdr:nvPicPr>
      <xdr:blipFill>
        <a:blip r:embed="rId4"/>
        <a:stretch>
          <a:fillRect/>
        </a:stretch>
      </xdr:blipFill>
      <xdr:spPr>
        <a:xfrm>
          <a:off x="11191875" y="17383125"/>
          <a:ext cx="12944475" cy="2933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12</xdr:row>
      <xdr:rowOff>0</xdr:rowOff>
    </xdr:from>
    <xdr:ext cx="304800" cy="304800"/>
    <xdr:sp>
      <xdr:nvSpPr>
        <xdr:cNvPr id="1"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3"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4" name="AutoShape 7"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5" name="AutoShape 8"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13</xdr:row>
      <xdr:rowOff>0</xdr:rowOff>
    </xdr:from>
    <xdr:ext cx="304800" cy="381000"/>
    <xdr:sp>
      <xdr:nvSpPr>
        <xdr:cNvPr id="6" name="AutoShape 10" descr="Imágenes integradas 1"/>
        <xdr:cNvSpPr>
          <a:spLocks noChangeAspect="1"/>
        </xdr:cNvSpPr>
      </xdr:nvSpPr>
      <xdr:spPr>
        <a:xfrm>
          <a:off x="44586525" y="18068925"/>
          <a:ext cx="3048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1733550</xdr:rowOff>
    </xdr:from>
    <xdr:ext cx="304800" cy="304800"/>
    <xdr:sp>
      <xdr:nvSpPr>
        <xdr:cNvPr id="7"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8"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9"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10" name="AutoShape 7" descr="0464-1.jpg"/>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11" name="AutoShape 8" descr="0464-1.jpg"/>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32</xdr:row>
      <xdr:rowOff>0</xdr:rowOff>
    </xdr:from>
    <xdr:ext cx="304800" cy="304800"/>
    <xdr:sp>
      <xdr:nvSpPr>
        <xdr:cNvPr id="12" name="AutoShape 10" descr="Imágenes integradas 1"/>
        <xdr:cNvSpPr>
          <a:spLocks noChangeAspect="1"/>
        </xdr:cNvSpPr>
      </xdr:nvSpPr>
      <xdr:spPr>
        <a:xfrm>
          <a:off x="14878050" y="568547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3"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4"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5"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6" name="AutoShape 7" descr="0464-1.jpg"/>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7" name="AutoShape 8" descr="0464-1.jpg"/>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304800" cy="304800"/>
    <xdr:sp>
      <xdr:nvSpPr>
        <xdr:cNvPr id="18" name="AutoShape 10" descr="Imágenes integradas 1"/>
        <xdr:cNvSpPr>
          <a:spLocks noChangeAspect="1"/>
        </xdr:cNvSpPr>
      </xdr:nvSpPr>
      <xdr:spPr>
        <a:xfrm>
          <a:off x="14878050" y="58588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19"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0"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1"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2" name="AutoShape 7"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12</xdr:row>
      <xdr:rowOff>0</xdr:rowOff>
    </xdr:from>
    <xdr:ext cx="304800" cy="304800"/>
    <xdr:sp>
      <xdr:nvSpPr>
        <xdr:cNvPr id="23" name="AutoShape 8" descr="0464-1.jpg"/>
        <xdr:cNvSpPr>
          <a:spLocks noChangeAspect="1"/>
        </xdr:cNvSpPr>
      </xdr:nvSpPr>
      <xdr:spPr>
        <a:xfrm>
          <a:off x="44586525" y="162972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13</xdr:row>
      <xdr:rowOff>0</xdr:rowOff>
    </xdr:from>
    <xdr:ext cx="304800" cy="381000"/>
    <xdr:sp>
      <xdr:nvSpPr>
        <xdr:cNvPr id="24" name="AutoShape 10" descr="Imágenes integradas 1"/>
        <xdr:cNvSpPr>
          <a:spLocks noChangeAspect="1"/>
        </xdr:cNvSpPr>
      </xdr:nvSpPr>
      <xdr:spPr>
        <a:xfrm>
          <a:off x="44586525" y="18068925"/>
          <a:ext cx="30480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1343025</xdr:colOff>
      <xdr:row>0</xdr:row>
      <xdr:rowOff>552450</xdr:rowOff>
    </xdr:from>
    <xdr:to>
      <xdr:col>2</xdr:col>
      <xdr:colOff>1485900</xdr:colOff>
      <xdr:row>0</xdr:row>
      <xdr:rowOff>4238625</xdr:rowOff>
    </xdr:to>
    <xdr:pic>
      <xdr:nvPicPr>
        <xdr:cNvPr id="25" name="Imagen 26"/>
        <xdr:cNvPicPr preferRelativeResize="1">
          <a:picLocks noChangeAspect="1"/>
        </xdr:cNvPicPr>
      </xdr:nvPicPr>
      <xdr:blipFill>
        <a:blip r:embed="rId1"/>
        <a:stretch>
          <a:fillRect/>
        </a:stretch>
      </xdr:blipFill>
      <xdr:spPr>
        <a:xfrm>
          <a:off x="1343025" y="552450"/>
          <a:ext cx="2733675" cy="3686175"/>
        </a:xfrm>
        <a:prstGeom prst="rect">
          <a:avLst/>
        </a:prstGeom>
        <a:noFill/>
        <a:ln w="9525" cmpd="sng">
          <a:noFill/>
        </a:ln>
      </xdr:spPr>
    </xdr:pic>
    <xdr:clientData/>
  </xdr:twoCellAnchor>
  <xdr:twoCellAnchor editAs="oneCell">
    <xdr:from>
      <xdr:col>3</xdr:col>
      <xdr:colOff>1476375</xdr:colOff>
      <xdr:row>0</xdr:row>
      <xdr:rowOff>323850</xdr:rowOff>
    </xdr:from>
    <xdr:to>
      <xdr:col>10</xdr:col>
      <xdr:colOff>1905000</xdr:colOff>
      <xdr:row>0</xdr:row>
      <xdr:rowOff>3228975</xdr:rowOff>
    </xdr:to>
    <xdr:pic>
      <xdr:nvPicPr>
        <xdr:cNvPr id="26" name="Imagen 27"/>
        <xdr:cNvPicPr preferRelativeResize="1">
          <a:picLocks noChangeAspect="1"/>
        </xdr:cNvPicPr>
      </xdr:nvPicPr>
      <xdr:blipFill>
        <a:blip r:embed="rId2"/>
        <a:stretch>
          <a:fillRect/>
        </a:stretch>
      </xdr:blipFill>
      <xdr:spPr>
        <a:xfrm>
          <a:off x="5915025" y="323850"/>
          <a:ext cx="13230225" cy="2905125"/>
        </a:xfrm>
        <a:prstGeom prst="rect">
          <a:avLst/>
        </a:prstGeom>
        <a:noFill/>
        <a:ln w="9525" cmpd="sng">
          <a:noFill/>
        </a:ln>
      </xdr:spPr>
    </xdr:pic>
    <xdr:clientData/>
  </xdr:twoCellAnchor>
  <xdr:twoCellAnchor editAs="oneCell">
    <xdr:from>
      <xdr:col>12</xdr:col>
      <xdr:colOff>1362075</xdr:colOff>
      <xdr:row>63</xdr:row>
      <xdr:rowOff>161925</xdr:rowOff>
    </xdr:from>
    <xdr:to>
      <xdr:col>17</xdr:col>
      <xdr:colOff>2466975</xdr:colOff>
      <xdr:row>73</xdr:row>
      <xdr:rowOff>190500</xdr:rowOff>
    </xdr:to>
    <xdr:pic>
      <xdr:nvPicPr>
        <xdr:cNvPr id="27" name="Imagen 28"/>
        <xdr:cNvPicPr preferRelativeResize="1">
          <a:picLocks noChangeAspect="1"/>
        </xdr:cNvPicPr>
      </xdr:nvPicPr>
      <xdr:blipFill>
        <a:blip r:embed="rId3"/>
        <a:stretch>
          <a:fillRect/>
        </a:stretch>
      </xdr:blipFill>
      <xdr:spPr>
        <a:xfrm>
          <a:off x="23631525" y="95030925"/>
          <a:ext cx="12792075" cy="2981325"/>
        </a:xfrm>
        <a:prstGeom prst="rect">
          <a:avLst/>
        </a:prstGeom>
        <a:noFill/>
        <a:ln w="9525" cmpd="sng">
          <a:noFill/>
        </a:ln>
      </xdr:spPr>
    </xdr:pic>
    <xdr:clientData/>
  </xdr:twoCellAnchor>
  <xdr:twoCellAnchor editAs="oneCell">
    <xdr:from>
      <xdr:col>27</xdr:col>
      <xdr:colOff>304800</xdr:colOff>
      <xdr:row>0</xdr:row>
      <xdr:rowOff>381000</xdr:rowOff>
    </xdr:from>
    <xdr:to>
      <xdr:col>27</xdr:col>
      <xdr:colOff>4305300</xdr:colOff>
      <xdr:row>0</xdr:row>
      <xdr:rowOff>3267075</xdr:rowOff>
    </xdr:to>
    <xdr:pic>
      <xdr:nvPicPr>
        <xdr:cNvPr id="28" name="Imagen 29"/>
        <xdr:cNvPicPr preferRelativeResize="1">
          <a:picLocks noChangeAspect="1"/>
        </xdr:cNvPicPr>
      </xdr:nvPicPr>
      <xdr:blipFill>
        <a:blip r:embed="rId4"/>
        <a:stretch>
          <a:fillRect/>
        </a:stretch>
      </xdr:blipFill>
      <xdr:spPr>
        <a:xfrm>
          <a:off x="59359800" y="381000"/>
          <a:ext cx="4000500" cy="2886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0</xdr:row>
      <xdr:rowOff>400050</xdr:rowOff>
    </xdr:from>
    <xdr:to>
      <xdr:col>6</xdr:col>
      <xdr:colOff>1495425</xdr:colOff>
      <xdr:row>4</xdr:row>
      <xdr:rowOff>190500</xdr:rowOff>
    </xdr:to>
    <xdr:pic>
      <xdr:nvPicPr>
        <xdr:cNvPr id="1" name="Imagen 4"/>
        <xdr:cNvPicPr preferRelativeResize="1">
          <a:picLocks noChangeAspect="1"/>
        </xdr:cNvPicPr>
      </xdr:nvPicPr>
      <xdr:blipFill>
        <a:blip r:embed="rId1"/>
        <a:stretch>
          <a:fillRect/>
        </a:stretch>
      </xdr:blipFill>
      <xdr:spPr>
        <a:xfrm>
          <a:off x="23936325" y="400050"/>
          <a:ext cx="4333875" cy="3429000"/>
        </a:xfrm>
        <a:prstGeom prst="rect">
          <a:avLst/>
        </a:prstGeom>
        <a:noFill/>
        <a:ln w="9525" cmpd="sng">
          <a:noFill/>
        </a:ln>
      </xdr:spPr>
    </xdr:pic>
    <xdr:clientData/>
  </xdr:twoCellAnchor>
  <xdr:twoCellAnchor>
    <xdr:from>
      <xdr:col>1</xdr:col>
      <xdr:colOff>914400</xdr:colOff>
      <xdr:row>24</xdr:row>
      <xdr:rowOff>152400</xdr:rowOff>
    </xdr:from>
    <xdr:to>
      <xdr:col>4</xdr:col>
      <xdr:colOff>5715000</xdr:colOff>
      <xdr:row>82</xdr:row>
      <xdr:rowOff>28575</xdr:rowOff>
    </xdr:to>
    <xdr:graphicFrame>
      <xdr:nvGraphicFramePr>
        <xdr:cNvPr id="2" name="1 Gráfico"/>
        <xdr:cNvGraphicFramePr/>
      </xdr:nvGraphicFramePr>
      <xdr:xfrm>
        <a:off x="5543550" y="20554950"/>
        <a:ext cx="16449675" cy="10925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1238250</xdr:colOff>
      <xdr:row>0</xdr:row>
      <xdr:rowOff>361950</xdr:rowOff>
    </xdr:from>
    <xdr:to>
      <xdr:col>0</xdr:col>
      <xdr:colOff>4572000</xdr:colOff>
      <xdr:row>5</xdr:row>
      <xdr:rowOff>133350</xdr:rowOff>
    </xdr:to>
    <xdr:pic>
      <xdr:nvPicPr>
        <xdr:cNvPr id="3" name="Imagen 2"/>
        <xdr:cNvPicPr preferRelativeResize="1">
          <a:picLocks noChangeAspect="1"/>
        </xdr:cNvPicPr>
      </xdr:nvPicPr>
      <xdr:blipFill>
        <a:blip r:embed="rId3"/>
        <a:stretch>
          <a:fillRect/>
        </a:stretch>
      </xdr:blipFill>
      <xdr:spPr>
        <a:xfrm>
          <a:off x="1238250" y="361950"/>
          <a:ext cx="3333750" cy="4410075"/>
        </a:xfrm>
        <a:prstGeom prst="rect">
          <a:avLst/>
        </a:prstGeom>
        <a:noFill/>
        <a:ln w="9525" cmpd="sng">
          <a:noFill/>
        </a:ln>
      </xdr:spPr>
    </xdr:pic>
    <xdr:clientData/>
  </xdr:twoCellAnchor>
  <xdr:twoCellAnchor editAs="oneCell">
    <xdr:from>
      <xdr:col>1</xdr:col>
      <xdr:colOff>666750</xdr:colOff>
      <xdr:row>0</xdr:row>
      <xdr:rowOff>142875</xdr:rowOff>
    </xdr:from>
    <xdr:to>
      <xdr:col>2</xdr:col>
      <xdr:colOff>2628900</xdr:colOff>
      <xdr:row>0</xdr:row>
      <xdr:rowOff>2400300</xdr:rowOff>
    </xdr:to>
    <xdr:pic>
      <xdr:nvPicPr>
        <xdr:cNvPr id="4" name="Imagen 3"/>
        <xdr:cNvPicPr preferRelativeResize="1">
          <a:picLocks noChangeAspect="1"/>
        </xdr:cNvPicPr>
      </xdr:nvPicPr>
      <xdr:blipFill>
        <a:blip r:embed="rId4"/>
        <a:stretch>
          <a:fillRect/>
        </a:stretch>
      </xdr:blipFill>
      <xdr:spPr>
        <a:xfrm>
          <a:off x="5295900" y="142875"/>
          <a:ext cx="7019925" cy="2257425"/>
        </a:xfrm>
        <a:prstGeom prst="rect">
          <a:avLst/>
        </a:prstGeom>
        <a:noFill/>
        <a:ln w="9525" cmpd="sng">
          <a:noFill/>
        </a:ln>
      </xdr:spPr>
    </xdr:pic>
    <xdr:clientData/>
  </xdr:twoCellAnchor>
  <xdr:twoCellAnchor editAs="oneCell">
    <xdr:from>
      <xdr:col>1</xdr:col>
      <xdr:colOff>4829175</xdr:colOff>
      <xdr:row>80</xdr:row>
      <xdr:rowOff>57150</xdr:rowOff>
    </xdr:from>
    <xdr:to>
      <xdr:col>4</xdr:col>
      <xdr:colOff>6629400</xdr:colOff>
      <xdr:row>95</xdr:row>
      <xdr:rowOff>152400</xdr:rowOff>
    </xdr:to>
    <xdr:pic>
      <xdr:nvPicPr>
        <xdr:cNvPr id="5" name="Imagen 5"/>
        <xdr:cNvPicPr preferRelativeResize="1">
          <a:picLocks noChangeAspect="1"/>
        </xdr:cNvPicPr>
      </xdr:nvPicPr>
      <xdr:blipFill>
        <a:blip r:embed="rId5"/>
        <a:stretch>
          <a:fillRect/>
        </a:stretch>
      </xdr:blipFill>
      <xdr:spPr>
        <a:xfrm>
          <a:off x="9458325" y="31127700"/>
          <a:ext cx="13449300" cy="2952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AppData\Roaming\Microsoft\Excel\CONSOLIDADO%20REGALIAS%20DEPARTAMENTO%20DEL%20QUIND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AppData\Roaming\Microsoft\Excel\CONSOLIDADO%20REGALIAS%20DEPARTAMENTO%20DEL%20QUINDIO%20CON%20AJUSTE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uario\AppData\Roaming\Microsoft\Excel\CONSOLIDADO%20REGALIAS%20DEPARTAMENTO%20DEL%20QUINDIO%20SIN%20AJUST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MUNICIPIOS"/>
      <sheetName val="PPTO DEPTO ACTUALZADO 23JUL14"/>
      <sheetName val="PRESUPUESTO DEPARTAMENTO"/>
      <sheetName val="PROYECTOS OCAD REGIONAL"/>
      <sheetName val="PROYECTOS OCAD DEPTAL"/>
    </sheetNames>
    <sheetDataSet>
      <sheetData sheetId="3">
        <row r="5">
          <cell r="S5">
            <v>3735750000</v>
          </cell>
        </row>
        <row r="6">
          <cell r="S6">
            <v>1000000000</v>
          </cell>
        </row>
        <row r="8">
          <cell r="K8">
            <v>442521177</v>
          </cell>
          <cell r="S8">
            <v>5542521177</v>
          </cell>
        </row>
        <row r="9">
          <cell r="S9">
            <v>4554949677</v>
          </cell>
        </row>
        <row r="10">
          <cell r="S10">
            <v>1000500000</v>
          </cell>
        </row>
        <row r="14">
          <cell r="K14">
            <v>9488780095.865053</v>
          </cell>
        </row>
        <row r="16">
          <cell r="S16">
            <v>1000000000</v>
          </cell>
        </row>
        <row r="17">
          <cell r="S17">
            <v>2000000000</v>
          </cell>
        </row>
        <row r="18">
          <cell r="S18">
            <v>6000000000</v>
          </cell>
        </row>
        <row r="19">
          <cell r="S19">
            <v>3000000000</v>
          </cell>
        </row>
        <row r="20">
          <cell r="S20">
            <v>7483663333</v>
          </cell>
        </row>
        <row r="21">
          <cell r="S21">
            <v>1850000000</v>
          </cell>
        </row>
        <row r="23">
          <cell r="R23">
            <v>2194848732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SUPUESTO MUNICIPIOS"/>
      <sheetName val="PRESUPUESTO DEPARTAMENTO"/>
      <sheetName val="PROYECTOS OCAD REGIONAL"/>
      <sheetName val="PROYECTOS OCAD DEPTAL"/>
      <sheetName val="PROYECTOS NUEVOS 2015-2016 "/>
    </sheetNames>
    <sheetDataSet>
      <sheetData sheetId="4">
        <row r="20">
          <cell r="F20">
            <v>8392034555</v>
          </cell>
          <cell r="G20">
            <v>5488660374.708401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MUNICIPIOS"/>
      <sheetName val="PRESUPUESTO DEPARTAMENTO"/>
      <sheetName val="PROYECTOS OCAD REGIONAL"/>
      <sheetName val="PROYECTOS OCAD DEPTAL"/>
      <sheetName val="EJECUCIÓN PROYECTOS QUINDIO "/>
    </sheetNames>
    <sheetDataSet>
      <sheetData sheetId="2">
        <row r="14">
          <cell r="K14">
            <v>6977576159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R257"/>
  <sheetViews>
    <sheetView showGridLines="0" zoomScale="50" zoomScaleNormal="50" zoomScalePageLayoutView="0" workbookViewId="0" topLeftCell="A46">
      <selection activeCell="J58" sqref="J58"/>
    </sheetView>
  </sheetViews>
  <sheetFormatPr defaultColWidth="0" defaultRowHeight="15" zeroHeight="1"/>
  <cols>
    <col min="1" max="1" width="43.57421875" style="205" customWidth="1"/>
    <col min="2" max="2" width="44.140625" style="205" customWidth="1"/>
    <col min="3" max="3" width="30.28125" style="205" customWidth="1"/>
    <col min="4" max="4" width="32.8515625" style="205" customWidth="1"/>
    <col min="5" max="5" width="34.57421875" style="205" customWidth="1"/>
    <col min="6" max="6" width="29.7109375" style="205" customWidth="1"/>
    <col min="7" max="7" width="30.28125" style="205" customWidth="1"/>
    <col min="8" max="8" width="32.00390625" style="205" customWidth="1"/>
    <col min="9" max="9" width="31.140625" style="205" customWidth="1"/>
    <col min="10" max="10" width="26.57421875" style="205" customWidth="1"/>
    <col min="11" max="14" width="25.421875" style="205" customWidth="1"/>
    <col min="15" max="15" width="31.8515625" style="205" customWidth="1"/>
    <col min="16" max="16" width="25.421875" style="205" customWidth="1"/>
    <col min="17" max="17" width="34.28125" style="205" customWidth="1"/>
    <col min="18" max="18" width="44.8515625" style="205" customWidth="1"/>
    <col min="19" max="16384" width="11.421875" style="205" hidden="1" customWidth="1"/>
  </cols>
  <sheetData>
    <row r="1" ht="72" customHeight="1"/>
    <row r="2" ht="74.25" customHeight="1" thickBot="1">
      <c r="D2" s="205" t="s">
        <v>604</v>
      </c>
    </row>
    <row r="3" spans="2:17" ht="29.25" customHeight="1" thickBot="1">
      <c r="B3" s="364" t="s">
        <v>695</v>
      </c>
      <c r="C3" s="365"/>
      <c r="D3" s="365"/>
      <c r="E3" s="365"/>
      <c r="F3" s="365"/>
      <c r="G3" s="365"/>
      <c r="H3" s="365"/>
      <c r="I3" s="365"/>
      <c r="J3" s="365"/>
      <c r="K3" s="365"/>
      <c r="L3" s="365"/>
      <c r="M3" s="365"/>
      <c r="N3" s="365"/>
      <c r="O3" s="365"/>
      <c r="P3" s="365"/>
      <c r="Q3" s="366"/>
    </row>
    <row r="4" spans="2:17" ht="15" customHeight="1">
      <c r="B4" s="367" t="s">
        <v>43</v>
      </c>
      <c r="C4" s="368"/>
      <c r="D4" s="368"/>
      <c r="E4" s="368"/>
      <c r="F4" s="368"/>
      <c r="G4" s="368"/>
      <c r="H4" s="368"/>
      <c r="I4" s="368"/>
      <c r="J4" s="368"/>
      <c r="K4" s="368"/>
      <c r="L4" s="368"/>
      <c r="M4" s="368"/>
      <c r="N4" s="368"/>
      <c r="O4" s="368"/>
      <c r="P4" s="368"/>
      <c r="Q4" s="369"/>
    </row>
    <row r="5" spans="2:17" ht="15" customHeight="1" thickBot="1">
      <c r="B5" s="370"/>
      <c r="C5" s="371"/>
      <c r="D5" s="371"/>
      <c r="E5" s="371"/>
      <c r="F5" s="371"/>
      <c r="G5" s="371"/>
      <c r="H5" s="371"/>
      <c r="I5" s="371"/>
      <c r="J5" s="371"/>
      <c r="K5" s="371"/>
      <c r="L5" s="371"/>
      <c r="M5" s="371"/>
      <c r="N5" s="371"/>
      <c r="O5" s="371"/>
      <c r="P5" s="371"/>
      <c r="Q5" s="372"/>
    </row>
    <row r="6" spans="9:10" ht="21.75" thickBot="1">
      <c r="I6" s="206"/>
      <c r="J6" s="206"/>
    </row>
    <row r="7" spans="2:10" ht="32.25" customHeight="1" thickBot="1">
      <c r="B7" s="373" t="s">
        <v>603</v>
      </c>
      <c r="C7" s="373"/>
      <c r="D7" s="373"/>
      <c r="E7" s="373"/>
      <c r="F7" s="373"/>
      <c r="G7" s="373"/>
      <c r="H7" s="373"/>
      <c r="I7" s="373"/>
      <c r="J7" s="373"/>
    </row>
    <row r="8" spans="2:10" ht="64.5" customHeight="1" thickBot="1">
      <c r="B8" s="261" t="s">
        <v>4</v>
      </c>
      <c r="C8" s="262" t="s">
        <v>552</v>
      </c>
      <c r="D8" s="262" t="s">
        <v>550</v>
      </c>
      <c r="E8" s="262" t="s">
        <v>595</v>
      </c>
      <c r="F8" s="261" t="s">
        <v>511</v>
      </c>
      <c r="G8" s="261" t="s">
        <v>594</v>
      </c>
      <c r="H8" s="261" t="s">
        <v>449</v>
      </c>
      <c r="I8" s="261" t="s">
        <v>601</v>
      </c>
      <c r="J8" s="261" t="s">
        <v>602</v>
      </c>
    </row>
    <row r="9" spans="2:10" ht="21">
      <c r="B9" s="257" t="s">
        <v>2</v>
      </c>
      <c r="C9" s="258">
        <v>56201533677.6098</v>
      </c>
      <c r="D9" s="258">
        <v>56201533679.09</v>
      </c>
      <c r="E9" s="258">
        <v>40368758110</v>
      </c>
      <c r="F9" s="259">
        <v>46489581288</v>
      </c>
      <c r="G9" s="259">
        <v>71219452852.8424</v>
      </c>
      <c r="H9" s="259">
        <v>15567980492</v>
      </c>
      <c r="I9" s="259">
        <v>71769514171.09</v>
      </c>
      <c r="J9" s="260">
        <v>-550061318.2475891</v>
      </c>
    </row>
    <row r="10" spans="2:10" ht="21">
      <c r="B10" s="201" t="s">
        <v>3</v>
      </c>
      <c r="C10" s="202">
        <v>39032781527.9881</v>
      </c>
      <c r="D10" s="202">
        <v>39031825452.5184</v>
      </c>
      <c r="E10" s="202">
        <v>34133918332</v>
      </c>
      <c r="F10" s="203">
        <v>32048715939</v>
      </c>
      <c r="G10" s="203">
        <v>51175978904.65</v>
      </c>
      <c r="H10" s="203">
        <v>9243206317</v>
      </c>
      <c r="I10" s="203">
        <v>48275031769.5184</v>
      </c>
      <c r="J10" s="204">
        <v>2900947135.1315994</v>
      </c>
    </row>
    <row r="11" spans="2:10" ht="21">
      <c r="B11" s="201" t="s">
        <v>51</v>
      </c>
      <c r="C11" s="202">
        <v>21052255383.200672</v>
      </c>
      <c r="D11" s="202">
        <v>19010456732</v>
      </c>
      <c r="E11" s="202">
        <v>12601661622</v>
      </c>
      <c r="F11" s="203">
        <v>13510781368</v>
      </c>
      <c r="G11" s="203">
        <v>25823272649.80252</v>
      </c>
      <c r="H11" s="203">
        <v>0</v>
      </c>
      <c r="I11" s="203">
        <v>19010456732</v>
      </c>
      <c r="J11" s="204">
        <v>6812815917.802521</v>
      </c>
    </row>
    <row r="12" spans="2:10" ht="21.75" thickBot="1">
      <c r="B12" s="263" t="s">
        <v>6</v>
      </c>
      <c r="C12" s="264">
        <v>5527771.753347811</v>
      </c>
      <c r="D12" s="264">
        <v>4458903</v>
      </c>
      <c r="E12" s="264"/>
      <c r="F12" s="265">
        <v>19198520</v>
      </c>
      <c r="G12" s="265">
        <v>4458902.764984131</v>
      </c>
      <c r="H12" s="265">
        <v>0</v>
      </c>
      <c r="I12" s="265">
        <v>4458902.764984131</v>
      </c>
      <c r="J12" s="266"/>
    </row>
    <row r="13" spans="2:10" ht="21.75" thickBot="1">
      <c r="B13" s="267" t="s">
        <v>20</v>
      </c>
      <c r="C13" s="268">
        <f>SUM(C9:C12)</f>
        <v>116292098360.55191</v>
      </c>
      <c r="D13" s="268">
        <f>SUM(D9:D12)</f>
        <v>114248274766.6084</v>
      </c>
      <c r="E13" s="268">
        <f>SUM(E9:E11)</f>
        <v>87104338064</v>
      </c>
      <c r="F13" s="268">
        <f>SUM(F9:F12)</f>
        <v>92068277115</v>
      </c>
      <c r="G13" s="268">
        <f>SUM(G9:G12)</f>
        <v>148223163310.0599</v>
      </c>
      <c r="H13" s="268">
        <f>SUM(H9:H12)</f>
        <v>24811186809</v>
      </c>
      <c r="I13" s="268">
        <f>SUM(I9:I12)</f>
        <v>139059461575.37338</v>
      </c>
      <c r="J13" s="268">
        <f>SUM(J8:J11)</f>
        <v>9163701734.686531</v>
      </c>
    </row>
    <row r="14" spans="2:5" ht="21" hidden="1">
      <c r="B14" s="207" t="s">
        <v>230</v>
      </c>
      <c r="C14" s="208">
        <f>'ANEXO 9 CONSOLIDADO PROYECTOS'!Q20</f>
        <v>9000000000</v>
      </c>
      <c r="D14" s="209">
        <f aca="true" t="shared" si="0" ref="D14:D24">(C14*100%)/$C$25</f>
        <v>0.0374241767325391</v>
      </c>
      <c r="E14" s="210"/>
    </row>
    <row r="15" spans="2:5" ht="21" hidden="1">
      <c r="B15" s="207" t="s">
        <v>15</v>
      </c>
      <c r="C15" s="208">
        <f>'ANEXO 9 CONSOLIDADO PROYECTOS'!Q17+'ANEXO 9 CONSOLIDADO PROYECTOS'!Q24+'ANEXO 9 CONSOLIDADO PROYECTOS'!Q38+'ANEXO 9 CONSOLIDADO PROYECTOS'!Q44</f>
        <v>10313376122.5184</v>
      </c>
      <c r="D15" s="209">
        <f t="shared" si="0"/>
        <v>0.04288551230203083</v>
      </c>
      <c r="E15" s="210"/>
    </row>
    <row r="16" spans="2:5" ht="21" hidden="1">
      <c r="B16" s="207" t="s">
        <v>231</v>
      </c>
      <c r="C16" s="208">
        <f>'ANEXO 9 CONSOLIDADO PROYECTOS'!Q15</f>
        <v>7327870746</v>
      </c>
      <c r="D16" s="209">
        <f t="shared" si="0"/>
        <v>0.030471058874611906</v>
      </c>
      <c r="E16" s="210"/>
    </row>
    <row r="17" spans="2:5" ht="21" hidden="1">
      <c r="B17" s="207" t="s">
        <v>9</v>
      </c>
      <c r="C17" s="208">
        <f>'ANEXO 9 CONSOLIDADO PROYECTOS'!Q12</f>
        <v>1000500000</v>
      </c>
      <c r="D17" s="209">
        <f t="shared" si="0"/>
        <v>0.0041603209801005965</v>
      </c>
      <c r="E17" s="210"/>
    </row>
    <row r="18" spans="2:5" ht="21" hidden="1">
      <c r="B18" s="207" t="s">
        <v>233</v>
      </c>
      <c r="C18" s="208">
        <f>'ANEXO 9 CONSOLIDADO PROYECTOS'!Q35</f>
        <v>2830855494</v>
      </c>
      <c r="D18" s="209">
        <f t="shared" si="0"/>
        <v>0.011771381812415032</v>
      </c>
      <c r="E18" s="210"/>
    </row>
    <row r="19" spans="2:5" ht="21" hidden="1">
      <c r="B19" s="207" t="s">
        <v>235</v>
      </c>
      <c r="C19" s="208">
        <f>'ANEXO 9 CONSOLIDADO PROYECTOS'!Q33+'ANEXO 9 CONSOLIDADO PROYECTOS'!Q37</f>
        <v>6754101005</v>
      </c>
      <c r="D19" s="209">
        <f t="shared" si="0"/>
        <v>0.028085185520059997</v>
      </c>
      <c r="E19" s="210"/>
    </row>
    <row r="20" spans="2:5" ht="21" hidden="1">
      <c r="B20" s="207" t="s">
        <v>232</v>
      </c>
      <c r="C20" s="208">
        <f>'ANEXO 9 CONSOLIDADO PROYECTOS'!Q28+'ANEXO 9 CONSOLIDADO PROYECTOS'!Q29+'ANEXO 9 CONSOLIDADO PROYECTOS'!Q30+'ANEXO 9 CONSOLIDADO PROYECTOS'!Q31+'ANEXO 9 CONSOLIDADO PROYECTOS'!Q32</f>
        <v>19010456732</v>
      </c>
      <c r="D20" s="209">
        <f t="shared" si="0"/>
        <v>0.07905007694496174</v>
      </c>
      <c r="E20" s="210"/>
    </row>
    <row r="21" spans="2:5" ht="21" hidden="1">
      <c r="B21" s="207" t="s">
        <v>141</v>
      </c>
      <c r="C21" s="208">
        <f>'ANEXO 9 CONSOLIDADO PROYECTOS'!Q25+'ANEXO 9 CONSOLIDADO PROYECTOS'!Q39+'ANEXO 9 CONSOLIDADO PROYECTOS'!Q42+'ANEXO 9 CONSOLIDADO PROYECTOS'!Q51</f>
        <v>5841847491</v>
      </c>
      <c r="D21" s="209">
        <f t="shared" si="0"/>
        <v>0.024291814771969348</v>
      </c>
      <c r="E21" s="210"/>
    </row>
    <row r="22" spans="2:5" ht="21" hidden="1">
      <c r="B22" s="207" t="s">
        <v>445</v>
      </c>
      <c r="C22" s="208">
        <f>'ANEXO 9 CONSOLIDADO PROYECTOS'!Q26</f>
        <v>837450000</v>
      </c>
      <c r="D22" s="209">
        <f t="shared" si="0"/>
        <v>0.0034823196449627635</v>
      </c>
      <c r="E22" s="210"/>
    </row>
    <row r="23" spans="2:5" ht="21" hidden="1">
      <c r="B23" s="207" t="s">
        <v>547</v>
      </c>
      <c r="C23" s="208">
        <f>'ANEXO 9 CONSOLIDADO PROYECTOS'!Q55</f>
        <v>687633943</v>
      </c>
      <c r="D23" s="209">
        <f t="shared" si="0"/>
        <v>0.002859348245569413</v>
      </c>
      <c r="E23" s="210"/>
    </row>
    <row r="24" spans="2:5" ht="21" hidden="1">
      <c r="B24" s="207" t="s">
        <v>548</v>
      </c>
      <c r="C24" s="208">
        <f>'ANEXO 9 CONSOLIDADO PROYECTOS'!Q52</f>
        <v>499497514</v>
      </c>
      <c r="D24" s="209">
        <f t="shared" si="0"/>
        <v>0.002077031471266658</v>
      </c>
      <c r="E24" s="210"/>
    </row>
    <row r="25" spans="2:5" ht="21.75" hidden="1" thickBot="1">
      <c r="B25" s="211" t="s">
        <v>227</v>
      </c>
      <c r="C25" s="212">
        <f>SUM(C10:C24)</f>
        <v>240486252091.01242</v>
      </c>
      <c r="D25" s="213">
        <f>SUM(D10:D24)</f>
        <v>172295015854.3933</v>
      </c>
      <c r="E25" s="214"/>
    </row>
    <row r="26" spans="5:8" ht="21" hidden="1">
      <c r="E26" s="206"/>
      <c r="H26" s="206"/>
    </row>
    <row r="27" ht="21" hidden="1">
      <c r="F27" s="206"/>
    </row>
    <row r="28" ht="21"/>
    <row r="29" ht="21.75" thickBot="1"/>
    <row r="30" spans="2:17" s="215" customFormat="1" ht="28.5" customHeight="1" thickBot="1">
      <c r="B30" s="386" t="s">
        <v>223</v>
      </c>
      <c r="C30" s="387"/>
      <c r="D30" s="387"/>
      <c r="E30" s="387"/>
      <c r="F30" s="387"/>
      <c r="G30" s="387"/>
      <c r="H30" s="387"/>
      <c r="I30" s="387"/>
      <c r="J30" s="387"/>
      <c r="K30" s="387"/>
      <c r="L30" s="387"/>
      <c r="M30" s="387"/>
      <c r="N30" s="387"/>
      <c r="O30" s="387"/>
      <c r="P30" s="387"/>
      <c r="Q30" s="388"/>
    </row>
    <row r="31" spans="10:13" s="215" customFormat="1" ht="36.75" customHeight="1" thickBot="1">
      <c r="J31" s="216"/>
      <c r="K31" s="217"/>
      <c r="L31" s="217"/>
      <c r="M31" s="217"/>
    </row>
    <row r="32" spans="2:17" s="215" customFormat="1" ht="25.5" customHeight="1" thickBot="1">
      <c r="B32" s="389" t="s">
        <v>600</v>
      </c>
      <c r="C32" s="389"/>
      <c r="D32" s="389"/>
      <c r="E32" s="389"/>
      <c r="F32" s="389"/>
      <c r="G32" s="389"/>
      <c r="H32" s="389"/>
      <c r="I32" s="389"/>
      <c r="J32" s="389"/>
      <c r="K32" s="389"/>
      <c r="L32" s="389"/>
      <c r="M32" s="389"/>
      <c r="N32" s="389"/>
      <c r="O32" s="389"/>
      <c r="P32" s="389"/>
      <c r="Q32" s="389"/>
    </row>
    <row r="33" spans="2:17" s="215" customFormat="1" ht="100.5" customHeight="1" thickBot="1">
      <c r="B33" s="275" t="s">
        <v>198</v>
      </c>
      <c r="C33" s="276" t="s">
        <v>489</v>
      </c>
      <c r="D33" s="276" t="s">
        <v>486</v>
      </c>
      <c r="E33" s="276" t="s">
        <v>488</v>
      </c>
      <c r="F33" s="276" t="s">
        <v>487</v>
      </c>
      <c r="G33" s="276" t="s">
        <v>558</v>
      </c>
      <c r="H33" s="276" t="s">
        <v>559</v>
      </c>
      <c r="I33" s="276" t="s">
        <v>560</v>
      </c>
      <c r="J33" s="276" t="s">
        <v>490</v>
      </c>
      <c r="K33" s="276" t="s">
        <v>561</v>
      </c>
      <c r="L33" s="277" t="s">
        <v>485</v>
      </c>
      <c r="M33" s="277" t="s">
        <v>468</v>
      </c>
      <c r="N33" s="277" t="s">
        <v>562</v>
      </c>
      <c r="O33" s="277" t="s">
        <v>563</v>
      </c>
      <c r="P33" s="276" t="s">
        <v>564</v>
      </c>
      <c r="Q33" s="276" t="s">
        <v>565</v>
      </c>
    </row>
    <row r="34" spans="2:18" s="215" customFormat="1" ht="21">
      <c r="B34" s="269" t="s">
        <v>199</v>
      </c>
      <c r="C34" s="270">
        <v>523990873.4878165</v>
      </c>
      <c r="D34" s="270">
        <v>519458298.98</v>
      </c>
      <c r="E34" s="271">
        <f aca="true" t="shared" si="1" ref="E34:E44">D34/C34</f>
        <v>0.9913498979903094</v>
      </c>
      <c r="F34" s="270">
        <v>447172522</v>
      </c>
      <c r="G34" s="270">
        <v>512388574</v>
      </c>
      <c r="H34" s="270">
        <f aca="true" t="shared" si="2" ref="H34:H44">D34-F34</f>
        <v>72285776.98000002</v>
      </c>
      <c r="I34" s="270">
        <f aca="true" t="shared" si="3" ref="I34:I44">G34-D34</f>
        <v>-7069724.980000019</v>
      </c>
      <c r="J34" s="272">
        <v>23705520.03</v>
      </c>
      <c r="K34" s="270">
        <f aca="true" t="shared" si="4" ref="K34:K44">J34+I34</f>
        <v>16635795.049999982</v>
      </c>
      <c r="L34" s="270">
        <v>420888225</v>
      </c>
      <c r="M34" s="270">
        <f aca="true" t="shared" si="5" ref="M34:M44">L34-(L34*30%)</f>
        <v>294621757.5</v>
      </c>
      <c r="N34" s="270">
        <f aca="true" t="shared" si="6" ref="N34:N44">M34*50%</f>
        <v>147310878.75</v>
      </c>
      <c r="O34" s="270">
        <f aca="true" t="shared" si="7" ref="O34:O44">N34+K34</f>
        <v>163946673.79999998</v>
      </c>
      <c r="P34" s="273">
        <v>0</v>
      </c>
      <c r="Q34" s="274">
        <f aca="true" t="shared" si="8" ref="Q34:Q44">O34-P34</f>
        <v>163946673.79999998</v>
      </c>
      <c r="R34" s="217"/>
    </row>
    <row r="35" spans="2:18" s="215" customFormat="1" ht="21">
      <c r="B35" s="241" t="s">
        <v>200</v>
      </c>
      <c r="C35" s="219">
        <v>3151470692.888252</v>
      </c>
      <c r="D35" s="219">
        <v>3121031530.42</v>
      </c>
      <c r="E35" s="220">
        <f t="shared" si="1"/>
        <v>0.9903412833452832</v>
      </c>
      <c r="F35" s="219">
        <v>2952297343</v>
      </c>
      <c r="G35" s="219">
        <f>2247149918+833440001.52</f>
        <v>3080589919.52</v>
      </c>
      <c r="H35" s="219">
        <f t="shared" si="2"/>
        <v>168734187.42000008</v>
      </c>
      <c r="I35" s="219">
        <f t="shared" si="3"/>
        <v>-40441610.900000095</v>
      </c>
      <c r="J35" s="221">
        <v>141231647.86</v>
      </c>
      <c r="K35" s="219">
        <f t="shared" si="4"/>
        <v>100790036.95999992</v>
      </c>
      <c r="L35" s="219">
        <v>2583949191</v>
      </c>
      <c r="M35" s="219">
        <f t="shared" si="5"/>
        <v>1808764433.7</v>
      </c>
      <c r="N35" s="219">
        <f t="shared" si="6"/>
        <v>904382216.85</v>
      </c>
      <c r="O35" s="219">
        <f t="shared" si="7"/>
        <v>1005172253.81</v>
      </c>
      <c r="P35" s="222">
        <v>803808676</v>
      </c>
      <c r="Q35" s="223">
        <f t="shared" si="8"/>
        <v>201363577.80999994</v>
      </c>
      <c r="R35" s="217"/>
    </row>
    <row r="36" spans="2:18" s="215" customFormat="1" ht="21">
      <c r="B36" s="241" t="s">
        <v>201</v>
      </c>
      <c r="C36" s="219">
        <v>1900120068.782417</v>
      </c>
      <c r="D36" s="219">
        <v>1881321972.79</v>
      </c>
      <c r="E36" s="220">
        <f t="shared" si="1"/>
        <v>0.9901068904532634</v>
      </c>
      <c r="F36" s="219">
        <v>1789550881</v>
      </c>
      <c r="G36" s="219">
        <v>1857225446</v>
      </c>
      <c r="H36" s="219">
        <f t="shared" si="2"/>
        <v>91771091.78999996</v>
      </c>
      <c r="I36" s="219">
        <f t="shared" si="3"/>
        <v>-24096526.78999996</v>
      </c>
      <c r="J36" s="221">
        <v>84970287.49000007</v>
      </c>
      <c r="K36" s="219">
        <f t="shared" si="4"/>
        <v>60873760.70000011</v>
      </c>
      <c r="L36" s="219">
        <v>1565374496</v>
      </c>
      <c r="M36" s="219">
        <f t="shared" si="5"/>
        <v>1095762147.2</v>
      </c>
      <c r="N36" s="219">
        <f t="shared" si="6"/>
        <v>547881073.6</v>
      </c>
      <c r="O36" s="219">
        <f t="shared" si="7"/>
        <v>608754834.3000002</v>
      </c>
      <c r="P36" s="222">
        <v>110569187</v>
      </c>
      <c r="Q36" s="223">
        <f t="shared" si="8"/>
        <v>498185647.3000002</v>
      </c>
      <c r="R36" s="217"/>
    </row>
    <row r="37" spans="2:18" s="215" customFormat="1" ht="21">
      <c r="B37" s="241" t="s">
        <v>202</v>
      </c>
      <c r="C37" s="219">
        <v>788567151.0128856</v>
      </c>
      <c r="D37" s="219">
        <v>781371606.33</v>
      </c>
      <c r="E37" s="220">
        <f t="shared" si="1"/>
        <v>0.9908751655789325</v>
      </c>
      <c r="F37" s="219">
        <v>670295592</v>
      </c>
      <c r="G37" s="219">
        <v>770963955</v>
      </c>
      <c r="H37" s="219">
        <f t="shared" si="2"/>
        <v>111076014.33000004</v>
      </c>
      <c r="I37" s="219">
        <f t="shared" si="3"/>
        <v>-10407651.330000043</v>
      </c>
      <c r="J37" s="221">
        <v>35533482.889999986</v>
      </c>
      <c r="K37" s="219">
        <f t="shared" si="4"/>
        <v>25125831.559999943</v>
      </c>
      <c r="L37" s="219">
        <v>639951319</v>
      </c>
      <c r="M37" s="219">
        <f t="shared" si="5"/>
        <v>447965923.3</v>
      </c>
      <c r="N37" s="219">
        <f t="shared" si="6"/>
        <v>223982961.65</v>
      </c>
      <c r="O37" s="219">
        <f t="shared" si="7"/>
        <v>249108793.20999995</v>
      </c>
      <c r="P37" s="222">
        <v>0</v>
      </c>
      <c r="Q37" s="223">
        <f t="shared" si="8"/>
        <v>249108793.20999995</v>
      </c>
      <c r="R37" s="217"/>
    </row>
    <row r="38" spans="2:18" s="215" customFormat="1" ht="21">
      <c r="B38" s="241" t="s">
        <v>203</v>
      </c>
      <c r="C38" s="219">
        <v>1222844781.5400815</v>
      </c>
      <c r="D38" s="219">
        <v>1211147872.29</v>
      </c>
      <c r="E38" s="220">
        <f t="shared" si="1"/>
        <v>0.9904346737814507</v>
      </c>
      <c r="F38" s="219">
        <v>1166974481</v>
      </c>
      <c r="G38" s="219">
        <v>1195382874</v>
      </c>
      <c r="H38" s="219">
        <f t="shared" si="2"/>
        <v>44173391.28999996</v>
      </c>
      <c r="I38" s="219">
        <f t="shared" si="3"/>
        <v>-15764998.289999962</v>
      </c>
      <c r="J38" s="221">
        <v>54846923.360000014</v>
      </c>
      <c r="K38" s="219">
        <f t="shared" si="4"/>
        <v>39081925.07000005</v>
      </c>
      <c r="L38" s="219">
        <v>1000974518</v>
      </c>
      <c r="M38" s="219">
        <f t="shared" si="5"/>
        <v>700682162.6</v>
      </c>
      <c r="N38" s="219">
        <f t="shared" si="6"/>
        <v>350341081.3</v>
      </c>
      <c r="O38" s="219">
        <f t="shared" si="7"/>
        <v>389423006.37000006</v>
      </c>
      <c r="P38" s="222">
        <v>0</v>
      </c>
      <c r="Q38" s="223">
        <f t="shared" si="8"/>
        <v>389423006.37000006</v>
      </c>
      <c r="R38" s="217"/>
    </row>
    <row r="39" spans="2:18" s="215" customFormat="1" ht="21">
      <c r="B39" s="241" t="s">
        <v>204</v>
      </c>
      <c r="C39" s="219">
        <v>1031965847.7810745</v>
      </c>
      <c r="D39" s="219">
        <v>1023737361.6</v>
      </c>
      <c r="E39" s="220">
        <f t="shared" si="1"/>
        <v>0.9920263968049259</v>
      </c>
      <c r="F39" s="219">
        <v>879941028.9</v>
      </c>
      <c r="G39" s="219">
        <v>1009349184</v>
      </c>
      <c r="H39" s="219">
        <f t="shared" si="2"/>
        <v>143796332.70000005</v>
      </c>
      <c r="I39" s="219">
        <f t="shared" si="3"/>
        <v>-14388177.600000024</v>
      </c>
      <c r="J39" s="221">
        <v>46991803.339999974</v>
      </c>
      <c r="K39" s="219">
        <f t="shared" si="4"/>
        <v>32603625.73999995</v>
      </c>
      <c r="L39" s="219">
        <v>817640672</v>
      </c>
      <c r="M39" s="219">
        <f t="shared" si="5"/>
        <v>572348470.4</v>
      </c>
      <c r="N39" s="219">
        <f t="shared" si="6"/>
        <v>286174235.2</v>
      </c>
      <c r="O39" s="219">
        <f t="shared" si="7"/>
        <v>318777860.93999994</v>
      </c>
      <c r="P39" s="222">
        <v>0</v>
      </c>
      <c r="Q39" s="223">
        <f t="shared" si="8"/>
        <v>318777860.93999994</v>
      </c>
      <c r="R39" s="217"/>
    </row>
    <row r="40" spans="2:18" s="215" customFormat="1" ht="21">
      <c r="B40" s="241" t="s">
        <v>205</v>
      </c>
      <c r="C40" s="219">
        <v>2550454431.668493</v>
      </c>
      <c r="D40" s="219">
        <v>2522569957.92</v>
      </c>
      <c r="E40" s="220">
        <f t="shared" si="1"/>
        <v>0.9890668606338319</v>
      </c>
      <c r="F40" s="219">
        <v>2184425791.866417</v>
      </c>
      <c r="G40" s="219">
        <v>2491961021</v>
      </c>
      <c r="H40" s="219">
        <f t="shared" si="2"/>
        <v>338144166.05358315</v>
      </c>
      <c r="I40" s="219">
        <f t="shared" si="3"/>
        <v>-30608936.920000076</v>
      </c>
      <c r="J40" s="221">
        <v>112931660.96000004</v>
      </c>
      <c r="K40" s="219">
        <f t="shared" si="4"/>
        <v>82322724.03999996</v>
      </c>
      <c r="L40" s="219">
        <v>2146002525</v>
      </c>
      <c r="M40" s="219">
        <f t="shared" si="5"/>
        <v>1502201767.5</v>
      </c>
      <c r="N40" s="219">
        <f t="shared" si="6"/>
        <v>751100883.75</v>
      </c>
      <c r="O40" s="219">
        <f t="shared" si="7"/>
        <v>833423607.79</v>
      </c>
      <c r="P40" s="222">
        <v>0</v>
      </c>
      <c r="Q40" s="223">
        <f t="shared" si="8"/>
        <v>833423607.79</v>
      </c>
      <c r="R40" s="217"/>
    </row>
    <row r="41" spans="2:18" s="215" customFormat="1" ht="21">
      <c r="B41" s="241" t="s">
        <v>206</v>
      </c>
      <c r="C41" s="219">
        <v>2597073764.607838</v>
      </c>
      <c r="D41" s="219">
        <v>2572295276.52</v>
      </c>
      <c r="E41" s="220">
        <f t="shared" si="1"/>
        <v>0.9904590741990035</v>
      </c>
      <c r="F41" s="219">
        <v>2215185800.2506948</v>
      </c>
      <c r="G41" s="219">
        <v>2538761599</v>
      </c>
      <c r="H41" s="219">
        <f t="shared" si="2"/>
        <v>357109476.2693052</v>
      </c>
      <c r="I41" s="219">
        <f t="shared" si="3"/>
        <v>-33533677.51999998</v>
      </c>
      <c r="J41" s="221">
        <v>116523894.60000002</v>
      </c>
      <c r="K41" s="219">
        <f t="shared" si="4"/>
        <v>82990217.08000004</v>
      </c>
      <c r="L41" s="219">
        <v>2124372206</v>
      </c>
      <c r="M41" s="219">
        <f t="shared" si="5"/>
        <v>1487060544.2</v>
      </c>
      <c r="N41" s="219">
        <f t="shared" si="6"/>
        <v>743530272.1</v>
      </c>
      <c r="O41" s="219">
        <f t="shared" si="7"/>
        <v>826520489.1800001</v>
      </c>
      <c r="P41" s="222">
        <v>0</v>
      </c>
      <c r="Q41" s="223">
        <f t="shared" si="8"/>
        <v>826520489.1800001</v>
      </c>
      <c r="R41" s="217"/>
    </row>
    <row r="42" spans="2:18" s="215" customFormat="1" ht="21">
      <c r="B42" s="241" t="s">
        <v>207</v>
      </c>
      <c r="C42" s="219">
        <v>853687942.35523</v>
      </c>
      <c r="D42" s="219">
        <v>846207738.79</v>
      </c>
      <c r="E42" s="220">
        <f t="shared" si="1"/>
        <v>0.991237777653749</v>
      </c>
      <c r="F42" s="219">
        <v>727299309</v>
      </c>
      <c r="G42" s="219">
        <v>834735152</v>
      </c>
      <c r="H42" s="219">
        <f t="shared" si="2"/>
        <v>118908429.78999996</v>
      </c>
      <c r="I42" s="219">
        <f t="shared" si="3"/>
        <v>-11472586.789999962</v>
      </c>
      <c r="J42" s="221">
        <v>38602446.41</v>
      </c>
      <c r="K42" s="219">
        <f t="shared" si="4"/>
        <v>27129859.620000035</v>
      </c>
      <c r="L42" s="219">
        <v>686535097</v>
      </c>
      <c r="M42" s="219">
        <f t="shared" si="5"/>
        <v>480574567.9</v>
      </c>
      <c r="N42" s="219">
        <f t="shared" si="6"/>
        <v>240287283.95</v>
      </c>
      <c r="O42" s="219">
        <f t="shared" si="7"/>
        <v>267417143.57000002</v>
      </c>
      <c r="P42" s="222">
        <v>0</v>
      </c>
      <c r="Q42" s="223">
        <f t="shared" si="8"/>
        <v>267417143.57000002</v>
      </c>
      <c r="R42" s="217"/>
    </row>
    <row r="43" spans="2:18" s="215" customFormat="1" ht="21">
      <c r="B43" s="241" t="s">
        <v>208</v>
      </c>
      <c r="C43" s="219">
        <v>2320618316.7076674</v>
      </c>
      <c r="D43" s="219">
        <v>2298630987.46</v>
      </c>
      <c r="E43" s="220">
        <f t="shared" si="1"/>
        <v>0.9905252280871154</v>
      </c>
      <c r="F43" s="219">
        <v>1982034753</v>
      </c>
      <c r="G43" s="219">
        <v>2268569131</v>
      </c>
      <c r="H43" s="219">
        <f t="shared" si="2"/>
        <v>316596234.46000004</v>
      </c>
      <c r="I43" s="219">
        <f t="shared" si="3"/>
        <v>-30061856.46000004</v>
      </c>
      <c r="J43" s="221">
        <v>104181610.38999999</v>
      </c>
      <c r="K43" s="219">
        <f t="shared" si="4"/>
        <v>74119753.92999995</v>
      </c>
      <c r="L43" s="219">
        <v>1895659641</v>
      </c>
      <c r="M43" s="219">
        <f t="shared" si="5"/>
        <v>1326961748.7</v>
      </c>
      <c r="N43" s="219">
        <f t="shared" si="6"/>
        <v>663480874.35</v>
      </c>
      <c r="O43" s="219">
        <f t="shared" si="7"/>
        <v>737600628.28</v>
      </c>
      <c r="P43" s="222">
        <v>0</v>
      </c>
      <c r="Q43" s="223">
        <f t="shared" si="8"/>
        <v>737600628.28</v>
      </c>
      <c r="R43" s="217"/>
    </row>
    <row r="44" spans="2:18" s="215" customFormat="1" ht="21.75" thickBot="1">
      <c r="B44" s="278" t="s">
        <v>209</v>
      </c>
      <c r="C44" s="279">
        <v>875995955.503787</v>
      </c>
      <c r="D44" s="279">
        <v>867955140.17</v>
      </c>
      <c r="E44" s="280">
        <f t="shared" si="1"/>
        <v>0.9908209446821443</v>
      </c>
      <c r="F44" s="279">
        <v>747644358</v>
      </c>
      <c r="G44" s="279">
        <v>856438683</v>
      </c>
      <c r="H44" s="279">
        <f t="shared" si="2"/>
        <v>120310782.16999996</v>
      </c>
      <c r="I44" s="279">
        <f t="shared" si="3"/>
        <v>-11516457.169999957</v>
      </c>
      <c r="J44" s="281">
        <v>39435249.41</v>
      </c>
      <c r="K44" s="279">
        <f t="shared" si="4"/>
        <v>27918792.24000004</v>
      </c>
      <c r="L44" s="279">
        <v>712172193</v>
      </c>
      <c r="M44" s="279">
        <f t="shared" si="5"/>
        <v>498520535.1</v>
      </c>
      <c r="N44" s="279">
        <f t="shared" si="6"/>
        <v>249260267.55</v>
      </c>
      <c r="O44" s="279">
        <f t="shared" si="7"/>
        <v>277179059.7900001</v>
      </c>
      <c r="P44" s="282">
        <v>0</v>
      </c>
      <c r="Q44" s="283">
        <f t="shared" si="8"/>
        <v>277179059.7900001</v>
      </c>
      <c r="R44" s="217"/>
    </row>
    <row r="45" spans="2:17" s="215" customFormat="1" ht="21.75" thickBot="1">
      <c r="B45" s="284" t="s">
        <v>219</v>
      </c>
      <c r="C45" s="285">
        <f>SUM(C34:C44)</f>
        <v>17816789826.335545</v>
      </c>
      <c r="D45" s="285">
        <f>SUM(D34:D44)</f>
        <v>17645727743.27</v>
      </c>
      <c r="E45" s="286"/>
      <c r="F45" s="287">
        <f aca="true" t="shared" si="9" ref="F45:Q45">SUM(F34:F44)</f>
        <v>15762821860.01711</v>
      </c>
      <c r="G45" s="287">
        <f t="shared" si="9"/>
        <v>17416365538.52</v>
      </c>
      <c r="H45" s="287">
        <f t="shared" si="9"/>
        <v>1882905883.2528887</v>
      </c>
      <c r="I45" s="287">
        <f t="shared" si="9"/>
        <v>-229362204.75000012</v>
      </c>
      <c r="J45" s="287">
        <f t="shared" si="9"/>
        <v>798954526.7400001</v>
      </c>
      <c r="K45" s="287">
        <f t="shared" si="9"/>
        <v>569592321.9899999</v>
      </c>
      <c r="L45" s="288">
        <f t="shared" si="9"/>
        <v>14593520083</v>
      </c>
      <c r="M45" s="288">
        <f t="shared" si="9"/>
        <v>10215464058.1</v>
      </c>
      <c r="N45" s="288">
        <f t="shared" si="9"/>
        <v>5107732029.05</v>
      </c>
      <c r="O45" s="288">
        <f t="shared" si="9"/>
        <v>5677324351.04</v>
      </c>
      <c r="P45" s="288">
        <f t="shared" si="9"/>
        <v>914377863</v>
      </c>
      <c r="Q45" s="288">
        <f t="shared" si="9"/>
        <v>4762946488.040001</v>
      </c>
    </row>
    <row r="46" spans="10:13" s="215" customFormat="1" ht="21.75" thickBot="1">
      <c r="J46" s="216"/>
      <c r="K46" s="217"/>
      <c r="L46" s="217"/>
      <c r="M46" s="217"/>
    </row>
    <row r="47" spans="3:8" s="215" customFormat="1" ht="48.75" customHeight="1">
      <c r="C47" s="218" t="s">
        <v>198</v>
      </c>
      <c r="D47" s="224" t="s">
        <v>397</v>
      </c>
      <c r="E47" s="224" t="s">
        <v>599</v>
      </c>
      <c r="F47" s="224" t="s">
        <v>598</v>
      </c>
      <c r="G47" s="224" t="s">
        <v>236</v>
      </c>
      <c r="H47" s="225" t="s">
        <v>597</v>
      </c>
    </row>
    <row r="48" spans="3:8" s="215" customFormat="1" ht="21">
      <c r="C48" s="226" t="s">
        <v>414</v>
      </c>
      <c r="D48" s="227">
        <v>3</v>
      </c>
      <c r="E48" s="228">
        <v>687937547.2878165</v>
      </c>
      <c r="F48" s="228">
        <f aca="true" t="shared" si="10" ref="F48:F58">F34+P34</f>
        <v>447172522</v>
      </c>
      <c r="G48" s="229">
        <f aca="true" t="shared" si="11" ref="G48:G59">(F48*100%)/E48</f>
        <v>0.6500190660663471</v>
      </c>
      <c r="H48" s="230">
        <v>519458507.97999996</v>
      </c>
    </row>
    <row r="49" spans="3:8" s="215" customFormat="1" ht="21">
      <c r="C49" s="226" t="s">
        <v>415</v>
      </c>
      <c r="D49" s="227">
        <v>1</v>
      </c>
      <c r="E49" s="228">
        <v>4156642946.6982517</v>
      </c>
      <c r="F49" s="228">
        <f t="shared" si="10"/>
        <v>3756106019</v>
      </c>
      <c r="G49" s="229">
        <f t="shared" si="11"/>
        <v>0.903639323166689</v>
      </c>
      <c r="H49" s="230">
        <v>3121031530.42</v>
      </c>
    </row>
    <row r="50" spans="3:8" s="215" customFormat="1" ht="21">
      <c r="C50" s="226" t="s">
        <v>416</v>
      </c>
      <c r="D50" s="227">
        <v>1</v>
      </c>
      <c r="E50" s="228">
        <v>2508874903.0824175</v>
      </c>
      <c r="F50" s="228">
        <f t="shared" si="10"/>
        <v>1900120068</v>
      </c>
      <c r="G50" s="229">
        <f t="shared" si="11"/>
        <v>0.7573594305820119</v>
      </c>
      <c r="H50" s="230">
        <v>1881321972.79</v>
      </c>
    </row>
    <row r="51" spans="3:8" s="215" customFormat="1" ht="21">
      <c r="C51" s="226" t="s">
        <v>417</v>
      </c>
      <c r="D51" s="227">
        <v>5</v>
      </c>
      <c r="E51" s="228">
        <v>1037675944.2228855</v>
      </c>
      <c r="F51" s="228">
        <f t="shared" si="10"/>
        <v>670295592</v>
      </c>
      <c r="G51" s="229">
        <f t="shared" si="11"/>
        <v>0.6459584957440482</v>
      </c>
      <c r="H51" s="230">
        <v>781371606.33</v>
      </c>
    </row>
    <row r="52" spans="3:8" s="215" customFormat="1" ht="21">
      <c r="C52" s="226" t="s">
        <v>418</v>
      </c>
      <c r="D52" s="227">
        <v>3</v>
      </c>
      <c r="E52" s="228">
        <v>1612267787.9100816</v>
      </c>
      <c r="F52" s="228">
        <f t="shared" si="10"/>
        <v>1166974481</v>
      </c>
      <c r="G52" s="229">
        <f t="shared" si="11"/>
        <v>0.7238093384677136</v>
      </c>
      <c r="H52" s="230">
        <v>1211147872.29</v>
      </c>
    </row>
    <row r="53" spans="3:8" s="215" customFormat="1" ht="21">
      <c r="C53" s="226" t="s">
        <v>419</v>
      </c>
      <c r="D53" s="227">
        <v>1</v>
      </c>
      <c r="E53" s="228">
        <v>1350743708.7210746</v>
      </c>
      <c r="F53" s="228">
        <f t="shared" si="10"/>
        <v>879941028.9</v>
      </c>
      <c r="G53" s="229">
        <f t="shared" si="11"/>
        <v>0.6514492891720777</v>
      </c>
      <c r="H53" s="230">
        <v>1023737361.5999999</v>
      </c>
    </row>
    <row r="54" spans="3:8" s="215" customFormat="1" ht="21">
      <c r="C54" s="226" t="s">
        <v>420</v>
      </c>
      <c r="D54" s="227">
        <v>1</v>
      </c>
      <c r="E54" s="228">
        <v>3383878039.4584928</v>
      </c>
      <c r="F54" s="228">
        <f t="shared" si="10"/>
        <v>2184425791.866417</v>
      </c>
      <c r="G54" s="229">
        <f t="shared" si="11"/>
        <v>0.6455391613983762</v>
      </c>
      <c r="H54" s="230">
        <v>2523667932.9199996</v>
      </c>
    </row>
    <row r="55" spans="3:8" s="215" customFormat="1" ht="21">
      <c r="C55" s="226" t="s">
        <v>421</v>
      </c>
      <c r="D55" s="227">
        <v>2</v>
      </c>
      <c r="E55" s="228">
        <v>3423594253.787838</v>
      </c>
      <c r="F55" s="228">
        <f t="shared" si="10"/>
        <v>2215185800.2506948</v>
      </c>
      <c r="G55" s="229">
        <f t="shared" si="11"/>
        <v>0.6470351437819568</v>
      </c>
      <c r="H55" s="230">
        <v>2572295276.5199995</v>
      </c>
    </row>
    <row r="56" spans="3:8" s="215" customFormat="1" ht="21">
      <c r="C56" s="226" t="s">
        <v>422</v>
      </c>
      <c r="D56" s="227">
        <v>2</v>
      </c>
      <c r="E56" s="228">
        <v>1121105085.92523</v>
      </c>
      <c r="F56" s="228">
        <f t="shared" si="10"/>
        <v>727299309</v>
      </c>
      <c r="G56" s="229">
        <f t="shared" si="11"/>
        <v>0.6487342873837483</v>
      </c>
      <c r="H56" s="230">
        <v>846207738.79</v>
      </c>
    </row>
    <row r="57" spans="3:8" s="215" customFormat="1" ht="21">
      <c r="C57" s="226" t="s">
        <v>423</v>
      </c>
      <c r="D57" s="227">
        <v>2</v>
      </c>
      <c r="E57" s="228">
        <v>3058218944.987667</v>
      </c>
      <c r="F57" s="228">
        <f t="shared" si="10"/>
        <v>1982034753</v>
      </c>
      <c r="G57" s="229">
        <f t="shared" si="11"/>
        <v>0.6481009988668398</v>
      </c>
      <c r="H57" s="230">
        <v>2298762279.46</v>
      </c>
    </row>
    <row r="58" spans="3:8" s="215" customFormat="1" ht="21">
      <c r="C58" s="226" t="s">
        <v>424</v>
      </c>
      <c r="D58" s="227">
        <v>1</v>
      </c>
      <c r="E58" s="228">
        <v>1153175015.293787</v>
      </c>
      <c r="F58" s="228">
        <f t="shared" si="10"/>
        <v>747644358</v>
      </c>
      <c r="G58" s="229">
        <f t="shared" si="11"/>
        <v>0.6483355501849192</v>
      </c>
      <c r="H58" s="230">
        <v>868038954.17</v>
      </c>
    </row>
    <row r="59" spans="3:8" s="215" customFormat="1" ht="21">
      <c r="C59" s="231" t="s">
        <v>219</v>
      </c>
      <c r="D59" s="232">
        <f>SUM(D48:D58)</f>
        <v>22</v>
      </c>
      <c r="E59" s="233">
        <f>SUM(E48:E58)</f>
        <v>23494114177.37554</v>
      </c>
      <c r="F59" s="233">
        <f>SUM(F48:F58)</f>
        <v>16677199723.01711</v>
      </c>
      <c r="G59" s="234">
        <f t="shared" si="11"/>
        <v>0.7098458616957344</v>
      </c>
      <c r="H59" s="235">
        <f>SUM(H48:H58)</f>
        <v>17647041033.269997</v>
      </c>
    </row>
    <row r="60" spans="3:9" s="215" customFormat="1" ht="15" customHeight="1">
      <c r="C60" s="376" t="s">
        <v>605</v>
      </c>
      <c r="D60" s="377"/>
      <c r="E60" s="377"/>
      <c r="F60" s="377"/>
      <c r="G60" s="377"/>
      <c r="H60" s="378"/>
      <c r="I60" s="236"/>
    </row>
    <row r="61" spans="3:11" s="215" customFormat="1" ht="27.75" customHeight="1" thickBot="1">
      <c r="C61" s="379"/>
      <c r="D61" s="380"/>
      <c r="E61" s="380"/>
      <c r="F61" s="380"/>
      <c r="G61" s="380"/>
      <c r="H61" s="381"/>
      <c r="I61" s="216"/>
      <c r="J61" s="237"/>
      <c r="K61" s="237"/>
    </row>
    <row r="62" spans="2:11" s="215" customFormat="1" ht="21">
      <c r="B62" s="238"/>
      <c r="C62" s="238"/>
      <c r="I62" s="216"/>
      <c r="J62" s="237"/>
      <c r="K62" s="237"/>
    </row>
    <row r="63" s="215" customFormat="1" ht="21.75" thickBot="1">
      <c r="J63" s="236"/>
    </row>
    <row r="64" spans="3:9" s="215" customFormat="1" ht="30" customHeight="1">
      <c r="C64" s="382" t="s">
        <v>463</v>
      </c>
      <c r="D64" s="383"/>
      <c r="E64" s="239" t="s">
        <v>464</v>
      </c>
      <c r="I64" s="236"/>
    </row>
    <row r="65" spans="3:9" s="215" customFormat="1" ht="21">
      <c r="C65" s="384" t="s">
        <v>465</v>
      </c>
      <c r="D65" s="385"/>
      <c r="E65" s="240">
        <v>0</v>
      </c>
      <c r="I65" s="236"/>
    </row>
    <row r="66" spans="3:9" s="215" customFormat="1" ht="21" customHeight="1">
      <c r="C66" s="384" t="s">
        <v>461</v>
      </c>
      <c r="D66" s="385"/>
      <c r="E66" s="240">
        <v>0</v>
      </c>
      <c r="I66" s="236"/>
    </row>
    <row r="67" spans="3:9" s="215" customFormat="1" ht="21">
      <c r="C67" s="384" t="s">
        <v>460</v>
      </c>
      <c r="D67" s="385"/>
      <c r="E67" s="240">
        <v>14</v>
      </c>
      <c r="I67" s="236"/>
    </row>
    <row r="68" spans="3:9" s="215" customFormat="1" ht="21">
      <c r="C68" s="384" t="s">
        <v>606</v>
      </c>
      <c r="D68" s="385"/>
      <c r="E68" s="240">
        <v>8</v>
      </c>
      <c r="I68" s="236"/>
    </row>
    <row r="69" spans="3:9" s="215" customFormat="1" ht="44.25" customHeight="1" thickBot="1">
      <c r="C69" s="374" t="s">
        <v>467</v>
      </c>
      <c r="D69" s="375"/>
      <c r="E69" s="289">
        <f>SUM(E65:E68)</f>
        <v>22</v>
      </c>
      <c r="I69" s="236"/>
    </row>
    <row r="70" s="215" customFormat="1" ht="21">
      <c r="J70" s="236"/>
    </row>
    <row r="71" s="215" customFormat="1" ht="21">
      <c r="J71" s="236"/>
    </row>
    <row r="72" s="215" customFormat="1" ht="21">
      <c r="J72" s="236"/>
    </row>
    <row r="73" s="215" customFormat="1" ht="21">
      <c r="J73" s="236"/>
    </row>
    <row r="74" s="215" customFormat="1" ht="21">
      <c r="J74" s="236"/>
    </row>
    <row r="75" s="215" customFormat="1" ht="21">
      <c r="J75" s="236"/>
    </row>
    <row r="76" s="215" customFormat="1" ht="21">
      <c r="J76" s="236"/>
    </row>
    <row r="77" s="215" customFormat="1" ht="21">
      <c r="J77" s="236"/>
    </row>
    <row r="78" s="215" customFormat="1" ht="21">
      <c r="J78" s="236"/>
    </row>
    <row r="79" s="215" customFormat="1" ht="21">
      <c r="J79" s="236"/>
    </row>
    <row r="80" s="215" customFormat="1" ht="21">
      <c r="J80" s="236"/>
    </row>
    <row r="81" s="215" customFormat="1" ht="21">
      <c r="J81" s="236"/>
    </row>
    <row r="82" s="215" customFormat="1" ht="21">
      <c r="J82" s="236"/>
    </row>
    <row r="83" s="215" customFormat="1" ht="21">
      <c r="J83" s="236"/>
    </row>
    <row r="84" s="215" customFormat="1" ht="21" hidden="1">
      <c r="J84" s="236"/>
    </row>
    <row r="85" s="215" customFormat="1" ht="21" hidden="1">
      <c r="J85" s="236"/>
    </row>
    <row r="86" s="215" customFormat="1" ht="21" hidden="1">
      <c r="J86" s="236"/>
    </row>
    <row r="87" s="215" customFormat="1" ht="21" hidden="1">
      <c r="J87" s="236"/>
    </row>
    <row r="88" s="215" customFormat="1" ht="21" hidden="1">
      <c r="J88" s="236"/>
    </row>
    <row r="89" s="215" customFormat="1" ht="21" hidden="1">
      <c r="J89" s="236"/>
    </row>
    <row r="90" s="215" customFormat="1" ht="21" hidden="1">
      <c r="J90" s="236"/>
    </row>
    <row r="91" s="215" customFormat="1" ht="21" hidden="1">
      <c r="J91" s="236"/>
    </row>
    <row r="92" s="215" customFormat="1" ht="21" hidden="1">
      <c r="J92" s="236"/>
    </row>
    <row r="93" s="215" customFormat="1" ht="21" hidden="1">
      <c r="J93" s="236"/>
    </row>
    <row r="94" s="215" customFormat="1" ht="21" hidden="1">
      <c r="J94" s="236"/>
    </row>
    <row r="95" s="215" customFormat="1" ht="21" hidden="1">
      <c r="J95" s="236"/>
    </row>
    <row r="96" s="215" customFormat="1" ht="21" hidden="1">
      <c r="J96" s="236"/>
    </row>
    <row r="97" s="215" customFormat="1" ht="21" hidden="1">
      <c r="J97" s="236"/>
    </row>
    <row r="98" s="215" customFormat="1" ht="21" hidden="1">
      <c r="J98" s="236"/>
    </row>
    <row r="99" s="215" customFormat="1" ht="21" hidden="1">
      <c r="J99" s="236"/>
    </row>
    <row r="100" s="215" customFormat="1" ht="21" hidden="1">
      <c r="J100" s="236"/>
    </row>
    <row r="101" s="215" customFormat="1" ht="21" hidden="1">
      <c r="J101" s="236"/>
    </row>
    <row r="102" s="215" customFormat="1" ht="21" hidden="1">
      <c r="J102" s="236"/>
    </row>
    <row r="103" s="215" customFormat="1" ht="21" hidden="1">
      <c r="J103" s="236"/>
    </row>
    <row r="104" s="215" customFormat="1" ht="21" hidden="1">
      <c r="J104" s="236"/>
    </row>
    <row r="105" s="215" customFormat="1" ht="21" hidden="1">
      <c r="J105" s="236"/>
    </row>
    <row r="106" s="215" customFormat="1" ht="21" hidden="1">
      <c r="J106" s="236"/>
    </row>
    <row r="107" s="215" customFormat="1" ht="21" hidden="1">
      <c r="J107" s="236"/>
    </row>
    <row r="108" s="215" customFormat="1" ht="21" hidden="1">
      <c r="J108" s="236"/>
    </row>
    <row r="109" s="215" customFormat="1" ht="21" hidden="1">
      <c r="J109" s="236"/>
    </row>
    <row r="110" s="215" customFormat="1" ht="21" hidden="1">
      <c r="J110" s="236"/>
    </row>
    <row r="111" s="215" customFormat="1" ht="21" hidden="1">
      <c r="J111" s="236"/>
    </row>
    <row r="112" s="215" customFormat="1" ht="21" hidden="1">
      <c r="J112" s="236"/>
    </row>
    <row r="113" s="215" customFormat="1" ht="21" hidden="1">
      <c r="J113" s="236"/>
    </row>
    <row r="114" s="215" customFormat="1" ht="21" hidden="1">
      <c r="J114" s="236"/>
    </row>
    <row r="115" s="215" customFormat="1" ht="21" hidden="1">
      <c r="J115" s="236"/>
    </row>
    <row r="116" s="215" customFormat="1" ht="21" hidden="1">
      <c r="J116" s="236"/>
    </row>
    <row r="117" s="215" customFormat="1" ht="21" hidden="1">
      <c r="J117" s="236"/>
    </row>
    <row r="118" s="215" customFormat="1" ht="21" hidden="1">
      <c r="J118" s="236"/>
    </row>
    <row r="119" s="215" customFormat="1" ht="21" hidden="1">
      <c r="J119" s="236"/>
    </row>
    <row r="120" s="215" customFormat="1" ht="21" hidden="1">
      <c r="J120" s="236"/>
    </row>
    <row r="121" s="215" customFormat="1" ht="21" hidden="1">
      <c r="J121" s="236"/>
    </row>
    <row r="122" s="215" customFormat="1" ht="21" hidden="1">
      <c r="J122" s="236"/>
    </row>
    <row r="123" s="215" customFormat="1" ht="21" hidden="1">
      <c r="J123" s="236"/>
    </row>
    <row r="124" s="215" customFormat="1" ht="21" hidden="1">
      <c r="J124" s="236"/>
    </row>
    <row r="125" s="215" customFormat="1" ht="21" hidden="1">
      <c r="J125" s="236"/>
    </row>
    <row r="126" s="215" customFormat="1" ht="21" hidden="1">
      <c r="J126" s="236"/>
    </row>
    <row r="127" s="215" customFormat="1" ht="21" hidden="1">
      <c r="J127" s="236"/>
    </row>
    <row r="128" s="215" customFormat="1" ht="21" hidden="1">
      <c r="J128" s="236"/>
    </row>
    <row r="129" s="215" customFormat="1" ht="21" hidden="1">
      <c r="J129" s="236"/>
    </row>
    <row r="130" s="215" customFormat="1" ht="21" hidden="1">
      <c r="J130" s="236"/>
    </row>
    <row r="131" s="215" customFormat="1" ht="21" hidden="1">
      <c r="J131" s="236"/>
    </row>
    <row r="132" s="215" customFormat="1" ht="21" hidden="1">
      <c r="J132" s="236"/>
    </row>
    <row r="133" s="215" customFormat="1" ht="21" hidden="1">
      <c r="J133" s="236"/>
    </row>
    <row r="134" s="215" customFormat="1" ht="21" hidden="1">
      <c r="J134" s="236"/>
    </row>
    <row r="135" s="215" customFormat="1" ht="21" hidden="1">
      <c r="J135" s="236"/>
    </row>
    <row r="136" s="215" customFormat="1" ht="21" hidden="1">
      <c r="J136" s="236"/>
    </row>
    <row r="137" s="215" customFormat="1" ht="21" hidden="1">
      <c r="J137" s="236"/>
    </row>
    <row r="138" s="215" customFormat="1" ht="21" hidden="1">
      <c r="J138" s="236"/>
    </row>
    <row r="139" s="215" customFormat="1" ht="21" hidden="1">
      <c r="J139" s="236"/>
    </row>
    <row r="140" s="215" customFormat="1" ht="21" hidden="1">
      <c r="J140" s="236"/>
    </row>
    <row r="141" s="215" customFormat="1" ht="21" hidden="1">
      <c r="J141" s="236"/>
    </row>
    <row r="142" s="215" customFormat="1" ht="21" hidden="1">
      <c r="J142" s="236"/>
    </row>
    <row r="143" s="215" customFormat="1" ht="21" hidden="1">
      <c r="J143" s="236"/>
    </row>
    <row r="144" s="215" customFormat="1" ht="21" hidden="1">
      <c r="J144" s="236"/>
    </row>
    <row r="145" s="215" customFormat="1" ht="21" hidden="1">
      <c r="J145" s="236"/>
    </row>
    <row r="146" s="215" customFormat="1" ht="21" hidden="1">
      <c r="J146" s="236"/>
    </row>
    <row r="147" s="215" customFormat="1" ht="21" hidden="1">
      <c r="J147" s="236"/>
    </row>
    <row r="148" s="215" customFormat="1" ht="21" hidden="1">
      <c r="J148" s="236"/>
    </row>
    <row r="149" s="215" customFormat="1" ht="21" hidden="1">
      <c r="J149" s="236"/>
    </row>
    <row r="150" s="215" customFormat="1" ht="21" hidden="1">
      <c r="J150" s="236"/>
    </row>
    <row r="151" s="215" customFormat="1" ht="21" hidden="1">
      <c r="J151" s="236"/>
    </row>
    <row r="152" s="215" customFormat="1" ht="21" hidden="1">
      <c r="J152" s="236"/>
    </row>
    <row r="153" s="215" customFormat="1" ht="21" hidden="1">
      <c r="J153" s="236"/>
    </row>
    <row r="154" s="215" customFormat="1" ht="21" hidden="1">
      <c r="J154" s="236"/>
    </row>
    <row r="155" s="215" customFormat="1" ht="21" hidden="1">
      <c r="J155" s="236"/>
    </row>
    <row r="156" s="215" customFormat="1" ht="21" hidden="1">
      <c r="J156" s="236"/>
    </row>
    <row r="157" s="215" customFormat="1" ht="21" hidden="1">
      <c r="J157" s="236"/>
    </row>
    <row r="158" s="215" customFormat="1" ht="21" hidden="1">
      <c r="J158" s="236"/>
    </row>
    <row r="159" s="215" customFormat="1" ht="21" hidden="1">
      <c r="J159" s="236"/>
    </row>
    <row r="160" s="215" customFormat="1" ht="21" hidden="1">
      <c r="J160" s="236"/>
    </row>
    <row r="161" s="215" customFormat="1" ht="21" hidden="1">
      <c r="J161" s="236"/>
    </row>
    <row r="162" s="215" customFormat="1" ht="21" hidden="1">
      <c r="J162" s="236"/>
    </row>
    <row r="163" s="215" customFormat="1" ht="21" hidden="1">
      <c r="J163" s="236"/>
    </row>
    <row r="164" s="215" customFormat="1" ht="21" hidden="1">
      <c r="J164" s="236"/>
    </row>
    <row r="165" s="215" customFormat="1" ht="21" hidden="1">
      <c r="J165" s="236"/>
    </row>
    <row r="166" s="215" customFormat="1" ht="21" hidden="1">
      <c r="J166" s="236"/>
    </row>
    <row r="167" s="215" customFormat="1" ht="21" hidden="1">
      <c r="J167" s="236"/>
    </row>
    <row r="168" s="215" customFormat="1" ht="21" hidden="1">
      <c r="J168" s="236"/>
    </row>
    <row r="169" s="215" customFormat="1" ht="21" hidden="1">
      <c r="J169" s="236"/>
    </row>
    <row r="170" s="215" customFormat="1" ht="21" hidden="1">
      <c r="J170" s="236"/>
    </row>
    <row r="171" s="215" customFormat="1" ht="21" hidden="1">
      <c r="J171" s="236"/>
    </row>
    <row r="172" s="215" customFormat="1" ht="21" hidden="1">
      <c r="J172" s="236"/>
    </row>
    <row r="173" s="215" customFormat="1" ht="21" hidden="1">
      <c r="J173" s="236"/>
    </row>
    <row r="174" s="215" customFormat="1" ht="21" hidden="1">
      <c r="J174" s="236"/>
    </row>
    <row r="175" s="215" customFormat="1" ht="21" hidden="1">
      <c r="J175" s="236"/>
    </row>
    <row r="176" s="215" customFormat="1" ht="21" hidden="1">
      <c r="J176" s="236"/>
    </row>
    <row r="177" s="215" customFormat="1" ht="21" hidden="1">
      <c r="J177" s="236"/>
    </row>
    <row r="178" s="215" customFormat="1" ht="21" hidden="1">
      <c r="J178" s="236"/>
    </row>
    <row r="179" s="215" customFormat="1" ht="21" hidden="1">
      <c r="J179" s="236"/>
    </row>
    <row r="180" s="215" customFormat="1" ht="21" hidden="1">
      <c r="J180" s="236"/>
    </row>
    <row r="181" s="215" customFormat="1" ht="21" hidden="1">
      <c r="J181" s="236"/>
    </row>
    <row r="182" s="215" customFormat="1" ht="21" hidden="1">
      <c r="J182" s="236"/>
    </row>
    <row r="183" s="215" customFormat="1" ht="21" hidden="1">
      <c r="J183" s="236"/>
    </row>
    <row r="184" s="215" customFormat="1" ht="21" hidden="1">
      <c r="J184" s="236"/>
    </row>
    <row r="185" s="215" customFormat="1" ht="21" hidden="1">
      <c r="J185" s="236"/>
    </row>
    <row r="186" s="215" customFormat="1" ht="21" hidden="1">
      <c r="J186" s="236"/>
    </row>
    <row r="187" s="215" customFormat="1" ht="21" hidden="1">
      <c r="J187" s="236"/>
    </row>
    <row r="188" s="215" customFormat="1" ht="21" hidden="1">
      <c r="J188" s="236"/>
    </row>
    <row r="189" s="215" customFormat="1" ht="21" hidden="1">
      <c r="J189" s="236"/>
    </row>
    <row r="190" s="215" customFormat="1" ht="21" hidden="1">
      <c r="J190" s="236"/>
    </row>
    <row r="191" s="215" customFormat="1" ht="21" hidden="1">
      <c r="J191" s="236"/>
    </row>
    <row r="192" s="215" customFormat="1" ht="21" hidden="1">
      <c r="J192" s="236"/>
    </row>
    <row r="193" s="215" customFormat="1" ht="21" hidden="1">
      <c r="J193" s="236"/>
    </row>
    <row r="194" s="215" customFormat="1" ht="21" hidden="1">
      <c r="J194" s="236"/>
    </row>
    <row r="195" s="215" customFormat="1" ht="21" hidden="1">
      <c r="J195" s="236"/>
    </row>
    <row r="196" s="215" customFormat="1" ht="21" hidden="1">
      <c r="J196" s="236"/>
    </row>
    <row r="197" s="215" customFormat="1" ht="21" hidden="1">
      <c r="J197" s="236"/>
    </row>
    <row r="198" s="215" customFormat="1" ht="21" hidden="1">
      <c r="J198" s="236"/>
    </row>
    <row r="199" s="215" customFormat="1" ht="21" hidden="1">
      <c r="J199" s="236"/>
    </row>
    <row r="200" s="215" customFormat="1" ht="21" hidden="1">
      <c r="J200" s="236"/>
    </row>
    <row r="201" s="215" customFormat="1" ht="21" hidden="1">
      <c r="J201" s="236"/>
    </row>
    <row r="202" s="215" customFormat="1" ht="21" hidden="1">
      <c r="J202" s="236"/>
    </row>
    <row r="203" s="215" customFormat="1" ht="21" hidden="1">
      <c r="J203" s="236"/>
    </row>
    <row r="204" s="215" customFormat="1" ht="21" hidden="1">
      <c r="J204" s="236"/>
    </row>
    <row r="205" s="215" customFormat="1" ht="21" hidden="1">
      <c r="J205" s="236"/>
    </row>
    <row r="206" s="215" customFormat="1" ht="21" hidden="1">
      <c r="J206" s="236"/>
    </row>
    <row r="207" s="215" customFormat="1" ht="21" hidden="1">
      <c r="J207" s="236"/>
    </row>
    <row r="208" s="215" customFormat="1" ht="21" hidden="1">
      <c r="J208" s="236"/>
    </row>
    <row r="209" s="215" customFormat="1" ht="21" hidden="1">
      <c r="J209" s="236"/>
    </row>
    <row r="210" s="215" customFormat="1" ht="21" hidden="1">
      <c r="J210" s="236"/>
    </row>
    <row r="211" s="215" customFormat="1" ht="21" hidden="1">
      <c r="J211" s="236"/>
    </row>
    <row r="212" s="215" customFormat="1" ht="21" hidden="1">
      <c r="J212" s="236"/>
    </row>
    <row r="213" s="215" customFormat="1" ht="21" hidden="1">
      <c r="J213" s="236"/>
    </row>
    <row r="214" s="215" customFormat="1" ht="21" hidden="1">
      <c r="J214" s="236"/>
    </row>
    <row r="215" s="215" customFormat="1" ht="21" hidden="1">
      <c r="J215" s="236"/>
    </row>
    <row r="216" s="215" customFormat="1" ht="21" hidden="1">
      <c r="J216" s="236"/>
    </row>
    <row r="217" s="215" customFormat="1" ht="21" hidden="1">
      <c r="J217" s="236"/>
    </row>
    <row r="218" s="215" customFormat="1" ht="21" hidden="1">
      <c r="J218" s="236"/>
    </row>
    <row r="219" s="215" customFormat="1" ht="21" hidden="1">
      <c r="J219" s="236"/>
    </row>
    <row r="220" s="215" customFormat="1" ht="21" hidden="1">
      <c r="J220" s="236"/>
    </row>
    <row r="221" s="215" customFormat="1" ht="21" hidden="1">
      <c r="J221" s="236"/>
    </row>
    <row r="222" s="215" customFormat="1" ht="21" hidden="1">
      <c r="J222" s="236"/>
    </row>
    <row r="223" s="215" customFormat="1" ht="21" hidden="1">
      <c r="J223" s="236"/>
    </row>
    <row r="224" s="215" customFormat="1" ht="21" hidden="1">
      <c r="J224" s="236"/>
    </row>
    <row r="225" s="215" customFormat="1" ht="21" hidden="1">
      <c r="J225" s="236"/>
    </row>
    <row r="226" s="215" customFormat="1" ht="21" hidden="1">
      <c r="J226" s="236"/>
    </row>
    <row r="227" s="215" customFormat="1" ht="21" hidden="1">
      <c r="J227" s="236"/>
    </row>
    <row r="228" s="215" customFormat="1" ht="21" hidden="1">
      <c r="J228" s="236"/>
    </row>
    <row r="229" s="215" customFormat="1" ht="21" hidden="1">
      <c r="J229" s="236"/>
    </row>
    <row r="230" s="215" customFormat="1" ht="21" hidden="1">
      <c r="J230" s="236"/>
    </row>
    <row r="231" s="215" customFormat="1" ht="21" hidden="1">
      <c r="J231" s="236"/>
    </row>
    <row r="232" s="215" customFormat="1" ht="21" hidden="1">
      <c r="J232" s="236"/>
    </row>
    <row r="233" s="215" customFormat="1" ht="21" hidden="1">
      <c r="J233" s="236"/>
    </row>
    <row r="234" s="215" customFormat="1" ht="21" hidden="1">
      <c r="J234" s="236"/>
    </row>
    <row r="235" s="215" customFormat="1" ht="21" hidden="1">
      <c r="J235" s="236"/>
    </row>
    <row r="236" s="215" customFormat="1" ht="21" hidden="1">
      <c r="J236" s="236"/>
    </row>
    <row r="237" s="215" customFormat="1" ht="21" hidden="1">
      <c r="J237" s="236"/>
    </row>
    <row r="238" s="215" customFormat="1" ht="21" hidden="1">
      <c r="J238" s="236"/>
    </row>
    <row r="239" s="215" customFormat="1" ht="21" hidden="1">
      <c r="J239" s="236"/>
    </row>
    <row r="240" s="215" customFormat="1" ht="21" hidden="1">
      <c r="J240" s="236"/>
    </row>
    <row r="241" s="215" customFormat="1" ht="21" hidden="1">
      <c r="J241" s="236"/>
    </row>
    <row r="242" s="215" customFormat="1" ht="21" hidden="1">
      <c r="J242" s="236"/>
    </row>
    <row r="243" s="215" customFormat="1" ht="21" hidden="1">
      <c r="J243" s="236"/>
    </row>
    <row r="244" s="215" customFormat="1" ht="21" hidden="1">
      <c r="J244" s="236"/>
    </row>
    <row r="245" s="215" customFormat="1" ht="21" hidden="1">
      <c r="J245" s="236"/>
    </row>
    <row r="246" s="215" customFormat="1" ht="21" hidden="1">
      <c r="J246" s="236"/>
    </row>
    <row r="247" s="215" customFormat="1" ht="21" hidden="1">
      <c r="J247" s="236"/>
    </row>
    <row r="248" s="215" customFormat="1" ht="21" hidden="1">
      <c r="J248" s="236"/>
    </row>
    <row r="249" s="215" customFormat="1" ht="21" hidden="1">
      <c r="J249" s="236"/>
    </row>
    <row r="250" s="215" customFormat="1" ht="21" hidden="1">
      <c r="J250" s="236"/>
    </row>
    <row r="251" s="215" customFormat="1" ht="21" hidden="1">
      <c r="J251" s="236"/>
    </row>
    <row r="252" s="215" customFormat="1" ht="21" hidden="1">
      <c r="J252" s="236"/>
    </row>
    <row r="253" s="215" customFormat="1" ht="21" hidden="1">
      <c r="J253" s="236"/>
    </row>
    <row r="254" s="215" customFormat="1" ht="21" hidden="1">
      <c r="J254" s="236"/>
    </row>
    <row r="255" s="215" customFormat="1" ht="21" hidden="1">
      <c r="J255" s="236"/>
    </row>
    <row r="256" s="215" customFormat="1" ht="21" hidden="1">
      <c r="J256" s="236"/>
    </row>
    <row r="257" s="215" customFormat="1" ht="21" hidden="1">
      <c r="J257" s="236"/>
    </row>
    <row r="258" ht="21" hidden="1"/>
  </sheetData>
  <sheetProtection selectLockedCells="1" sort="0" autoFilter="0"/>
  <mergeCells count="12">
    <mergeCell ref="B3:Q3"/>
    <mergeCell ref="B4:Q5"/>
    <mergeCell ref="B7:J7"/>
    <mergeCell ref="C69:D69"/>
    <mergeCell ref="C60:H61"/>
    <mergeCell ref="C64:D64"/>
    <mergeCell ref="C65:D65"/>
    <mergeCell ref="C66:D66"/>
    <mergeCell ref="C67:D67"/>
    <mergeCell ref="C68:D68"/>
    <mergeCell ref="B30:Q30"/>
    <mergeCell ref="B32:Q32"/>
  </mergeCells>
  <printOptions/>
  <pageMargins left="1.58" right="0.7" top="0.75" bottom="0.75" header="0.3" footer="0.3"/>
  <pageSetup horizontalDpi="600" verticalDpi="600" orientation="landscape" paperSize="5" scale="25" r:id="rId2"/>
  <ignoredErrors>
    <ignoredError sqref="E69" unlockedFormula="1"/>
    <ignoredError sqref="E13 G59" formula="1"/>
  </ignoredErrors>
  <drawing r:id="rId1"/>
</worksheet>
</file>

<file path=xl/worksheets/sheet2.xml><?xml version="1.0" encoding="utf-8"?>
<worksheet xmlns="http://schemas.openxmlformats.org/spreadsheetml/2006/main" xmlns:r="http://schemas.openxmlformats.org/officeDocument/2006/relationships">
  <dimension ref="B3:Y137"/>
  <sheetViews>
    <sheetView showGridLines="0" zoomScale="55" zoomScaleNormal="55" zoomScalePageLayoutView="0" workbookViewId="0" topLeftCell="A1">
      <selection activeCell="G109" sqref="G109"/>
    </sheetView>
  </sheetViews>
  <sheetFormatPr defaultColWidth="11.421875" defaultRowHeight="15"/>
  <cols>
    <col min="2" max="2" width="38.7109375" style="0" customWidth="1"/>
    <col min="3" max="3" width="37.8515625" style="0" customWidth="1"/>
    <col min="4" max="4" width="34.421875" style="0" customWidth="1"/>
    <col min="5" max="5" width="34.57421875" style="0" customWidth="1"/>
    <col min="6" max="6" width="38.7109375" style="0" customWidth="1"/>
    <col min="7" max="7" width="34.421875" style="0" customWidth="1"/>
    <col min="8" max="8" width="36.7109375" style="0" customWidth="1"/>
    <col min="9" max="9" width="33.7109375" style="0" customWidth="1"/>
    <col min="10" max="10" width="44.140625" style="0" customWidth="1"/>
    <col min="11" max="11" width="37.7109375" style="0" customWidth="1"/>
    <col min="12" max="12" width="41.421875" style="0" customWidth="1"/>
    <col min="13" max="13" width="34.140625" style="0" customWidth="1"/>
    <col min="14" max="14" width="33.57421875" style="0" customWidth="1"/>
    <col min="15" max="15" width="30.28125" style="0" customWidth="1"/>
    <col min="16" max="16" width="29.00390625" style="0" customWidth="1"/>
    <col min="17" max="18" width="35.28125" style="0" customWidth="1"/>
    <col min="19" max="19" width="35.00390625" style="0" customWidth="1"/>
    <col min="20" max="20" width="35.28125" style="0" customWidth="1"/>
    <col min="21" max="22" width="30.8515625" style="0" customWidth="1"/>
    <col min="23" max="23" width="29.140625" style="0" customWidth="1"/>
    <col min="24" max="24" width="30.7109375" style="0" customWidth="1"/>
    <col min="25" max="25" width="41.140625" style="0" customWidth="1"/>
  </cols>
  <sheetData>
    <row r="2" ht="15.75" thickBot="1"/>
    <row r="3" spans="2:25" ht="15" customHeight="1">
      <c r="B3" s="398" t="s">
        <v>43</v>
      </c>
      <c r="C3" s="399"/>
      <c r="D3" s="399"/>
      <c r="E3" s="399"/>
      <c r="F3" s="399"/>
      <c r="G3" s="399"/>
      <c r="H3" s="399"/>
      <c r="I3" s="399"/>
      <c r="J3" s="399"/>
      <c r="K3" s="399"/>
      <c r="L3" s="399"/>
      <c r="M3" s="399"/>
      <c r="N3" s="399"/>
      <c r="O3" s="399"/>
      <c r="P3" s="399"/>
      <c r="Q3" s="399"/>
      <c r="R3" s="399"/>
      <c r="S3" s="399"/>
      <c r="T3" s="399"/>
      <c r="U3" s="399"/>
      <c r="V3" s="399"/>
      <c r="W3" s="399"/>
      <c r="X3" s="399"/>
      <c r="Y3" s="400"/>
    </row>
    <row r="4" spans="2:25" ht="15" customHeight="1" thickBot="1">
      <c r="B4" s="395"/>
      <c r="C4" s="396"/>
      <c r="D4" s="396"/>
      <c r="E4" s="396"/>
      <c r="F4" s="396"/>
      <c r="G4" s="396"/>
      <c r="H4" s="396"/>
      <c r="I4" s="396"/>
      <c r="J4" s="396"/>
      <c r="K4" s="396"/>
      <c r="L4" s="396"/>
      <c r="M4" s="396"/>
      <c r="N4" s="396"/>
      <c r="O4" s="396"/>
      <c r="P4" s="396"/>
      <c r="Q4" s="396"/>
      <c r="R4" s="396"/>
      <c r="S4" s="396"/>
      <c r="T4" s="396"/>
      <c r="U4" s="396"/>
      <c r="V4" s="396"/>
      <c r="W4" s="396"/>
      <c r="X4" s="396"/>
      <c r="Y4" s="397"/>
    </row>
    <row r="5" spans="2:21" ht="19.5" hidden="1">
      <c r="B5" s="175"/>
      <c r="C5" s="410">
        <v>2012</v>
      </c>
      <c r="D5" s="410"/>
      <c r="E5" s="410"/>
      <c r="F5" s="410"/>
      <c r="G5" s="410"/>
      <c r="H5" s="410" t="s">
        <v>197</v>
      </c>
      <c r="I5" s="410"/>
      <c r="J5" s="410"/>
      <c r="K5" s="410"/>
      <c r="L5" s="410"/>
      <c r="M5" s="410"/>
      <c r="N5" s="410"/>
      <c r="O5" s="410"/>
      <c r="P5" s="410"/>
      <c r="Q5" s="410"/>
      <c r="R5" s="410"/>
      <c r="S5" s="410"/>
      <c r="T5" s="410"/>
      <c r="U5" s="410"/>
    </row>
    <row r="6" spans="2:21" ht="117" customHeight="1" hidden="1">
      <c r="B6" s="22" t="s">
        <v>4</v>
      </c>
      <c r="C6" s="23" t="s">
        <v>53</v>
      </c>
      <c r="D6" s="23" t="s">
        <v>54</v>
      </c>
      <c r="E6" s="23" t="s">
        <v>55</v>
      </c>
      <c r="F6" s="23" t="s">
        <v>22</v>
      </c>
      <c r="G6" s="22" t="s">
        <v>34</v>
      </c>
      <c r="H6" s="23" t="s">
        <v>58</v>
      </c>
      <c r="I6" s="22" t="s">
        <v>57</v>
      </c>
      <c r="J6" s="22" t="s">
        <v>59</v>
      </c>
      <c r="K6" s="22" t="s">
        <v>60</v>
      </c>
      <c r="L6" s="23" t="s">
        <v>44</v>
      </c>
      <c r="M6" s="23" t="s">
        <v>291</v>
      </c>
      <c r="N6" s="23" t="s">
        <v>42</v>
      </c>
      <c r="O6" s="17" t="s">
        <v>184</v>
      </c>
      <c r="P6" s="17" t="s">
        <v>253</v>
      </c>
      <c r="Q6" s="17" t="s">
        <v>292</v>
      </c>
      <c r="R6" s="17" t="s">
        <v>293</v>
      </c>
      <c r="S6" s="22" t="s">
        <v>210</v>
      </c>
      <c r="T6" s="22" t="s">
        <v>282</v>
      </c>
      <c r="U6" s="22" t="s">
        <v>283</v>
      </c>
    </row>
    <row r="7" spans="2:21" ht="19.5" hidden="1">
      <c r="B7" s="18" t="s">
        <v>2</v>
      </c>
      <c r="C7" s="6">
        <v>13646133709</v>
      </c>
      <c r="D7" s="6">
        <v>15002814726.3324</v>
      </c>
      <c r="E7" s="6">
        <v>0</v>
      </c>
      <c r="F7" s="6">
        <v>15002814726.3324</v>
      </c>
      <c r="G7" s="19">
        <v>2544967148</v>
      </c>
      <c r="H7" s="6">
        <v>41198718951.27741</v>
      </c>
      <c r="I7" s="6">
        <v>32958975161.02193</v>
      </c>
      <c r="J7" s="19">
        <f>H7-I7</f>
        <v>8239743790.255482</v>
      </c>
      <c r="K7" s="6">
        <f>F7+H7</f>
        <v>56201533677.60981</v>
      </c>
      <c r="L7" s="6" t="e">
        <f>#REF!</f>
        <v>#REF!</v>
      </c>
      <c r="M7" s="6" t="e">
        <f>K7-L7</f>
        <v>#REF!</v>
      </c>
      <c r="N7" s="26">
        <v>0.9999999874826537</v>
      </c>
      <c r="O7" s="13">
        <v>12193353358</v>
      </c>
      <c r="P7" s="13" t="e">
        <f>'PROYECTOS NUEVOS 2015-2016 '!H5+#REF!</f>
        <v>#REF!</v>
      </c>
      <c r="Q7" s="13" t="e">
        <f>J7+O7+M7-P7</f>
        <v>#REF!</v>
      </c>
      <c r="R7" s="13" t="e">
        <f>J7+O7+M7-P7</f>
        <v>#REF!</v>
      </c>
      <c r="S7" s="13">
        <v>42204704534</v>
      </c>
      <c r="T7" s="13">
        <f>'[1]PROYECTOS OCAD REGIONAL'!S9+'[1]PROYECTOS OCAD REGIONAL'!S10+'[1]PROYECTOS OCAD REGIONAL'!S16+'[1]PROYECTOS OCAD REGIONAL'!S17+'[1]PROYECTOS OCAD REGIONAL'!S18+'[1]PROYECTOS OCAD REGIONAL'!S19+'[1]PROYECTOS OCAD REGIONAL'!K8</f>
        <v>17997970854</v>
      </c>
      <c r="U7" s="13">
        <f>S7-T7</f>
        <v>24206733680</v>
      </c>
    </row>
    <row r="8" spans="2:21" ht="25.5" customHeight="1" hidden="1">
      <c r="B8" s="18" t="s">
        <v>3</v>
      </c>
      <c r="C8" s="27">
        <v>11356910410</v>
      </c>
      <c r="D8" s="6">
        <v>10564981702</v>
      </c>
      <c r="E8" s="6">
        <v>10000000000</v>
      </c>
      <c r="F8" s="6">
        <v>564981702.2606</v>
      </c>
      <c r="G8" s="19">
        <v>1790302568</v>
      </c>
      <c r="H8" s="6">
        <v>28467799825.988056</v>
      </c>
      <c r="I8" s="6">
        <v>22774239860.790447</v>
      </c>
      <c r="J8" s="19">
        <f>H8-I8</f>
        <v>5693559965.197609</v>
      </c>
      <c r="K8" s="6">
        <f>F8+H8</f>
        <v>29032781528.248657</v>
      </c>
      <c r="L8" s="6" t="e">
        <f>#REF!</f>
        <v>#REF!</v>
      </c>
      <c r="M8" s="6" t="e">
        <f>K8-L8</f>
        <v>#REF!</v>
      </c>
      <c r="N8" s="26">
        <v>1</v>
      </c>
      <c r="O8" s="13">
        <v>8429736222</v>
      </c>
      <c r="P8" s="13">
        <f>'PROYECTOS NUEVOS 2015-2016 '!I8+'PROYECTOS NUEVOS 2015-2016 '!I13</f>
        <v>8210758109</v>
      </c>
      <c r="Q8" s="13" t="e">
        <f>J8+O8+M8-P8</f>
        <v>#REF!</v>
      </c>
      <c r="R8" s="13" t="e">
        <f>J8+O8+M8-P8</f>
        <v>#REF!</v>
      </c>
      <c r="S8" s="13">
        <v>16860674788</v>
      </c>
      <c r="T8" s="13">
        <f>'[1]PROYECTOS OCAD REGIONAL'!S5+'[1]PROYECTOS OCAD REGIONAL'!S6+'[1]PROYECTOS OCAD REGIONAL'!S8</f>
        <v>10278271177</v>
      </c>
      <c r="U8" s="13">
        <f>S8-T8</f>
        <v>6582403611</v>
      </c>
    </row>
    <row r="9" spans="2:21" ht="19.5" hidden="1">
      <c r="B9" s="18" t="s">
        <v>51</v>
      </c>
      <c r="C9" s="6">
        <v>5623594687</v>
      </c>
      <c r="D9" s="6">
        <v>7203086182.82504</v>
      </c>
      <c r="E9" s="6">
        <v>0</v>
      </c>
      <c r="F9" s="6">
        <v>7203086182.82504</v>
      </c>
      <c r="G9" s="19">
        <v>1220608237.29</v>
      </c>
      <c r="H9" s="6">
        <v>13849169200.375633</v>
      </c>
      <c r="I9" s="6">
        <v>11079335360.300507</v>
      </c>
      <c r="J9" s="19">
        <f>H9-I9</f>
        <v>2769833840.0751266</v>
      </c>
      <c r="K9" s="6">
        <f>F9+H9</f>
        <v>21052255383.200672</v>
      </c>
      <c r="L9" s="6" t="e">
        <f>#REF!</f>
        <v>#REF!</v>
      </c>
      <c r="M9" s="6" t="e">
        <f>K9-L9</f>
        <v>#REF!</v>
      </c>
      <c r="N9" s="26" t="e">
        <f>L9/K9</f>
        <v>#REF!</v>
      </c>
      <c r="O9" s="13">
        <v>3716586909</v>
      </c>
      <c r="P9" s="13">
        <v>0</v>
      </c>
      <c r="Q9" s="13" t="e">
        <f>J9+O9+M9-P9</f>
        <v>#REF!</v>
      </c>
      <c r="R9" s="13"/>
      <c r="S9" s="13">
        <v>17239552718</v>
      </c>
      <c r="T9" s="13">
        <f>'[1]PROYECTOS OCAD REGIONAL'!S20+'[1]PROYECTOS OCAD REGIONAL'!S21</f>
        <v>9333663333</v>
      </c>
      <c r="U9" s="13">
        <f>S9-T9</f>
        <v>7905889385</v>
      </c>
    </row>
    <row r="10" spans="2:21" ht="54" customHeight="1" hidden="1">
      <c r="B10" s="18" t="s">
        <v>6</v>
      </c>
      <c r="C10" s="6">
        <v>11208437</v>
      </c>
      <c r="D10" s="6">
        <v>11208437</v>
      </c>
      <c r="E10" s="6">
        <v>0</v>
      </c>
      <c r="F10" s="6">
        <v>1088795.483677</v>
      </c>
      <c r="G10" s="19">
        <f>+I10-F10</f>
        <v>2281312.2948118113</v>
      </c>
      <c r="H10" s="6">
        <v>3370107.778488811</v>
      </c>
      <c r="I10" s="6">
        <v>3370107.778488811</v>
      </c>
      <c r="J10" s="19">
        <f>H10-I10</f>
        <v>0</v>
      </c>
      <c r="K10" s="6">
        <f>F10+I10</f>
        <v>4458903.262165811</v>
      </c>
      <c r="L10" s="6">
        <v>4458903</v>
      </c>
      <c r="M10" s="6">
        <f>K10-L10</f>
        <v>0.2621658109128475</v>
      </c>
      <c r="N10" s="26">
        <v>0.9999999412039697</v>
      </c>
      <c r="O10" s="13">
        <v>0</v>
      </c>
      <c r="P10" s="13">
        <v>0</v>
      </c>
      <c r="Q10" s="13">
        <f>J10+O10+M10-P10</f>
        <v>0.2621658109128475</v>
      </c>
      <c r="R10" s="13"/>
      <c r="S10" s="14"/>
      <c r="T10" s="13"/>
      <c r="U10" s="13">
        <f>S10-T10</f>
        <v>0</v>
      </c>
    </row>
    <row r="11" spans="2:21" ht="22.5" hidden="1">
      <c r="B11" s="18" t="s">
        <v>20</v>
      </c>
      <c r="C11" s="19">
        <f aca="true" t="shared" si="0" ref="C11:L11">SUM(C7:C10)</f>
        <v>30637847243</v>
      </c>
      <c r="D11" s="19">
        <f t="shared" si="0"/>
        <v>32782091048.157436</v>
      </c>
      <c r="E11" s="19">
        <f t="shared" si="0"/>
        <v>10000000000</v>
      </c>
      <c r="F11" s="19">
        <f t="shared" si="0"/>
        <v>22771971406.901714</v>
      </c>
      <c r="G11" s="19">
        <f t="shared" si="0"/>
        <v>5558159265.584812</v>
      </c>
      <c r="H11" s="19">
        <f t="shared" si="0"/>
        <v>83519058085.4196</v>
      </c>
      <c r="I11" s="19">
        <f t="shared" si="0"/>
        <v>66815920489.89137</v>
      </c>
      <c r="J11" s="19">
        <f t="shared" si="0"/>
        <v>16703137595.528217</v>
      </c>
      <c r="K11" s="19">
        <f t="shared" si="0"/>
        <v>106291029492.32129</v>
      </c>
      <c r="L11" s="19" t="e">
        <f t="shared" si="0"/>
        <v>#REF!</v>
      </c>
      <c r="M11" s="19" t="e">
        <f>SUM(M7:M10)</f>
        <v>#REF!</v>
      </c>
      <c r="N11" s="28">
        <v>0.9370517374123527</v>
      </c>
      <c r="O11" s="19">
        <f aca="true" t="shared" si="1" ref="O11:T11">SUM(O7:O10)</f>
        <v>24339676489</v>
      </c>
      <c r="P11" s="19" t="e">
        <f t="shared" si="1"/>
        <v>#REF!</v>
      </c>
      <c r="Q11" s="19" t="e">
        <f t="shared" si="1"/>
        <v>#REF!</v>
      </c>
      <c r="R11" s="19" t="e">
        <f t="shared" si="1"/>
        <v>#REF!</v>
      </c>
      <c r="S11" s="19">
        <f t="shared" si="1"/>
        <v>76304932040</v>
      </c>
      <c r="T11" s="19">
        <f t="shared" si="1"/>
        <v>37609905364</v>
      </c>
      <c r="U11" s="19">
        <f>S11-T11</f>
        <v>38695026676</v>
      </c>
    </row>
    <row r="12" spans="2:20" ht="19.5" hidden="1">
      <c r="B12" s="394" t="s">
        <v>56</v>
      </c>
      <c r="C12" s="394"/>
      <c r="D12" s="394"/>
      <c r="E12" s="394"/>
      <c r="F12" s="394"/>
      <c r="G12" s="394"/>
      <c r="H12" s="394"/>
      <c r="I12" s="394"/>
      <c r="J12" s="394"/>
      <c r="K12" s="394"/>
      <c r="L12" s="394"/>
      <c r="M12" s="394"/>
      <c r="N12" s="394"/>
      <c r="O12" s="5"/>
      <c r="P12" s="5"/>
      <c r="Q12" s="5"/>
      <c r="R12" s="5"/>
      <c r="S12" s="5"/>
      <c r="T12" s="5"/>
    </row>
    <row r="13" spans="2:15" ht="21.75" customHeight="1" hidden="1">
      <c r="B13" s="394" t="s">
        <v>18</v>
      </c>
      <c r="C13" s="394"/>
      <c r="D13" s="394"/>
      <c r="E13" s="394"/>
      <c r="F13" s="394"/>
      <c r="G13" s="394"/>
      <c r="H13" s="394"/>
      <c r="I13" s="394"/>
      <c r="J13" s="394"/>
      <c r="K13" s="394"/>
      <c r="L13" s="394"/>
      <c r="M13" s="394"/>
      <c r="N13" s="394"/>
      <c r="O13" s="5"/>
    </row>
    <row r="14" ht="15" hidden="1"/>
    <row r="15" spans="4:15" ht="15" hidden="1">
      <c r="D15" s="10"/>
      <c r="E15" s="10"/>
      <c r="L15" s="9"/>
      <c r="M15" s="9"/>
      <c r="N15" s="9"/>
      <c r="O15" s="9"/>
    </row>
    <row r="16" spans="2:16" ht="62.25" customHeight="1" hidden="1">
      <c r="B16" s="20" t="s">
        <v>4</v>
      </c>
      <c r="C16" s="21" t="s">
        <v>240</v>
      </c>
      <c r="D16" s="21" t="s">
        <v>237</v>
      </c>
      <c r="E16" s="20" t="s">
        <v>239</v>
      </c>
      <c r="F16" s="21" t="s">
        <v>238</v>
      </c>
      <c r="G16" s="21" t="s">
        <v>411</v>
      </c>
      <c r="H16" s="21" t="s">
        <v>281</v>
      </c>
      <c r="I16" s="21" t="s">
        <v>412</v>
      </c>
      <c r="J16" s="21" t="s">
        <v>413</v>
      </c>
      <c r="M16" s="29"/>
      <c r="N16" s="29"/>
      <c r="P16" s="9"/>
    </row>
    <row r="17" spans="2:14" ht="19.5" hidden="1">
      <c r="B17" s="18" t="s">
        <v>2</v>
      </c>
      <c r="C17" s="6">
        <v>15002814726.3324</v>
      </c>
      <c r="D17" s="6">
        <v>15002814726.3324</v>
      </c>
      <c r="E17" s="6">
        <f>H7+F7</f>
        <v>56201533677.60981</v>
      </c>
      <c r="F17" s="16" t="e">
        <f>#REF!</f>
        <v>#REF!</v>
      </c>
      <c r="G17" s="16">
        <f>E17+O7</f>
        <v>68394887035.60981</v>
      </c>
      <c r="H17" s="16" t="e">
        <f>#REF!+#REF!</f>
        <v>#REF!</v>
      </c>
      <c r="I17" s="16" t="e">
        <f>G17-H17</f>
        <v>#REF!</v>
      </c>
      <c r="J17" s="6" t="e">
        <f>#REF!+#REF!+#REF!+#REF!+#REF!+#REF!+#REF!+#REF!</f>
        <v>#REF!</v>
      </c>
      <c r="K17" s="87"/>
      <c r="L17" s="87"/>
      <c r="M17" s="29"/>
      <c r="N17" s="29"/>
    </row>
    <row r="18" spans="2:14" ht="19.5" hidden="1">
      <c r="B18" s="18" t="s">
        <v>3</v>
      </c>
      <c r="C18" s="6">
        <v>10564981702</v>
      </c>
      <c r="D18" s="6">
        <v>10000000000</v>
      </c>
      <c r="E18" s="6">
        <f>H8+F8</f>
        <v>29032781528.248657</v>
      </c>
      <c r="F18" s="6" t="e">
        <f>#REF!</f>
        <v>#REF!</v>
      </c>
      <c r="G18" s="16">
        <f>E18+D18+O8</f>
        <v>47462517750.24866</v>
      </c>
      <c r="H18" s="16" t="e">
        <f>#REF!+#REF!+D18</f>
        <v>#REF!</v>
      </c>
      <c r="I18" s="16" t="e">
        <f>G18-H18</f>
        <v>#REF!</v>
      </c>
      <c r="J18" s="6">
        <f>'[1]PROYECTOS OCAD REGIONAL'!S5+'[1]PROYECTOS OCAD REGIONAL'!S8+'[1]PROYECTOS OCAD REGIONAL'!S6+D18</f>
        <v>20278271177</v>
      </c>
      <c r="K18" s="87"/>
      <c r="L18" s="87"/>
      <c r="M18" s="29"/>
      <c r="N18" s="29"/>
    </row>
    <row r="19" spans="2:14" ht="19.5" hidden="1">
      <c r="B19" s="18" t="s">
        <v>51</v>
      </c>
      <c r="C19" s="6">
        <v>7203086182.82504</v>
      </c>
      <c r="D19" s="6">
        <v>0</v>
      </c>
      <c r="E19" s="6">
        <f>H9+C19</f>
        <v>21052255383.200672</v>
      </c>
      <c r="F19" s="6" t="e">
        <f>#REF!</f>
        <v>#REF!</v>
      </c>
      <c r="G19" s="16">
        <f>E19+O9</f>
        <v>24768842292.200672</v>
      </c>
      <c r="H19" s="16" t="e">
        <f>SUM(F19)</f>
        <v>#REF!</v>
      </c>
      <c r="I19" s="16" t="e">
        <f>G19-H19</f>
        <v>#REF!</v>
      </c>
      <c r="J19" s="6">
        <v>9333663333</v>
      </c>
      <c r="K19" s="87"/>
      <c r="L19" s="87"/>
      <c r="M19" s="15"/>
      <c r="N19" s="15"/>
    </row>
    <row r="20" spans="2:14" ht="19.5" hidden="1">
      <c r="B20" s="18" t="s">
        <v>6</v>
      </c>
      <c r="C20" s="6">
        <v>11208437</v>
      </c>
      <c r="D20" s="6">
        <v>0</v>
      </c>
      <c r="E20" s="6">
        <v>4458903.262165811</v>
      </c>
      <c r="F20" s="6">
        <v>4458903</v>
      </c>
      <c r="G20" s="16">
        <f>E20+O10</f>
        <v>4458903.262165811</v>
      </c>
      <c r="H20" s="16">
        <f>SUM(F20)</f>
        <v>4458903</v>
      </c>
      <c r="I20" s="16">
        <f>G20-H20</f>
        <v>0.2621658109128475</v>
      </c>
      <c r="J20" s="6">
        <f>H20</f>
        <v>4458903</v>
      </c>
      <c r="K20" s="87"/>
      <c r="L20" s="87"/>
      <c r="M20" s="15"/>
      <c r="N20" s="15"/>
    </row>
    <row r="21" spans="2:12" ht="19.5" hidden="1">
      <c r="B21" s="18" t="s">
        <v>20</v>
      </c>
      <c r="C21" s="19">
        <f aca="true" t="shared" si="2" ref="C21:H21">SUM(C17:C20)</f>
        <v>32782091048.157436</v>
      </c>
      <c r="D21" s="19">
        <f t="shared" si="2"/>
        <v>25002814726.332397</v>
      </c>
      <c r="E21" s="19">
        <f t="shared" si="2"/>
        <v>106291029492.32129</v>
      </c>
      <c r="F21" s="19" t="e">
        <f t="shared" si="2"/>
        <v>#REF!</v>
      </c>
      <c r="G21" s="19">
        <f t="shared" si="2"/>
        <v>140630705981.32132</v>
      </c>
      <c r="H21" s="19" t="e">
        <f t="shared" si="2"/>
        <v>#REF!</v>
      </c>
      <c r="I21" s="19" t="e">
        <f>SUM(I17:I20)</f>
        <v>#REF!</v>
      </c>
      <c r="J21" s="19" t="e">
        <f>SUM(J17:J20)</f>
        <v>#REF!</v>
      </c>
      <c r="K21" s="87"/>
      <c r="L21" s="87"/>
    </row>
    <row r="22" ht="15" hidden="1">
      <c r="L22" s="87"/>
    </row>
    <row r="23" ht="15" hidden="1">
      <c r="D23" s="11"/>
    </row>
    <row r="24" spans="2:14" ht="27.75" customHeight="1" hidden="1">
      <c r="B24" s="393" t="s">
        <v>43</v>
      </c>
      <c r="C24" s="393"/>
      <c r="D24" s="393"/>
      <c r="E24" s="393"/>
      <c r="F24" s="393"/>
      <c r="G24" s="393"/>
      <c r="H24" s="393"/>
      <c r="I24" s="393"/>
      <c r="J24" s="393"/>
      <c r="K24" s="393"/>
      <c r="L24" s="393"/>
      <c r="M24" s="393"/>
      <c r="N24" s="393"/>
    </row>
    <row r="25" spans="2:14" ht="15" customHeight="1" hidden="1">
      <c r="B25" s="393"/>
      <c r="C25" s="393"/>
      <c r="D25" s="393"/>
      <c r="E25" s="393"/>
      <c r="F25" s="393"/>
      <c r="G25" s="393"/>
      <c r="H25" s="393"/>
      <c r="I25" s="393"/>
      <c r="J25" s="393"/>
      <c r="K25" s="393"/>
      <c r="L25" s="393"/>
      <c r="M25" s="393"/>
      <c r="N25" s="393"/>
    </row>
    <row r="26" spans="2:14" ht="19.5" hidden="1">
      <c r="B26" s="92"/>
      <c r="C26" s="393">
        <v>2014</v>
      </c>
      <c r="D26" s="393"/>
      <c r="E26" s="393"/>
      <c r="F26" s="393"/>
      <c r="G26" s="393"/>
      <c r="H26" s="393"/>
      <c r="I26" s="393"/>
      <c r="J26" s="393"/>
      <c r="K26" s="92"/>
      <c r="L26" s="393" t="s">
        <v>294</v>
      </c>
      <c r="M26" s="393"/>
      <c r="N26" s="393"/>
    </row>
    <row r="27" spans="2:14" ht="117" customHeight="1" hidden="1">
      <c r="B27" s="31" t="s">
        <v>4</v>
      </c>
      <c r="C27" s="31" t="s">
        <v>34</v>
      </c>
      <c r="D27" s="31" t="s">
        <v>59</v>
      </c>
      <c r="E27" s="31" t="s">
        <v>390</v>
      </c>
      <c r="F27" s="31" t="s">
        <v>391</v>
      </c>
      <c r="G27" s="31" t="s">
        <v>184</v>
      </c>
      <c r="H27" s="31" t="s">
        <v>388</v>
      </c>
      <c r="I27" s="31" t="s">
        <v>389</v>
      </c>
      <c r="J27" s="31" t="s">
        <v>295</v>
      </c>
      <c r="K27" s="31" t="s">
        <v>425</v>
      </c>
      <c r="L27" s="31" t="s">
        <v>299</v>
      </c>
      <c r="M27" s="31" t="s">
        <v>426</v>
      </c>
      <c r="N27" s="31" t="s">
        <v>427</v>
      </c>
    </row>
    <row r="28" spans="2:14" ht="19.5" hidden="1">
      <c r="B28" s="18" t="s">
        <v>2</v>
      </c>
      <c r="C28" s="19">
        <v>2544967148</v>
      </c>
      <c r="D28" s="19">
        <v>8392034555</v>
      </c>
      <c r="E28" s="13" t="e">
        <f>M7</f>
        <v>#REF!</v>
      </c>
      <c r="F28" s="13" t="e">
        <f>D28+E28</f>
        <v>#REF!</v>
      </c>
      <c r="G28" s="13">
        <v>12193353358</v>
      </c>
      <c r="H28" s="13">
        <f>D28+G28</f>
        <v>20585387913</v>
      </c>
      <c r="I28" s="13">
        <f>'[2]PROYECTOS NUEVOS 2015-2016 '!F20</f>
        <v>8392034555</v>
      </c>
      <c r="J28" s="13" t="e">
        <f>P7</f>
        <v>#REF!</v>
      </c>
      <c r="K28" s="13" t="e">
        <f>H28-(I28+J28)</f>
        <v>#REF!</v>
      </c>
      <c r="L28" s="13">
        <v>46489581288</v>
      </c>
      <c r="M28" s="13">
        <f>L28*0.5</f>
        <v>23244790644</v>
      </c>
      <c r="N28" s="13" t="e">
        <f>M28-J28+E28</f>
        <v>#REF!</v>
      </c>
    </row>
    <row r="29" spans="2:14" ht="25.5" customHeight="1" hidden="1">
      <c r="B29" s="18" t="s">
        <v>3</v>
      </c>
      <c r="C29" s="19">
        <v>1790302568</v>
      </c>
      <c r="D29" s="19">
        <v>5488660374.708401</v>
      </c>
      <c r="E29" s="13" t="e">
        <f>M8</f>
        <v>#REF!</v>
      </c>
      <c r="F29" s="13">
        <v>5488660374.708401</v>
      </c>
      <c r="G29" s="13">
        <v>8429736222</v>
      </c>
      <c r="H29" s="13">
        <f>D29+G29</f>
        <v>13918396596.7084</v>
      </c>
      <c r="I29" s="13">
        <f>'[2]PROYECTOS NUEVOS 2015-2016 '!G20</f>
        <v>5488660374.708401</v>
      </c>
      <c r="J29" s="13">
        <f>P8</f>
        <v>8210758109</v>
      </c>
      <c r="K29" s="13">
        <f>H29-(I29+J29)</f>
        <v>218978113</v>
      </c>
      <c r="L29" s="13">
        <v>32048715939</v>
      </c>
      <c r="M29" s="13">
        <f>L29*0.5</f>
        <v>16024357969.5</v>
      </c>
      <c r="N29" s="13" t="e">
        <f>M29-J29+E29</f>
        <v>#REF!</v>
      </c>
    </row>
    <row r="30" spans="2:14" ht="19.5" hidden="1">
      <c r="B30" s="18" t="s">
        <v>51</v>
      </c>
      <c r="C30" s="19">
        <v>1220608237.29</v>
      </c>
      <c r="D30" s="19">
        <v>2769833840.0751266</v>
      </c>
      <c r="E30" s="13" t="e">
        <f>M9</f>
        <v>#REF!</v>
      </c>
      <c r="F30" s="13" t="e">
        <f>D30+E30</f>
        <v>#REF!</v>
      </c>
      <c r="G30" s="13">
        <v>3716586909</v>
      </c>
      <c r="H30" s="13"/>
      <c r="I30" s="13">
        <v>0</v>
      </c>
      <c r="J30" s="13">
        <v>0</v>
      </c>
      <c r="K30" s="13">
        <f>H30-(I30+J30)</f>
        <v>0</v>
      </c>
      <c r="L30" s="13">
        <v>13510781368</v>
      </c>
      <c r="M30" s="13">
        <f>L30*0.5</f>
        <v>6755390684</v>
      </c>
      <c r="N30" s="13" t="e">
        <f>M30-J30+E30</f>
        <v>#REF!</v>
      </c>
    </row>
    <row r="31" spans="2:14" ht="19.5" hidden="1">
      <c r="B31" s="18" t="s">
        <v>6</v>
      </c>
      <c r="C31" s="19">
        <v>0</v>
      </c>
      <c r="D31" s="19">
        <v>0</v>
      </c>
      <c r="E31" s="13"/>
      <c r="F31" s="13"/>
      <c r="G31" s="13">
        <v>0</v>
      </c>
      <c r="H31" s="13"/>
      <c r="I31" s="13"/>
      <c r="J31" s="13">
        <v>0</v>
      </c>
      <c r="K31" s="13"/>
      <c r="L31" s="13">
        <v>19198520</v>
      </c>
      <c r="M31" s="13">
        <f>L31*0.5</f>
        <v>9599260</v>
      </c>
      <c r="N31" s="13">
        <f>M31-J31</f>
        <v>9599260</v>
      </c>
    </row>
    <row r="32" spans="2:14" ht="19.5" hidden="1">
      <c r="B32" s="18" t="s">
        <v>20</v>
      </c>
      <c r="C32" s="19">
        <f>SUM(C28:C31)</f>
        <v>5555877953.29</v>
      </c>
      <c r="D32" s="19">
        <v>16703137595.528217</v>
      </c>
      <c r="E32" s="19" t="e">
        <f aca="true" t="shared" si="3" ref="E32:J32">SUM(E28:E31)</f>
        <v>#REF!</v>
      </c>
      <c r="F32" s="19" t="e">
        <f t="shared" si="3"/>
        <v>#REF!</v>
      </c>
      <c r="G32" s="19">
        <f t="shared" si="3"/>
        <v>24339676489</v>
      </c>
      <c r="H32" s="19">
        <f t="shared" si="3"/>
        <v>34503784509.708405</v>
      </c>
      <c r="I32" s="19">
        <f t="shared" si="3"/>
        <v>13880694929.7084</v>
      </c>
      <c r="J32" s="19" t="e">
        <f t="shared" si="3"/>
        <v>#REF!</v>
      </c>
      <c r="K32" s="19" t="e">
        <f>SUM(K28:K30)</f>
        <v>#REF!</v>
      </c>
      <c r="L32" s="19">
        <f>SUM(L28:L31)</f>
        <v>92068277115</v>
      </c>
      <c r="M32" s="19">
        <f>SUM(M28:M30)</f>
        <v>46024539297.5</v>
      </c>
      <c r="N32" s="19" t="e">
        <f>SUM(N28:N30)</f>
        <v>#REF!</v>
      </c>
    </row>
    <row r="33" spans="2:13" ht="19.5" customHeight="1" hidden="1">
      <c r="B33" s="394" t="s">
        <v>301</v>
      </c>
      <c r="C33" s="394"/>
      <c r="D33" s="394"/>
      <c r="E33" s="394"/>
      <c r="F33" s="394"/>
      <c r="G33" s="394"/>
      <c r="H33" s="394"/>
      <c r="I33" s="394"/>
      <c r="J33" s="394"/>
      <c r="K33" s="394"/>
      <c r="L33" s="394"/>
      <c r="M33" s="5"/>
    </row>
    <row r="34" spans="2:15" ht="19.5" customHeight="1" hidden="1">
      <c r="B34" s="394" t="s">
        <v>302</v>
      </c>
      <c r="C34" s="394"/>
      <c r="D34" s="394"/>
      <c r="E34" s="394"/>
      <c r="F34" s="394"/>
      <c r="G34" s="394"/>
      <c r="H34" s="394"/>
      <c r="I34" s="394"/>
      <c r="J34" s="394"/>
      <c r="K34" s="394"/>
      <c r="L34" s="394"/>
      <c r="M34" s="5"/>
      <c r="N34" s="9"/>
      <c r="O34" s="9"/>
    </row>
    <row r="35" spans="2:15" ht="21.75" customHeight="1" hidden="1">
      <c r="B35" s="411" t="s">
        <v>18</v>
      </c>
      <c r="C35" s="411"/>
      <c r="D35" s="411"/>
      <c r="E35" s="411"/>
      <c r="F35" s="411"/>
      <c r="G35" s="411"/>
      <c r="H35" s="411"/>
      <c r="I35" s="411"/>
      <c r="J35" s="411"/>
      <c r="K35" s="411"/>
      <c r="L35" s="411"/>
      <c r="M35" s="5"/>
      <c r="N35" s="29"/>
      <c r="O35" s="29"/>
    </row>
    <row r="36" spans="2:15" ht="24.75" customHeight="1" hidden="1">
      <c r="B36" s="407" t="s">
        <v>439</v>
      </c>
      <c r="C36" s="408"/>
      <c r="D36" s="408"/>
      <c r="E36" s="408"/>
      <c r="F36" s="408"/>
      <c r="G36" s="408"/>
      <c r="H36" s="408"/>
      <c r="I36" s="408"/>
      <c r="J36" s="408"/>
      <c r="K36" s="408"/>
      <c r="L36" s="408"/>
      <c r="M36" s="408"/>
      <c r="N36" s="409"/>
      <c r="O36" s="29"/>
    </row>
    <row r="37" spans="4:15" ht="15" hidden="1">
      <c r="D37" s="11"/>
      <c r="N37" s="29"/>
      <c r="O37" s="29"/>
    </row>
    <row r="38" spans="4:15" ht="15" hidden="1">
      <c r="D38" s="11"/>
      <c r="N38" s="15"/>
      <c r="O38" s="15"/>
    </row>
    <row r="39" spans="2:13" ht="47.25" customHeight="1" hidden="1">
      <c r="B39" s="31" t="s">
        <v>432</v>
      </c>
      <c r="C39" s="31" t="s">
        <v>429</v>
      </c>
      <c r="D39" s="31" t="s">
        <v>430</v>
      </c>
      <c r="E39" s="31" t="s">
        <v>431</v>
      </c>
      <c r="F39" s="31" t="s">
        <v>436</v>
      </c>
      <c r="G39" s="31" t="s">
        <v>437</v>
      </c>
      <c r="I39" s="9"/>
      <c r="L39" s="9"/>
      <c r="M39" s="9"/>
    </row>
    <row r="40" spans="2:13" ht="39" hidden="1">
      <c r="B40" s="18" t="s">
        <v>433</v>
      </c>
      <c r="C40" s="13">
        <f>125000000+125000000+125000000</f>
        <v>375000000</v>
      </c>
      <c r="D40" s="13">
        <f>C40</f>
        <v>375000000</v>
      </c>
      <c r="E40" s="13">
        <f>276358994+1890000</f>
        <v>278248994</v>
      </c>
      <c r="F40" s="13">
        <f>D40-E40</f>
        <v>96751006</v>
      </c>
      <c r="G40" s="13">
        <v>257070872</v>
      </c>
      <c r="H40" s="9"/>
      <c r="L40" s="9"/>
      <c r="M40" s="9"/>
    </row>
    <row r="41" spans="2:7" ht="32.25" customHeight="1" hidden="1">
      <c r="B41" s="18" t="s">
        <v>434</v>
      </c>
      <c r="C41" s="13">
        <f>125000000</f>
        <v>125000000</v>
      </c>
      <c r="D41" s="13">
        <f>C41</f>
        <v>125000000</v>
      </c>
      <c r="E41" s="13">
        <v>119335859</v>
      </c>
      <c r="F41" s="13">
        <f>D41-E41</f>
        <v>5664141</v>
      </c>
      <c r="G41" s="13">
        <v>105529160</v>
      </c>
    </row>
    <row r="42" spans="2:7" ht="39" hidden="1">
      <c r="B42" s="18" t="s">
        <v>435</v>
      </c>
      <c r="C42" s="13">
        <v>45000000</v>
      </c>
      <c r="D42" s="13">
        <f>C42</f>
        <v>45000000</v>
      </c>
      <c r="E42" s="13">
        <v>39218039</v>
      </c>
      <c r="F42" s="13">
        <f>D42-E42</f>
        <v>5781961</v>
      </c>
      <c r="G42" s="13">
        <v>16731084</v>
      </c>
    </row>
    <row r="43" ht="15" hidden="1">
      <c r="I43" s="9"/>
    </row>
    <row r="44" ht="15" hidden="1"/>
    <row r="45" ht="15.75" hidden="1" thickBot="1"/>
    <row r="46" spans="2:21" ht="60" customHeight="1" hidden="1">
      <c r="B46" s="106" t="s">
        <v>4</v>
      </c>
      <c r="C46" s="107" t="s">
        <v>446</v>
      </c>
      <c r="D46" s="107" t="s">
        <v>237</v>
      </c>
      <c r="E46" s="107" t="s">
        <v>450</v>
      </c>
      <c r="F46" s="107" t="s">
        <v>447</v>
      </c>
      <c r="G46" s="107" t="s">
        <v>457</v>
      </c>
      <c r="H46" s="107" t="s">
        <v>238</v>
      </c>
      <c r="I46" s="107" t="s">
        <v>451</v>
      </c>
      <c r="J46" s="107" t="s">
        <v>448</v>
      </c>
      <c r="K46" s="107" t="s">
        <v>449</v>
      </c>
      <c r="L46" s="108" t="s">
        <v>453</v>
      </c>
      <c r="R46" s="9"/>
      <c r="S46" s="9"/>
      <c r="T46" s="9"/>
      <c r="U46" s="29"/>
    </row>
    <row r="47" spans="2:20" ht="19.5" hidden="1">
      <c r="B47" s="109" t="s">
        <v>2</v>
      </c>
      <c r="C47" s="6">
        <v>15002814726.3324</v>
      </c>
      <c r="D47" s="6">
        <v>0</v>
      </c>
      <c r="E47" s="6">
        <f>C47-D47</f>
        <v>15002814726.3324</v>
      </c>
      <c r="F47" s="6">
        <v>41198718951.27741</v>
      </c>
      <c r="G47" s="6">
        <f>F47+E47</f>
        <v>56201533677.60981</v>
      </c>
      <c r="H47" s="6" t="e">
        <f>SUM(#REF!)</f>
        <v>#REF!</v>
      </c>
      <c r="I47" s="6" t="e">
        <f>G47-H47</f>
        <v>#REF!</v>
      </c>
      <c r="J47" s="13">
        <f>(L28-(L28*0.3))*0.5</f>
        <v>16271353450.8</v>
      </c>
      <c r="K47" s="6" t="e">
        <f>#REF!</f>
        <v>#REF!</v>
      </c>
      <c r="L47" s="110" t="e">
        <f>J47-K47</f>
        <v>#REF!</v>
      </c>
      <c r="R47" s="9"/>
      <c r="S47" s="9"/>
      <c r="T47" s="9"/>
    </row>
    <row r="48" spans="2:12" ht="19.5" hidden="1">
      <c r="B48" s="109" t="s">
        <v>3</v>
      </c>
      <c r="C48" s="6">
        <v>10564981702</v>
      </c>
      <c r="D48" s="6">
        <v>10000000000</v>
      </c>
      <c r="E48" s="6">
        <f>C48-D48</f>
        <v>564981702</v>
      </c>
      <c r="F48" s="6">
        <v>28467799825.988056</v>
      </c>
      <c r="G48" s="6">
        <f>F48+E48</f>
        <v>29032781527.988056</v>
      </c>
      <c r="H48" s="6" t="e">
        <f>SUM(#REF!)</f>
        <v>#REF!</v>
      </c>
      <c r="I48" s="6" t="e">
        <f>G48-H48</f>
        <v>#REF!</v>
      </c>
      <c r="J48" s="13">
        <f>(L29-(L29*0.3))*0.5</f>
        <v>11217050578.650002</v>
      </c>
      <c r="K48" s="6" t="e">
        <f>SUM(#REF!)</f>
        <v>#REF!</v>
      </c>
      <c r="L48" s="110" t="e">
        <f>J48-K48</f>
        <v>#REF!</v>
      </c>
    </row>
    <row r="49" spans="2:12" ht="19.5" hidden="1">
      <c r="B49" s="109" t="s">
        <v>51</v>
      </c>
      <c r="C49" s="6">
        <v>7203086182.82504</v>
      </c>
      <c r="D49" s="6">
        <v>0</v>
      </c>
      <c r="E49" s="6">
        <f>C49-D49</f>
        <v>7203086182.82504</v>
      </c>
      <c r="F49" s="6">
        <v>13849169200.375633</v>
      </c>
      <c r="G49" s="6">
        <f>F49+E49</f>
        <v>21052255383.200672</v>
      </c>
      <c r="H49" s="6" t="e">
        <f>SUM(#REF!)</f>
        <v>#REF!</v>
      </c>
      <c r="I49" s="6" t="e">
        <f>G49-H49</f>
        <v>#REF!</v>
      </c>
      <c r="J49" s="13">
        <f>(L30-(L30*0.3))*0.5</f>
        <v>4728773478.8</v>
      </c>
      <c r="K49" s="6">
        <v>0</v>
      </c>
      <c r="L49" s="110">
        <f>J49-K49</f>
        <v>4728773478.8</v>
      </c>
    </row>
    <row r="50" spans="2:12" ht="19.5" hidden="1">
      <c r="B50" s="109" t="s">
        <v>6</v>
      </c>
      <c r="C50" s="6">
        <v>11208437</v>
      </c>
      <c r="D50" s="6">
        <v>0</v>
      </c>
      <c r="E50" s="6">
        <f>C50-D50</f>
        <v>11208437</v>
      </c>
      <c r="F50" s="6">
        <v>3370107.778488811</v>
      </c>
      <c r="G50" s="6">
        <f>F50+E50</f>
        <v>14578544.778488811</v>
      </c>
      <c r="H50" s="6" t="e">
        <f>SUM(#REF!)</f>
        <v>#REF!</v>
      </c>
      <c r="I50" s="6" t="e">
        <f>G50-H50</f>
        <v>#REF!</v>
      </c>
      <c r="J50" s="13">
        <v>9599260</v>
      </c>
      <c r="K50" s="6">
        <v>0</v>
      </c>
      <c r="L50" s="110">
        <f>J50-K50</f>
        <v>9599260</v>
      </c>
    </row>
    <row r="51" spans="2:12" ht="20.25" hidden="1" thickBot="1">
      <c r="B51" s="111" t="s">
        <v>20</v>
      </c>
      <c r="C51" s="112">
        <f>SUM(C47:C50)</f>
        <v>32782091048.157436</v>
      </c>
      <c r="D51" s="112">
        <f aca="true" t="shared" si="4" ref="D51:L51">SUM(D47:D50)</f>
        <v>10000000000</v>
      </c>
      <c r="E51" s="112">
        <f t="shared" si="4"/>
        <v>22782091048.15744</v>
      </c>
      <c r="F51" s="112">
        <f t="shared" si="4"/>
        <v>83519058085.4196</v>
      </c>
      <c r="G51" s="112">
        <f t="shared" si="4"/>
        <v>106301149133.57703</v>
      </c>
      <c r="H51" s="112" t="e">
        <f t="shared" si="4"/>
        <v>#REF!</v>
      </c>
      <c r="I51" s="112" t="e">
        <f t="shared" si="4"/>
        <v>#REF!</v>
      </c>
      <c r="J51" s="112">
        <f t="shared" si="4"/>
        <v>32226776768.25</v>
      </c>
      <c r="K51" s="112" t="e">
        <f t="shared" si="4"/>
        <v>#REF!</v>
      </c>
      <c r="L51" s="113" t="e">
        <f t="shared" si="4"/>
        <v>#REF!</v>
      </c>
    </row>
    <row r="52" ht="15" hidden="1"/>
    <row r="53" ht="15" hidden="1"/>
    <row r="54" spans="2:6" ht="78" hidden="1">
      <c r="B54" s="31" t="s">
        <v>4</v>
      </c>
      <c r="C54" s="31" t="s">
        <v>454</v>
      </c>
      <c r="D54" s="31" t="s">
        <v>455</v>
      </c>
      <c r="E54" s="31" t="s">
        <v>456</v>
      </c>
      <c r="F54" s="31" t="s">
        <v>462</v>
      </c>
    </row>
    <row r="55" spans="2:12" ht="19.5" hidden="1">
      <c r="B55" s="18" t="s">
        <v>2</v>
      </c>
      <c r="C55" s="6">
        <f>C47+F47+J47</f>
        <v>72472887128.4098</v>
      </c>
      <c r="D55" s="6" t="e">
        <f>D47+H47+K47</f>
        <v>#REF!</v>
      </c>
      <c r="E55" s="6">
        <v>40368758110</v>
      </c>
      <c r="F55" s="6">
        <v>40368758110</v>
      </c>
      <c r="K55" s="9"/>
      <c r="L55" s="9"/>
    </row>
    <row r="56" spans="2:6" ht="19.5" hidden="1">
      <c r="B56" s="18" t="s">
        <v>3</v>
      </c>
      <c r="C56" s="6">
        <f>C48+F48+J48</f>
        <v>50249832106.638054</v>
      </c>
      <c r="D56" s="6" t="e">
        <f>D48+H48+K48</f>
        <v>#REF!</v>
      </c>
      <c r="E56" s="6">
        <v>34133918332</v>
      </c>
      <c r="F56" s="6">
        <v>34133918332</v>
      </c>
    </row>
    <row r="57" spans="2:6" ht="19.5" hidden="1">
      <c r="B57" s="18" t="s">
        <v>51</v>
      </c>
      <c r="C57" s="6">
        <f>C49+F49+J49</f>
        <v>25781028862.00067</v>
      </c>
      <c r="D57" s="6" t="e">
        <f>D49+H49+K49</f>
        <v>#REF!</v>
      </c>
      <c r="E57" s="6">
        <v>12601661622</v>
      </c>
      <c r="F57" s="6">
        <v>12601661622</v>
      </c>
    </row>
    <row r="58" spans="2:6" ht="19.5" hidden="1">
      <c r="B58" s="18" t="s">
        <v>6</v>
      </c>
      <c r="C58" s="6">
        <f>C50+F50+J50</f>
        <v>24177804.77848881</v>
      </c>
      <c r="D58" s="6" t="e">
        <f>D50+H50+K50</f>
        <v>#REF!</v>
      </c>
      <c r="E58" s="6"/>
      <c r="F58" s="6">
        <v>0</v>
      </c>
    </row>
    <row r="59" spans="2:6" ht="19.5" hidden="1">
      <c r="B59" s="18" t="s">
        <v>20</v>
      </c>
      <c r="C59" s="105">
        <f>SUM(C55:C58)</f>
        <v>148527925901.82703</v>
      </c>
      <c r="D59" s="105" t="e">
        <f>SUM(D55:D58)</f>
        <v>#REF!</v>
      </c>
      <c r="E59" s="105">
        <f>SUM(E55:E58)</f>
        <v>87104338064</v>
      </c>
      <c r="F59" s="105">
        <f>SUM(F55:F58)</f>
        <v>87104338064</v>
      </c>
    </row>
    <row r="60" ht="15" hidden="1"/>
    <row r="61" ht="15.75" hidden="1" thickBot="1"/>
    <row r="62" spans="2:4" ht="39" customHeight="1" hidden="1">
      <c r="B62" s="403" t="s">
        <v>463</v>
      </c>
      <c r="C62" s="404"/>
      <c r="D62" s="114" t="s">
        <v>464</v>
      </c>
    </row>
    <row r="63" spans="2:4" ht="30" customHeight="1" hidden="1">
      <c r="B63" s="405" t="s">
        <v>465</v>
      </c>
      <c r="C63" s="406"/>
      <c r="D63" s="115" t="e">
        <f>COUNTIF(#REF!,"=APROBADO")</f>
        <v>#REF!</v>
      </c>
    </row>
    <row r="64" spans="2:4" ht="39.75" customHeight="1" hidden="1">
      <c r="B64" s="405" t="s">
        <v>461</v>
      </c>
      <c r="C64" s="406"/>
      <c r="D64" s="115" t="e">
        <f>COUNTIF(#REF!,"=EN PROCESO DE CONTRATACIÓN")</f>
        <v>#REF!</v>
      </c>
    </row>
    <row r="65" spans="2:4" ht="36.75" customHeight="1" hidden="1">
      <c r="B65" s="405" t="s">
        <v>460</v>
      </c>
      <c r="C65" s="406"/>
      <c r="D65" s="115" t="e">
        <f>COUNTIF(#REF!,"=EN EJECUCIÓN")</f>
        <v>#REF!</v>
      </c>
    </row>
    <row r="66" spans="2:4" ht="35.25" customHeight="1" hidden="1">
      <c r="B66" s="405" t="s">
        <v>466</v>
      </c>
      <c r="C66" s="406"/>
      <c r="D66" s="115" t="e">
        <f>COUNTIF(#REF!,"=TERMINADO")</f>
        <v>#REF!</v>
      </c>
    </row>
    <row r="67" spans="2:4" ht="35.25" customHeight="1" hidden="1">
      <c r="B67" s="405" t="s">
        <v>500</v>
      </c>
      <c r="C67" s="406"/>
      <c r="D67" s="115">
        <v>1</v>
      </c>
    </row>
    <row r="68" spans="2:4" ht="50.25" customHeight="1" hidden="1">
      <c r="B68" s="405" t="s">
        <v>503</v>
      </c>
      <c r="C68" s="406"/>
      <c r="D68" s="115">
        <v>4</v>
      </c>
    </row>
    <row r="69" spans="2:4" ht="35.25" customHeight="1" hidden="1">
      <c r="B69" s="405" t="s">
        <v>504</v>
      </c>
      <c r="C69" s="406"/>
      <c r="D69" s="115">
        <v>2</v>
      </c>
    </row>
    <row r="70" spans="2:4" ht="45" customHeight="1" hidden="1" thickBot="1">
      <c r="B70" s="401" t="s">
        <v>467</v>
      </c>
      <c r="C70" s="402"/>
      <c r="D70" s="116" t="e">
        <f>SUM(D63:D68)</f>
        <v>#REF!</v>
      </c>
    </row>
    <row r="71" ht="15" hidden="1"/>
    <row r="72" ht="15" hidden="1"/>
    <row r="73" spans="2:20" ht="15" customHeight="1" hidden="1">
      <c r="B73" s="393" t="s">
        <v>43</v>
      </c>
      <c r="C73" s="393"/>
      <c r="D73" s="393"/>
      <c r="E73" s="393"/>
      <c r="F73" s="393"/>
      <c r="G73" s="393"/>
      <c r="H73" s="393"/>
      <c r="I73" s="393"/>
      <c r="J73" s="393"/>
      <c r="K73" s="393"/>
      <c r="L73" s="393"/>
      <c r="M73" s="393"/>
      <c r="N73" s="393"/>
      <c r="O73" s="393"/>
      <c r="P73" s="393"/>
      <c r="Q73" s="393"/>
      <c r="R73" s="393"/>
      <c r="S73" s="393"/>
      <c r="T73" s="393"/>
    </row>
    <row r="74" spans="2:20" ht="15" customHeight="1" hidden="1">
      <c r="B74" s="393"/>
      <c r="C74" s="393"/>
      <c r="D74" s="393"/>
      <c r="E74" s="393"/>
      <c r="F74" s="393"/>
      <c r="G74" s="393"/>
      <c r="H74" s="393"/>
      <c r="I74" s="393"/>
      <c r="J74" s="393"/>
      <c r="K74" s="393"/>
      <c r="L74" s="393"/>
      <c r="M74" s="393"/>
      <c r="N74" s="393"/>
      <c r="O74" s="393"/>
      <c r="P74" s="393"/>
      <c r="Q74" s="393"/>
      <c r="R74" s="393"/>
      <c r="S74" s="393"/>
      <c r="T74" s="393"/>
    </row>
    <row r="75" spans="2:20" ht="19.5" hidden="1">
      <c r="B75" s="117"/>
      <c r="C75" s="393">
        <v>2012</v>
      </c>
      <c r="D75" s="393"/>
      <c r="E75" s="393"/>
      <c r="F75" s="393"/>
      <c r="G75" s="393"/>
      <c r="H75" s="393" t="s">
        <v>197</v>
      </c>
      <c r="I75" s="393"/>
      <c r="J75" s="393"/>
      <c r="K75" s="393"/>
      <c r="L75" s="393"/>
      <c r="M75" s="393"/>
      <c r="N75" s="393" t="s">
        <v>494</v>
      </c>
      <c r="O75" s="393"/>
      <c r="P75" s="393"/>
      <c r="Q75" s="393"/>
      <c r="R75" s="393"/>
      <c r="S75" s="393"/>
      <c r="T75" s="393"/>
    </row>
    <row r="76" spans="2:20" ht="105.75" customHeight="1" hidden="1">
      <c r="B76" s="22" t="s">
        <v>4</v>
      </c>
      <c r="C76" s="23" t="s">
        <v>469</v>
      </c>
      <c r="D76" s="23" t="s">
        <v>55</v>
      </c>
      <c r="E76" s="23" t="s">
        <v>22</v>
      </c>
      <c r="F76" s="23" t="s">
        <v>470</v>
      </c>
      <c r="G76" s="23" t="s">
        <v>482</v>
      </c>
      <c r="H76" s="23" t="s">
        <v>58</v>
      </c>
      <c r="I76" s="22" t="s">
        <v>60</v>
      </c>
      <c r="J76" s="23" t="s">
        <v>44</v>
      </c>
      <c r="K76" s="23" t="s">
        <v>291</v>
      </c>
      <c r="L76" s="118" t="s">
        <v>471</v>
      </c>
      <c r="M76" s="23" t="s">
        <v>472</v>
      </c>
      <c r="N76" s="17" t="s">
        <v>299</v>
      </c>
      <c r="O76" s="17" t="s">
        <v>474</v>
      </c>
      <c r="P76" s="22" t="s">
        <v>473</v>
      </c>
      <c r="Q76" s="22" t="s">
        <v>55</v>
      </c>
      <c r="R76" s="22" t="s">
        <v>483</v>
      </c>
      <c r="S76" s="22" t="s">
        <v>484</v>
      </c>
      <c r="T76" s="17" t="s">
        <v>493</v>
      </c>
    </row>
    <row r="77" spans="2:20" ht="19.5" hidden="1">
      <c r="B77" s="18" t="s">
        <v>2</v>
      </c>
      <c r="C77" s="6">
        <v>15002814726.3324</v>
      </c>
      <c r="D77" s="6">
        <v>0</v>
      </c>
      <c r="E77" s="6">
        <v>15002814726.3324</v>
      </c>
      <c r="F77" s="6">
        <v>15002814726.3324</v>
      </c>
      <c r="G77" s="6">
        <f>F77-C77</f>
        <v>0</v>
      </c>
      <c r="H77" s="6">
        <v>41198718951.27741</v>
      </c>
      <c r="I77" s="6">
        <f>E77+H77</f>
        <v>56201533677.60981</v>
      </c>
      <c r="J77" s="6">
        <v>56201533679.09</v>
      </c>
      <c r="K77" s="6">
        <f>I77-J77</f>
        <v>-1.4801864624023438</v>
      </c>
      <c r="L77" s="6">
        <v>39945284675.71084</v>
      </c>
      <c r="M77" s="6">
        <f>L77-H77</f>
        <v>-1253434275.566574</v>
      </c>
      <c r="N77" s="13">
        <v>46489581288</v>
      </c>
      <c r="O77" s="13">
        <f>N77-(N77*30%)</f>
        <v>32542706901.6</v>
      </c>
      <c r="P77" s="13">
        <f>O77*50%</f>
        <v>16271353450.8</v>
      </c>
      <c r="Q77" s="13">
        <v>15567980491.76498</v>
      </c>
      <c r="R77" s="13">
        <f>P77-Q77</f>
        <v>703372959.0350189</v>
      </c>
      <c r="S77" s="13">
        <f>R77+M77+G77</f>
        <v>-550061316.5315552</v>
      </c>
      <c r="T77" s="13">
        <f>O77*50%</f>
        <v>16271353450.8</v>
      </c>
    </row>
    <row r="78" spans="2:20" ht="25.5" customHeight="1" hidden="1">
      <c r="B78" s="18" t="s">
        <v>3</v>
      </c>
      <c r="C78" s="6">
        <v>10564981702</v>
      </c>
      <c r="D78" s="6">
        <v>10000000000</v>
      </c>
      <c r="E78" s="6">
        <v>564981702.2606</v>
      </c>
      <c r="F78" s="6">
        <f>10564981702+1790302568</f>
        <v>12355284270</v>
      </c>
      <c r="G78" s="6">
        <f>F78-C78</f>
        <v>1790302568</v>
      </c>
      <c r="H78" s="6">
        <v>28467799825.988056</v>
      </c>
      <c r="I78" s="6">
        <f>E78+H78</f>
        <v>29032781528.248657</v>
      </c>
      <c r="J78" s="6">
        <v>29031825452.518402</v>
      </c>
      <c r="K78" s="6">
        <f>I78-J78</f>
        <v>956075.730255127</v>
      </c>
      <c r="L78" s="6">
        <v>27603644055.989876</v>
      </c>
      <c r="M78" s="6">
        <f>L78-H78</f>
        <v>-864155769.9981804</v>
      </c>
      <c r="N78" s="13">
        <v>32048715939</v>
      </c>
      <c r="O78" s="13">
        <f>N78-(N78*30%)</f>
        <v>22434101157.300003</v>
      </c>
      <c r="P78" s="13">
        <f>O78*50%</f>
        <v>11217050578.650002</v>
      </c>
      <c r="Q78" s="13">
        <f>9210762304+32444013</f>
        <v>9243206317</v>
      </c>
      <c r="R78" s="13">
        <f>P78-Q78</f>
        <v>1973844261.6500015</v>
      </c>
      <c r="S78" s="13">
        <f>R78+M78+G78+K78</f>
        <v>2900947135.3820763</v>
      </c>
      <c r="T78" s="13">
        <f>O78*50%</f>
        <v>11217050578.650002</v>
      </c>
    </row>
    <row r="79" spans="2:20" ht="19.5" hidden="1">
      <c r="B79" s="18" t="s">
        <v>51</v>
      </c>
      <c r="C79" s="6">
        <v>7203086182.82504</v>
      </c>
      <c r="D79" s="6">
        <v>0</v>
      </c>
      <c r="E79" s="6">
        <v>7203086182.82504</v>
      </c>
      <c r="F79" s="6">
        <f>7203086182.82504+1220608237.29</f>
        <v>8423694420.11504</v>
      </c>
      <c r="G79" s="6">
        <f>F79-C79</f>
        <v>1220608237.29</v>
      </c>
      <c r="H79" s="6">
        <v>13849169200.375633</v>
      </c>
      <c r="I79" s="6">
        <f>E79+H79</f>
        <v>21052255383.200672</v>
      </c>
      <c r="J79" s="6">
        <v>19010456732</v>
      </c>
      <c r="K79" s="6">
        <f>I79-J79</f>
        <v>2041798651.2006721</v>
      </c>
      <c r="L79" s="6">
        <v>20737325135</v>
      </c>
      <c r="M79" s="6">
        <f>L79-I79</f>
        <v>-314930248.20067215</v>
      </c>
      <c r="N79" s="13">
        <v>13510781368</v>
      </c>
      <c r="O79" s="13">
        <f>N79-(N79*30%)</f>
        <v>9457546957.6</v>
      </c>
      <c r="P79" s="13">
        <f>O79*50%</f>
        <v>4728773478.8</v>
      </c>
      <c r="Q79" s="13">
        <v>0</v>
      </c>
      <c r="R79" s="13">
        <f>P79-Q79</f>
        <v>4728773478.8</v>
      </c>
      <c r="S79" s="13">
        <f>R79+M79+G79</f>
        <v>5634451467.889328</v>
      </c>
      <c r="T79" s="13">
        <f>O79*50%</f>
        <v>4728773478.8</v>
      </c>
    </row>
    <row r="80" spans="2:20" ht="40.5" customHeight="1" hidden="1">
      <c r="B80" s="18" t="s">
        <v>6</v>
      </c>
      <c r="C80" s="6">
        <v>11208437</v>
      </c>
      <c r="D80" s="6">
        <v>0</v>
      </c>
      <c r="E80" s="6">
        <v>1088795.483677</v>
      </c>
      <c r="F80" s="6">
        <v>11208437</v>
      </c>
      <c r="G80" s="6">
        <f>F80-C80</f>
        <v>0</v>
      </c>
      <c r="H80" s="6">
        <v>3370107.778488811</v>
      </c>
      <c r="I80" s="6">
        <f>H80+F80</f>
        <v>14578544.778488811</v>
      </c>
      <c r="J80" s="6">
        <v>4458903</v>
      </c>
      <c r="K80" s="6">
        <f>I80-J80</f>
        <v>10119641.778488811</v>
      </c>
      <c r="L80" s="6">
        <f>I80-J80</f>
        <v>10119641.778488811</v>
      </c>
      <c r="M80" s="6"/>
      <c r="N80" s="13">
        <v>19198520</v>
      </c>
      <c r="O80" s="13"/>
      <c r="P80" s="14"/>
      <c r="Q80" s="13"/>
      <c r="R80" s="13"/>
      <c r="S80" s="13"/>
      <c r="T80" s="13"/>
    </row>
    <row r="81" spans="2:20" ht="19.5" hidden="1">
      <c r="B81" s="18" t="s">
        <v>20</v>
      </c>
      <c r="C81" s="19">
        <f aca="true" t="shared" si="5" ref="C81:J81">SUM(C77:C80)</f>
        <v>32782091048.157436</v>
      </c>
      <c r="D81" s="19">
        <f t="shared" si="5"/>
        <v>10000000000</v>
      </c>
      <c r="E81" s="19">
        <f t="shared" si="5"/>
        <v>22771971406.901714</v>
      </c>
      <c r="F81" s="19">
        <f>SUM(F77:F80)</f>
        <v>35793001853.44743</v>
      </c>
      <c r="G81" s="19"/>
      <c r="H81" s="19">
        <f t="shared" si="5"/>
        <v>83519058085.4196</v>
      </c>
      <c r="I81" s="19">
        <f t="shared" si="5"/>
        <v>106301149133.83762</v>
      </c>
      <c r="J81" s="19">
        <f t="shared" si="5"/>
        <v>104248274766.6084</v>
      </c>
      <c r="K81" s="19">
        <f>SUM(K77:K80)</f>
        <v>2052874367.2292297</v>
      </c>
      <c r="L81" s="19">
        <f>SUM(L77:L80)</f>
        <v>88296373508.4792</v>
      </c>
      <c r="M81" s="19">
        <f>SUM(M77:M80)</f>
        <v>-2432520293.7654266</v>
      </c>
      <c r="N81" s="19">
        <f>SUM(N77:N80)</f>
        <v>92068277115</v>
      </c>
      <c r="O81" s="19">
        <f>SUM(O77:O80)</f>
        <v>64434355016.5</v>
      </c>
      <c r="P81" s="19">
        <f>SUM(P77:P80)</f>
        <v>32217177508.25</v>
      </c>
      <c r="Q81" s="19">
        <f>SUM(Q77:Q80)</f>
        <v>24811186808.76498</v>
      </c>
      <c r="R81" s="19">
        <f>SUM(R77:R80)</f>
        <v>7405990699.485021</v>
      </c>
      <c r="S81" s="19">
        <f>SUM(S77:S80)</f>
        <v>7985337286.739849</v>
      </c>
      <c r="T81" s="19">
        <f>SUM(T77:T80)</f>
        <v>32217177508.25</v>
      </c>
    </row>
    <row r="82" spans="2:20" ht="19.5" hidden="1">
      <c r="B82" s="394" t="s">
        <v>56</v>
      </c>
      <c r="C82" s="394"/>
      <c r="D82" s="394"/>
      <c r="E82" s="394"/>
      <c r="F82" s="394"/>
      <c r="G82" s="394"/>
      <c r="H82" s="394"/>
      <c r="I82" s="394"/>
      <c r="J82" s="394"/>
      <c r="K82" s="394"/>
      <c r="L82" s="394"/>
      <c r="M82" s="394"/>
      <c r="N82" s="394"/>
      <c r="O82" s="5"/>
      <c r="P82" s="5"/>
      <c r="Q82" s="5"/>
      <c r="R82" s="5"/>
      <c r="S82" s="5"/>
      <c r="T82" s="5"/>
    </row>
    <row r="83" spans="2:15" ht="21.75" customHeight="1" hidden="1">
      <c r="B83" s="394" t="s">
        <v>18</v>
      </c>
      <c r="C83" s="394"/>
      <c r="D83" s="394"/>
      <c r="E83" s="394"/>
      <c r="F83" s="394"/>
      <c r="G83" s="394"/>
      <c r="H83" s="394"/>
      <c r="I83" s="394"/>
      <c r="J83" s="394"/>
      <c r="K83" s="394"/>
      <c r="L83" s="394"/>
      <c r="M83" s="394"/>
      <c r="N83" s="394"/>
      <c r="O83" s="5"/>
    </row>
    <row r="84" ht="15" hidden="1"/>
    <row r="85" ht="15" hidden="1"/>
    <row r="86" ht="15" hidden="1"/>
    <row r="87" ht="15.75" hidden="1" thickBot="1"/>
    <row r="88" spans="2:17" ht="63.75" customHeight="1" hidden="1">
      <c r="B88" s="106" t="s">
        <v>4</v>
      </c>
      <c r="C88" s="119" t="s">
        <v>475</v>
      </c>
      <c r="D88" s="119" t="s">
        <v>55</v>
      </c>
      <c r="E88" s="119" t="s">
        <v>476</v>
      </c>
      <c r="F88" s="119" t="s">
        <v>477</v>
      </c>
      <c r="G88" s="119" t="s">
        <v>478</v>
      </c>
      <c r="H88" s="119" t="s">
        <v>479</v>
      </c>
      <c r="I88" s="119" t="s">
        <v>55</v>
      </c>
      <c r="J88" s="119" t="s">
        <v>480</v>
      </c>
      <c r="K88" s="119" t="s">
        <v>481</v>
      </c>
      <c r="Q88" s="9"/>
    </row>
    <row r="89" spans="2:11" ht="29.25" customHeight="1" hidden="1">
      <c r="B89" s="109" t="s">
        <v>2</v>
      </c>
      <c r="C89" s="6">
        <f>F77+L77</f>
        <v>54948099402.043236</v>
      </c>
      <c r="D89" s="6">
        <f>J77+D77</f>
        <v>56201533679.09</v>
      </c>
      <c r="E89" s="6">
        <f>C89-D89</f>
        <v>-1253434277.0467606</v>
      </c>
      <c r="F89" s="6">
        <v>46489581288</v>
      </c>
      <c r="G89" s="6">
        <v>32542706901.6</v>
      </c>
      <c r="H89" s="6">
        <f>G89*0.5</f>
        <v>16271353450.8</v>
      </c>
      <c r="I89" s="6">
        <v>15567980491.76498</v>
      </c>
      <c r="J89" s="6">
        <f>H89-I89</f>
        <v>703372959.0350189</v>
      </c>
      <c r="K89" s="110">
        <f>J89+E89</f>
        <v>-550061318.0117416</v>
      </c>
    </row>
    <row r="90" spans="2:11" ht="23.25" customHeight="1" hidden="1">
      <c r="B90" s="109" t="s">
        <v>3</v>
      </c>
      <c r="C90" s="6">
        <f>F78+L78</f>
        <v>39958928325.989876</v>
      </c>
      <c r="D90" s="6">
        <f>J78+D78</f>
        <v>39031825452.5184</v>
      </c>
      <c r="E90" s="6">
        <f>C90-D90</f>
        <v>927102873.4714737</v>
      </c>
      <c r="F90" s="6">
        <v>32048715939</v>
      </c>
      <c r="G90" s="6">
        <v>22434101157.300003</v>
      </c>
      <c r="H90" s="6">
        <f>G90*0.5</f>
        <v>11217050578.650002</v>
      </c>
      <c r="I90" s="6">
        <v>9243206317</v>
      </c>
      <c r="J90" s="6">
        <f>H90-I90</f>
        <v>1973844261.6500015</v>
      </c>
      <c r="K90" s="110">
        <f>J90+E90</f>
        <v>2900947135.121475</v>
      </c>
    </row>
    <row r="91" spans="2:11" ht="21.75" customHeight="1" hidden="1">
      <c r="B91" s="109" t="s">
        <v>51</v>
      </c>
      <c r="C91" s="6">
        <v>21957933372.71344</v>
      </c>
      <c r="D91" s="6">
        <v>19010456732</v>
      </c>
      <c r="E91" s="6">
        <f>C91-D91</f>
        <v>2947476640.71344</v>
      </c>
      <c r="F91" s="6">
        <v>13510781368</v>
      </c>
      <c r="G91" s="6">
        <f>F91-(F91*30%)</f>
        <v>9457546957.6</v>
      </c>
      <c r="H91" s="6">
        <f>G91*0.5</f>
        <v>4728773478.8</v>
      </c>
      <c r="I91" s="6">
        <v>0</v>
      </c>
      <c r="J91" s="6">
        <f>H91-I91</f>
        <v>4728773478.8</v>
      </c>
      <c r="K91" s="110">
        <f>J91+E91</f>
        <v>7676250119.51344</v>
      </c>
    </row>
    <row r="92" spans="2:11" ht="20.25" hidden="1" thickBot="1">
      <c r="B92" s="111" t="s">
        <v>20</v>
      </c>
      <c r="C92" s="120">
        <f aca="true" t="shared" si="6" ref="C92:K92">SUM(C89:C91)</f>
        <v>116864961100.74655</v>
      </c>
      <c r="D92" s="120">
        <f t="shared" si="6"/>
        <v>114243815863.6084</v>
      </c>
      <c r="E92" s="120">
        <f t="shared" si="6"/>
        <v>2621145237.138153</v>
      </c>
      <c r="F92" s="120">
        <f t="shared" si="6"/>
        <v>92049078595</v>
      </c>
      <c r="G92" s="120">
        <f t="shared" si="6"/>
        <v>64434355016.5</v>
      </c>
      <c r="H92" s="120">
        <f t="shared" si="6"/>
        <v>32217177508.25</v>
      </c>
      <c r="I92" s="120">
        <f t="shared" si="6"/>
        <v>24811186808.76498</v>
      </c>
      <c r="J92" s="120">
        <f t="shared" si="6"/>
        <v>7405990699.485021</v>
      </c>
      <c r="K92" s="121">
        <f t="shared" si="6"/>
        <v>10027135936.623173</v>
      </c>
    </row>
    <row r="94" ht="15.75" thickBot="1"/>
    <row r="95" spans="2:25" ht="15" customHeight="1">
      <c r="B95" s="398" t="s">
        <v>549</v>
      </c>
      <c r="C95" s="399"/>
      <c r="D95" s="399"/>
      <c r="E95" s="399"/>
      <c r="F95" s="399"/>
      <c r="G95" s="399"/>
      <c r="H95" s="399"/>
      <c r="I95" s="399"/>
      <c r="J95" s="399"/>
      <c r="K95" s="399"/>
      <c r="L95" s="399"/>
      <c r="M95" s="399"/>
      <c r="N95" s="399"/>
      <c r="O95" s="399"/>
      <c r="P95" s="399"/>
      <c r="Q95" s="399"/>
      <c r="R95" s="399"/>
      <c r="S95" s="399"/>
      <c r="T95" s="399"/>
      <c r="U95" s="399"/>
      <c r="V95" s="399"/>
      <c r="W95" s="399"/>
      <c r="X95" s="399"/>
      <c r="Y95" s="400"/>
    </row>
    <row r="96" spans="2:25" ht="15.75" customHeight="1" thickBot="1">
      <c r="B96" s="395"/>
      <c r="C96" s="396"/>
      <c r="D96" s="396"/>
      <c r="E96" s="396"/>
      <c r="F96" s="396"/>
      <c r="G96" s="396"/>
      <c r="H96" s="396"/>
      <c r="I96" s="396"/>
      <c r="J96" s="396"/>
      <c r="K96" s="396"/>
      <c r="L96" s="396"/>
      <c r="M96" s="396"/>
      <c r="N96" s="396"/>
      <c r="O96" s="396"/>
      <c r="P96" s="396"/>
      <c r="Q96" s="396"/>
      <c r="R96" s="396"/>
      <c r="S96" s="396"/>
      <c r="T96" s="396"/>
      <c r="U96" s="396"/>
      <c r="V96" s="396"/>
      <c r="W96" s="396"/>
      <c r="X96" s="396"/>
      <c r="Y96" s="397"/>
    </row>
    <row r="97" spans="2:25" ht="20.25" thickBot="1">
      <c r="B97" s="169"/>
      <c r="C97" s="395">
        <v>2012</v>
      </c>
      <c r="D97" s="396"/>
      <c r="E97" s="396"/>
      <c r="F97" s="396"/>
      <c r="G97" s="396"/>
      <c r="H97" s="397"/>
      <c r="I97" s="395" t="s">
        <v>197</v>
      </c>
      <c r="J97" s="396"/>
      <c r="K97" s="396"/>
      <c r="L97" s="396"/>
      <c r="M97" s="396"/>
      <c r="N97" s="396"/>
      <c r="O97" s="396"/>
      <c r="P97" s="397"/>
      <c r="Q97" s="170"/>
      <c r="R97" s="171"/>
      <c r="S97" s="171" t="s">
        <v>294</v>
      </c>
      <c r="T97" s="171"/>
      <c r="U97" s="171"/>
      <c r="V97" s="171"/>
      <c r="W97" s="171"/>
      <c r="X97" s="171"/>
      <c r="Y97" s="172"/>
    </row>
    <row r="98" spans="2:25" ht="84" customHeight="1">
      <c r="B98" s="22" t="s">
        <v>4</v>
      </c>
      <c r="C98" s="23" t="s">
        <v>54</v>
      </c>
      <c r="D98" s="23" t="s">
        <v>55</v>
      </c>
      <c r="E98" s="23" t="s">
        <v>567</v>
      </c>
      <c r="F98" s="23" t="s">
        <v>568</v>
      </c>
      <c r="G98" s="23" t="s">
        <v>22</v>
      </c>
      <c r="H98" s="23" t="s">
        <v>516</v>
      </c>
      <c r="I98" s="23" t="s">
        <v>58</v>
      </c>
      <c r="J98" s="22" t="s">
        <v>60</v>
      </c>
      <c r="K98" s="23" t="s">
        <v>569</v>
      </c>
      <c r="L98" s="118" t="s">
        <v>570</v>
      </c>
      <c r="M98" s="17" t="s">
        <v>515</v>
      </c>
      <c r="N98" s="17" t="s">
        <v>514</v>
      </c>
      <c r="O98" s="17" t="s">
        <v>241</v>
      </c>
      <c r="P98" s="22" t="s">
        <v>571</v>
      </c>
      <c r="Q98" s="22" t="s">
        <v>513</v>
      </c>
      <c r="R98" s="22" t="s">
        <v>512</v>
      </c>
      <c r="S98" s="17" t="s">
        <v>511</v>
      </c>
      <c r="T98" s="17" t="s">
        <v>510</v>
      </c>
      <c r="U98" s="17" t="s">
        <v>509</v>
      </c>
      <c r="V98" s="122" t="s">
        <v>508</v>
      </c>
      <c r="W98" s="17" t="s">
        <v>507</v>
      </c>
      <c r="X98" s="17" t="s">
        <v>506</v>
      </c>
      <c r="Y98" s="17" t="s">
        <v>505</v>
      </c>
    </row>
    <row r="99" spans="2:25" ht="19.5">
      <c r="B99" s="18" t="s">
        <v>2</v>
      </c>
      <c r="C99" s="6">
        <v>15002814726.3324</v>
      </c>
      <c r="D99" s="6">
        <v>0</v>
      </c>
      <c r="E99" s="6">
        <v>0</v>
      </c>
      <c r="F99" s="6">
        <f>C99-E99</f>
        <v>15002814726.3324</v>
      </c>
      <c r="G99" s="6">
        <v>15002814726.3324</v>
      </c>
      <c r="H99" s="6">
        <v>17547781874.2</v>
      </c>
      <c r="I99" s="6">
        <v>41198718951.27741</v>
      </c>
      <c r="J99" s="6">
        <f>G99+I99</f>
        <v>56201533677.60981</v>
      </c>
      <c r="K99" s="6">
        <v>56201533679.09</v>
      </c>
      <c r="L99" s="6">
        <f>I99+F99</f>
        <v>56201533677.60981</v>
      </c>
      <c r="M99" s="13">
        <v>54948099402</v>
      </c>
      <c r="N99" s="13">
        <f>M99-K99</f>
        <v>-1253434277.0899963</v>
      </c>
      <c r="O99" s="13">
        <v>40368758110</v>
      </c>
      <c r="P99" s="13">
        <f>M99-O99</f>
        <v>14579341292</v>
      </c>
      <c r="Q99" s="13">
        <v>0</v>
      </c>
      <c r="R99" s="13">
        <f>P99</f>
        <v>14579341292</v>
      </c>
      <c r="S99" s="13">
        <v>46489581288</v>
      </c>
      <c r="T99" s="13">
        <f>S99+R99+Q99</f>
        <v>61068922580</v>
      </c>
      <c r="U99" s="13">
        <f>S99-(S99*30%)</f>
        <v>32542706901.6</v>
      </c>
      <c r="V99" s="13">
        <f>S99+Q99</f>
        <v>46489581288</v>
      </c>
      <c r="W99" s="173">
        <f>(U99*50%)+N99+Q99</f>
        <v>15017919173.710003</v>
      </c>
      <c r="X99" s="13">
        <f>15600424505-32444013</f>
        <v>15567980492</v>
      </c>
      <c r="Y99" s="13">
        <f>W99-X99</f>
        <v>-550061318.2899971</v>
      </c>
    </row>
    <row r="100" spans="2:25" ht="19.5">
      <c r="B100" s="18" t="s">
        <v>3</v>
      </c>
      <c r="C100" s="6">
        <v>10564981702</v>
      </c>
      <c r="D100" s="6">
        <v>10000000000</v>
      </c>
      <c r="E100" s="6">
        <v>6200615900</v>
      </c>
      <c r="F100" s="6">
        <f>C100-E100</f>
        <v>4364365802</v>
      </c>
      <c r="G100" s="6">
        <v>564981702.2606</v>
      </c>
      <c r="H100" s="6">
        <v>12355284270.56</v>
      </c>
      <c r="I100" s="6">
        <v>28467799825.9881</v>
      </c>
      <c r="J100" s="6">
        <f>I100+G100</f>
        <v>29032781528.2487</v>
      </c>
      <c r="K100" s="6">
        <v>29031825452.5184</v>
      </c>
      <c r="L100" s="6">
        <f>I100+F100</f>
        <v>32832165627.9881</v>
      </c>
      <c r="M100" s="13">
        <f>27603644056+G100</f>
        <v>28168625758.2606</v>
      </c>
      <c r="N100" s="13">
        <f>M100-K100</f>
        <v>-863199694.2577972</v>
      </c>
      <c r="O100" s="13">
        <v>27933302432</v>
      </c>
      <c r="P100" s="13">
        <f>M100-O100</f>
        <v>235323326.26060104</v>
      </c>
      <c r="Q100" s="13">
        <v>1790302568</v>
      </c>
      <c r="R100" s="13">
        <f>P100</f>
        <v>235323326.26060104</v>
      </c>
      <c r="S100" s="13">
        <v>32048715939</v>
      </c>
      <c r="T100" s="13">
        <f>S100+R100+Q100</f>
        <v>34074341833.2606</v>
      </c>
      <c r="U100" s="13">
        <f>S100-(S100*30%)</f>
        <v>22434101157.300003</v>
      </c>
      <c r="V100" s="13">
        <f>S100+Q100</f>
        <v>33839018507</v>
      </c>
      <c r="W100" s="173">
        <f>(U100*50%)+N100+Q100</f>
        <v>12144153452.392204</v>
      </c>
      <c r="X100" s="13">
        <f>9210762304+32444013</f>
        <v>9243206317</v>
      </c>
      <c r="Y100" s="13">
        <f>W100-X100</f>
        <v>2900947135.3922043</v>
      </c>
    </row>
    <row r="101" spans="2:25" ht="19.5">
      <c r="B101" s="18" t="s">
        <v>51</v>
      </c>
      <c r="C101" s="6">
        <v>7203086182.82504</v>
      </c>
      <c r="D101" s="6">
        <v>0</v>
      </c>
      <c r="E101" s="6">
        <v>0</v>
      </c>
      <c r="F101" s="6">
        <f>C101-E101</f>
        <v>7203086182.82504</v>
      </c>
      <c r="G101" s="6">
        <v>7203086182.82504</v>
      </c>
      <c r="H101" s="6">
        <v>8423694420.12</v>
      </c>
      <c r="I101" s="6">
        <v>13849169200.375633</v>
      </c>
      <c r="J101" s="6">
        <f>G101+I101</f>
        <v>21052255383.200672</v>
      </c>
      <c r="K101" s="6">
        <v>19010456732</v>
      </c>
      <c r="L101" s="6">
        <f>I101+F101</f>
        <v>21052255383.200672</v>
      </c>
      <c r="M101" s="13">
        <v>20737325135</v>
      </c>
      <c r="N101" s="13">
        <f>M101-K101</f>
        <v>1726868403</v>
      </c>
      <c r="O101" s="13">
        <v>12601661622</v>
      </c>
      <c r="P101" s="13">
        <f>M101-O101</f>
        <v>8135663513</v>
      </c>
      <c r="Q101" s="13">
        <v>1220608237.29</v>
      </c>
      <c r="R101" s="13">
        <f>P101</f>
        <v>8135663513</v>
      </c>
      <c r="S101" s="13">
        <v>13510781368</v>
      </c>
      <c r="T101" s="13">
        <f>S101+R101+Q101</f>
        <v>22867053118.29</v>
      </c>
      <c r="U101" s="13">
        <f>S101-(S101*30%)</f>
        <v>9457546957.6</v>
      </c>
      <c r="V101" s="13">
        <f>S101+Q101</f>
        <v>14731389605.29</v>
      </c>
      <c r="W101" s="173">
        <f>(U101*50%)+N101+Q101</f>
        <v>7676250119.09</v>
      </c>
      <c r="X101" s="13">
        <v>0</v>
      </c>
      <c r="Y101" s="13">
        <f>W101-X101</f>
        <v>7676250119.09</v>
      </c>
    </row>
    <row r="102" spans="2:25" ht="19.5">
      <c r="B102" s="18" t="s">
        <v>6</v>
      </c>
      <c r="C102" s="6">
        <v>2157663.974859</v>
      </c>
      <c r="D102" s="6">
        <v>0</v>
      </c>
      <c r="E102" s="6">
        <v>0</v>
      </c>
      <c r="F102" s="6">
        <f>C102-E102</f>
        <v>2157663.974859</v>
      </c>
      <c r="G102" s="6">
        <v>1088795.483677</v>
      </c>
      <c r="H102" s="6">
        <v>4478339</v>
      </c>
      <c r="I102" s="6">
        <v>3370107.778488811</v>
      </c>
      <c r="J102" s="6">
        <f>I102+G102</f>
        <v>4458903.262165811</v>
      </c>
      <c r="K102" s="6">
        <v>4458903</v>
      </c>
      <c r="L102" s="6">
        <f>I102+F102</f>
        <v>5527771.753347811</v>
      </c>
      <c r="M102" s="13">
        <f>K102+G102</f>
        <v>5547698.483677</v>
      </c>
      <c r="N102" s="13">
        <f>M102-K102</f>
        <v>1088795.4836769998</v>
      </c>
      <c r="O102" s="13"/>
      <c r="P102" s="14"/>
      <c r="Q102" s="13">
        <v>2281312.2948118113</v>
      </c>
      <c r="R102" s="13"/>
      <c r="S102" s="13">
        <v>19198520</v>
      </c>
      <c r="T102" s="13">
        <f>S102+R102+Q102</f>
        <v>21479832.29481181</v>
      </c>
      <c r="U102" s="13">
        <f>S102-(S102*30%)</f>
        <v>13438964</v>
      </c>
      <c r="V102" s="13">
        <f>S102+Q102</f>
        <v>21479832.29481181</v>
      </c>
      <c r="W102" s="173">
        <f>(U102*50%)+N102+Q102</f>
        <v>10089589.778488811</v>
      </c>
      <c r="Y102" s="13"/>
    </row>
    <row r="103" spans="2:25" ht="19.5">
      <c r="B103" s="18" t="s">
        <v>20</v>
      </c>
      <c r="C103" s="19">
        <f aca="true" t="shared" si="7" ref="C103:O103">SUM(C99:C102)</f>
        <v>32773040275.132294</v>
      </c>
      <c r="D103" s="19">
        <f t="shared" si="7"/>
        <v>10000000000</v>
      </c>
      <c r="E103" s="19">
        <f t="shared" si="7"/>
        <v>6200615900</v>
      </c>
      <c r="F103" s="19">
        <f t="shared" si="7"/>
        <v>26572424375.132294</v>
      </c>
      <c r="G103" s="19">
        <f t="shared" si="7"/>
        <v>22771971406.901714</v>
      </c>
      <c r="H103" s="19">
        <f t="shared" si="7"/>
        <v>38331238903.880005</v>
      </c>
      <c r="I103" s="19">
        <f t="shared" si="7"/>
        <v>83519058085.41963</v>
      </c>
      <c r="J103" s="19">
        <f t="shared" si="7"/>
        <v>106291029492.32133</v>
      </c>
      <c r="K103" s="19">
        <f t="shared" si="7"/>
        <v>104248274766.6084</v>
      </c>
      <c r="L103" s="19">
        <f t="shared" si="7"/>
        <v>110091482460.55191</v>
      </c>
      <c r="M103" s="19">
        <f t="shared" si="7"/>
        <v>103859597993.74428</v>
      </c>
      <c r="N103" s="19">
        <f t="shared" si="7"/>
        <v>-388676772.86411655</v>
      </c>
      <c r="O103" s="19">
        <f t="shared" si="7"/>
        <v>80903722164</v>
      </c>
      <c r="P103" s="19">
        <f>SUM(P99:P102)</f>
        <v>22950328131.2606</v>
      </c>
      <c r="Q103" s="19">
        <f>SUM(Q99:Q102)</f>
        <v>3013192117.5848117</v>
      </c>
      <c r="R103" s="19">
        <f>SUM(R99:R102)</f>
        <v>22950328131.2606</v>
      </c>
      <c r="S103" s="19">
        <f aca="true" t="shared" si="8" ref="S103:Y103">SUM(S99:S102)</f>
        <v>92068277115</v>
      </c>
      <c r="T103" s="19">
        <f t="shared" si="8"/>
        <v>118031797363.84541</v>
      </c>
      <c r="U103" s="19">
        <f t="shared" si="8"/>
        <v>64447793980.5</v>
      </c>
      <c r="V103" s="19">
        <f t="shared" si="8"/>
        <v>95081469232.58482</v>
      </c>
      <c r="W103" s="174">
        <f t="shared" si="8"/>
        <v>34848412334.970695</v>
      </c>
      <c r="X103" s="19">
        <f t="shared" si="8"/>
        <v>24811186809</v>
      </c>
      <c r="Y103" s="19">
        <f t="shared" si="8"/>
        <v>10027135936.192207</v>
      </c>
    </row>
    <row r="104" spans="2:21" ht="19.5">
      <c r="B104" s="394" t="s">
        <v>56</v>
      </c>
      <c r="C104" s="394"/>
      <c r="D104" s="394"/>
      <c r="E104" s="394"/>
      <c r="F104" s="394"/>
      <c r="G104" s="394"/>
      <c r="H104" s="394"/>
      <c r="I104" s="394"/>
      <c r="J104" s="394"/>
      <c r="K104" s="394"/>
      <c r="L104" s="394"/>
      <c r="M104" s="394"/>
      <c r="N104" s="394"/>
      <c r="O104" s="5"/>
      <c r="P104" s="5"/>
      <c r="Q104" s="5"/>
      <c r="R104" s="5"/>
      <c r="S104" s="5"/>
      <c r="T104" s="5"/>
      <c r="U104" s="5"/>
    </row>
    <row r="105" spans="2:16" ht="19.5">
      <c r="B105" s="394" t="s">
        <v>18</v>
      </c>
      <c r="C105" s="394"/>
      <c r="D105" s="394"/>
      <c r="E105" s="394"/>
      <c r="F105" s="394"/>
      <c r="G105" s="394"/>
      <c r="H105" s="394"/>
      <c r="I105" s="394"/>
      <c r="J105" s="394"/>
      <c r="K105" s="394"/>
      <c r="L105" s="394"/>
      <c r="M105" s="394"/>
      <c r="N105" s="394"/>
      <c r="O105" s="5"/>
      <c r="P105" s="5"/>
    </row>
    <row r="106" ht="15">
      <c r="M106" s="9"/>
    </row>
    <row r="108" spans="2:13" ht="32.25" customHeight="1" thickBot="1">
      <c r="B108" s="393" t="s">
        <v>556</v>
      </c>
      <c r="C108" s="393"/>
      <c r="D108" s="393"/>
      <c r="E108" s="393"/>
      <c r="F108" s="393"/>
      <c r="G108" s="393"/>
      <c r="H108" s="393"/>
      <c r="I108" s="393"/>
      <c r="J108" s="393"/>
      <c r="K108" s="393"/>
      <c r="L108" s="393"/>
      <c r="M108" s="393"/>
    </row>
    <row r="109" spans="2:15" ht="58.5">
      <c r="B109" s="106" t="s">
        <v>4</v>
      </c>
      <c r="C109" s="119" t="s">
        <v>552</v>
      </c>
      <c r="D109" s="119" t="s">
        <v>550</v>
      </c>
      <c r="E109" s="119" t="s">
        <v>553</v>
      </c>
      <c r="F109" s="119" t="s">
        <v>551</v>
      </c>
      <c r="G109" s="107" t="s">
        <v>513</v>
      </c>
      <c r="H109" s="164" t="s">
        <v>511</v>
      </c>
      <c r="I109" s="164" t="s">
        <v>554</v>
      </c>
      <c r="J109" s="164" t="s">
        <v>557</v>
      </c>
      <c r="K109" s="164" t="s">
        <v>572</v>
      </c>
      <c r="L109" s="164" t="s">
        <v>449</v>
      </c>
      <c r="M109" s="165" t="s">
        <v>555</v>
      </c>
      <c r="N109" s="9"/>
      <c r="O109" s="9"/>
    </row>
    <row r="110" spans="2:13" ht="19.5">
      <c r="B110" s="109" t="s">
        <v>2</v>
      </c>
      <c r="C110" s="6">
        <f>C99+I99</f>
        <v>56201533677.60981</v>
      </c>
      <c r="D110" s="6">
        <f>K99</f>
        <v>56201533679.09</v>
      </c>
      <c r="E110" s="6">
        <f>M99</f>
        <v>54948099402</v>
      </c>
      <c r="F110" s="6">
        <f>E110-D110</f>
        <v>-1253434277.0899963</v>
      </c>
      <c r="G110" s="13">
        <v>0</v>
      </c>
      <c r="H110" s="13">
        <v>46489581288</v>
      </c>
      <c r="I110" s="13">
        <f>H110-(H110*30%)</f>
        <v>32542706901.6</v>
      </c>
      <c r="J110" s="13">
        <f>I110*50%</f>
        <v>16271353450.8</v>
      </c>
      <c r="K110" s="13">
        <f>J110+G110+F110</f>
        <v>15017919173.710003</v>
      </c>
      <c r="L110" s="13">
        <v>15567980492</v>
      </c>
      <c r="M110" s="166">
        <f>K110-L110</f>
        <v>-550061318.2899971</v>
      </c>
    </row>
    <row r="111" spans="2:13" ht="19.5">
      <c r="B111" s="109" t="s">
        <v>3</v>
      </c>
      <c r="C111" s="6">
        <f>C100+I100</f>
        <v>39032781527.9881</v>
      </c>
      <c r="D111" s="6">
        <f>K100+D100</f>
        <v>39031825452.5184</v>
      </c>
      <c r="E111" s="6">
        <f>D100+M100</f>
        <v>38168625758.260605</v>
      </c>
      <c r="F111" s="6">
        <f>E111-D111</f>
        <v>-863199694.2577972</v>
      </c>
      <c r="G111" s="13">
        <v>1790302568</v>
      </c>
      <c r="H111" s="13">
        <v>32048715939</v>
      </c>
      <c r="I111" s="13">
        <f>H111-(H111*30%)</f>
        <v>22434101157.300003</v>
      </c>
      <c r="J111" s="13">
        <f>I111*50%</f>
        <v>11217050578.650002</v>
      </c>
      <c r="K111" s="13">
        <f>J111+G111+F111</f>
        <v>12144153452.392204</v>
      </c>
      <c r="L111" s="13">
        <v>9243206317</v>
      </c>
      <c r="M111" s="166">
        <f>K111-L111</f>
        <v>2900947135.3922043</v>
      </c>
    </row>
    <row r="112" spans="2:13" ht="19.5">
      <c r="B112" s="109" t="s">
        <v>51</v>
      </c>
      <c r="C112" s="6">
        <f>C101+I101</f>
        <v>21052255383.200672</v>
      </c>
      <c r="D112" s="6">
        <f>K101</f>
        <v>19010456732</v>
      </c>
      <c r="E112" s="6">
        <f>M101</f>
        <v>20737325135</v>
      </c>
      <c r="F112" s="6">
        <f>E112-D112</f>
        <v>1726868403</v>
      </c>
      <c r="G112" s="13">
        <v>1220608237.29</v>
      </c>
      <c r="H112" s="13">
        <v>13510781368</v>
      </c>
      <c r="I112" s="13">
        <f>H112-(H112*30%)</f>
        <v>9457546957.6</v>
      </c>
      <c r="J112" s="13">
        <f>I112*50%</f>
        <v>4728773478.8</v>
      </c>
      <c r="K112" s="13">
        <f>J112+G112+F112</f>
        <v>7676250119.09</v>
      </c>
      <c r="L112" s="13">
        <v>0</v>
      </c>
      <c r="M112" s="166">
        <f>K112-L112</f>
        <v>7676250119.09</v>
      </c>
    </row>
    <row r="113" spans="2:13" ht="19.5">
      <c r="B113" s="109" t="s">
        <v>6</v>
      </c>
      <c r="C113" s="6">
        <f>C102+I102</f>
        <v>5527771.753347811</v>
      </c>
      <c r="D113" s="6">
        <v>4458903</v>
      </c>
      <c r="E113" s="6">
        <f>K102+G102</f>
        <v>5547698.483677</v>
      </c>
      <c r="F113" s="6">
        <f>E113-D113</f>
        <v>1088795.4836769998</v>
      </c>
      <c r="G113" s="13">
        <v>2281312.2948118113</v>
      </c>
      <c r="H113" s="13">
        <v>19198520</v>
      </c>
      <c r="I113" s="13">
        <f>H113-(H113*30%)</f>
        <v>13438964</v>
      </c>
      <c r="J113" s="13">
        <f>I113*50%</f>
        <v>6719482</v>
      </c>
      <c r="K113" s="13">
        <f>J113+G113+F113</f>
        <v>10089589.778488811</v>
      </c>
      <c r="L113" s="13">
        <v>0</v>
      </c>
      <c r="M113" s="166">
        <f>K113-L113</f>
        <v>10089589.778488811</v>
      </c>
    </row>
    <row r="114" spans="2:13" ht="20.25" thickBot="1">
      <c r="B114" s="111" t="s">
        <v>20</v>
      </c>
      <c r="C114" s="120">
        <f>SUM(C110:C113)</f>
        <v>116292098360.55191</v>
      </c>
      <c r="D114" s="120">
        <f>SUM(D110:D113)</f>
        <v>114248274766.6084</v>
      </c>
      <c r="E114" s="120">
        <f>SUM(E110:E113)</f>
        <v>113859597993.74428</v>
      </c>
      <c r="F114" s="120">
        <f>SUM(F110:F113)</f>
        <v>-388676772.86411655</v>
      </c>
      <c r="G114" s="120">
        <f>SUM(G110:G113)</f>
        <v>3013192117.5848117</v>
      </c>
      <c r="H114" s="120">
        <f>SUM(H110:H113)</f>
        <v>92068277115</v>
      </c>
      <c r="I114" s="120">
        <f>SUM(I110:I113)</f>
        <v>64447793980.5</v>
      </c>
      <c r="J114" s="120">
        <f>SUM(J110:J113)</f>
        <v>32223896990.25</v>
      </c>
      <c r="K114" s="120">
        <f>SUM(K110:K113)</f>
        <v>34848412334.970695</v>
      </c>
      <c r="L114" s="120">
        <f>SUM(L110:L113)</f>
        <v>24811186809</v>
      </c>
      <c r="M114" s="121">
        <f>SUM(M110:M113)</f>
        <v>10037225525.970695</v>
      </c>
    </row>
    <row r="118" spans="2:5" ht="46.5" customHeight="1" hidden="1">
      <c r="B118" s="390" t="s">
        <v>566</v>
      </c>
      <c r="C118" s="391"/>
      <c r="D118" s="391"/>
      <c r="E118" s="392"/>
    </row>
    <row r="119" spans="2:5" ht="23.25" hidden="1">
      <c r="B119" s="156" t="s">
        <v>226</v>
      </c>
      <c r="C119" s="153" t="s">
        <v>227</v>
      </c>
      <c r="D119" s="153" t="s">
        <v>228</v>
      </c>
      <c r="E119" s="157" t="s">
        <v>410</v>
      </c>
    </row>
    <row r="120" spans="2:5" ht="23.25" hidden="1">
      <c r="B120" s="158" t="s">
        <v>229</v>
      </c>
      <c r="C120" s="154">
        <f>'ANEXO 9 CONSOLIDADO PROYECTOS'!Q7+'ANEXO 9 CONSOLIDADO PROYECTOS'!Q19</f>
        <v>7735750000</v>
      </c>
      <c r="D120" s="155">
        <f aca="true" t="shared" si="9" ref="D120:D134">(C120*100%)/$C$135</f>
        <v>0.04996786847287508</v>
      </c>
      <c r="E120" s="162">
        <f>COUNTIF('ANEXO 9 CONSOLIDADO PROYECTOS'!$E$7:$E$59,"Ambiente")</f>
        <v>3</v>
      </c>
    </row>
    <row r="121" spans="2:5" ht="23.25" hidden="1">
      <c r="B121" s="158" t="s">
        <v>12</v>
      </c>
      <c r="C121" s="154">
        <f>'ANEXO 9 CONSOLIDADO PROYECTOS'!Q8+'ANEXO 9 CONSOLIDADO PROYECTOS'!Q10+'ANEXO 9 CONSOLIDADO PROYECTOS'!Q13+'ANEXO 9 CONSOLIDADO PROYECTOS'!Q14+'ANEXO 9 CONSOLIDADO PROYECTOS'!Q23+'ANEXO 9 CONSOLIDADO PROYECTOS'!Q27+'ANEXO 9 CONSOLIDADO PROYECTOS'!Q34+'ANEXO 9 CONSOLIDADO PROYECTOS'!Q40+'ANEXO 9 CONSOLIDADO PROYECTOS'!Q41+'ANEXO 9 CONSOLIDADO PROYECTOS'!Q45+'ANEXO 9 CONSOLIDADO PROYECTOS'!Q46+'ANEXO 9 CONSOLIDADO PROYECTOS'!Q47+'ANEXO 9 CONSOLIDADO PROYECTOS'!Q48+'ANEXO 9 CONSOLIDADO PROYECTOS'!Q50+'ANEXO 9 CONSOLIDADO PROYECTOS'!Q54+'ANEXO 9 CONSOLIDADO PROYECTOS'!Q56+'ANEXO 9 CONSOLIDADO PROYECTOS'!Q57+'ANEXO 9 CONSOLIDADO PROYECTOS'!Q58+'ANEXO 9 CONSOLIDADO PROYECTOS'!Q59</f>
        <v>46041615130.18498</v>
      </c>
      <c r="D121" s="155">
        <f t="shared" si="9"/>
        <v>0.29739861928110634</v>
      </c>
      <c r="E121" s="162">
        <f>COUNTIF('ANEXO 9 CONSOLIDADO PROYECTOS'!$E$7:$E$59,"=Transporte")</f>
        <v>19</v>
      </c>
    </row>
    <row r="122" spans="2:5" ht="23.25" hidden="1">
      <c r="B122" s="158" t="s">
        <v>13</v>
      </c>
      <c r="C122" s="154">
        <f>'ANEXO 9 CONSOLIDADO PROYECTOS'!Q9+'ANEXO 9 CONSOLIDADO PROYECTOS'!Q18+'ANEXO 9 CONSOLIDADO PROYECTOS'!Q21</f>
        <v>13297820065.05</v>
      </c>
      <c r="D122" s="155">
        <f t="shared" si="9"/>
        <v>0.08589519102690463</v>
      </c>
      <c r="E122" s="162">
        <f>COUNTIF('ANEXO 9 CONSOLIDADO PROYECTOS'!$E$7:$E$59,"Salud")</f>
        <v>3</v>
      </c>
    </row>
    <row r="123" spans="2:5" ht="23.25" hidden="1">
      <c r="B123" s="158" t="s">
        <v>234</v>
      </c>
      <c r="C123" s="154">
        <f>'ANEXO 9 CONSOLIDADO PROYECTOS'!Q11+'ANEXO 9 CONSOLIDADO PROYECTOS'!Q16+'ANEXO 9 CONSOLIDADO PROYECTOS'!Q22+'ANEXO 9 CONSOLIDADO PROYECTOS'!Q36+'ANEXO 9 CONSOLIDADO PROYECTOS'!Q49</f>
        <v>23635714275.99</v>
      </c>
      <c r="D123" s="155">
        <f t="shared" si="9"/>
        <v>0.15267120346509702</v>
      </c>
      <c r="E123" s="162">
        <f>COUNTIF('ANEXO 9 CONSOLIDADO PROYECTOS'!$E$7:$E$59,"Saneamiento Basico ")</f>
        <v>5</v>
      </c>
    </row>
    <row r="124" spans="2:5" ht="23.25" hidden="1">
      <c r="B124" s="158" t="s">
        <v>230</v>
      </c>
      <c r="C124" s="154">
        <f>'ANEXO 9 CONSOLIDADO PROYECTOS'!Q20</f>
        <v>9000000000</v>
      </c>
      <c r="D124" s="155">
        <f t="shared" si="9"/>
        <v>0.05813409381842429</v>
      </c>
      <c r="E124" s="162">
        <f>COUNTIF(C118:C119,"TIC")</f>
        <v>0</v>
      </c>
    </row>
    <row r="125" spans="2:5" ht="23.25" hidden="1">
      <c r="B125" s="158" t="s">
        <v>15</v>
      </c>
      <c r="C125" s="154">
        <f>'ANEXO 9 CONSOLIDADO PROYECTOS'!Q17+'ANEXO 9 CONSOLIDADO PROYECTOS'!Q24+'ANEXO 9 CONSOLIDADO PROYECTOS'!Q38+'ANEXO 9 CONSOLIDADO PROYECTOS'!Q44</f>
        <v>10313376122.5184</v>
      </c>
      <c r="D125" s="155">
        <f t="shared" si="9"/>
        <v>0.06661764167679796</v>
      </c>
      <c r="E125" s="162">
        <f>COUNTIF('ANEXO 9 CONSOLIDADO PROYECTOS'!$E$7:$E$59,"Cultura")</f>
        <v>4</v>
      </c>
    </row>
    <row r="126" spans="2:5" ht="23.25" hidden="1">
      <c r="B126" s="158" t="s">
        <v>231</v>
      </c>
      <c r="C126" s="154">
        <f>'ANEXO 9 CONSOLIDADO PROYECTOS'!Q15</f>
        <v>7327870746</v>
      </c>
      <c r="D126" s="155">
        <f t="shared" si="9"/>
        <v>0.047333236159694536</v>
      </c>
      <c r="E126" s="162">
        <f>COUNTIF('ANEXO 9 CONSOLIDADO PROYECTOS'!$E$7:$E$59,"Minas y energia")</f>
        <v>1</v>
      </c>
    </row>
    <row r="127" spans="2:5" ht="23.25" hidden="1">
      <c r="B127" s="158" t="s">
        <v>9</v>
      </c>
      <c r="C127" s="154">
        <f>'ANEXO 9 CONSOLIDADO PROYECTOS'!Q12</f>
        <v>1000500000</v>
      </c>
      <c r="D127" s="155">
        <f t="shared" si="9"/>
        <v>0.006462573429481501</v>
      </c>
      <c r="E127" s="162">
        <f>COUNTIF('ANEXO 9 CONSOLIDADO PROYECTOS'!$E$7:$E$59,"agricultura")</f>
        <v>1</v>
      </c>
    </row>
    <row r="128" spans="2:5" ht="23.25" hidden="1">
      <c r="B128" s="158" t="s">
        <v>233</v>
      </c>
      <c r="C128" s="154">
        <f>'ANEXO 9 CONSOLIDADO PROYECTOS'!Q35</f>
        <v>2830855494</v>
      </c>
      <c r="D128" s="155">
        <f t="shared" si="9"/>
        <v>0.018285468763844206</v>
      </c>
      <c r="E128" s="162">
        <f>COUNTIF('ANEXO 9 CONSOLIDADO PROYECTOS'!$E$7:$E$59,"educación")</f>
        <v>1</v>
      </c>
    </row>
    <row r="129" spans="2:5" ht="23.25" hidden="1">
      <c r="B129" s="158" t="s">
        <v>235</v>
      </c>
      <c r="C129" s="154">
        <f>'ANEXO 9 CONSOLIDADO PROYECTOS'!Q33+'ANEXO 9 CONSOLIDADO PROYECTOS'!Q37</f>
        <v>6754101005</v>
      </c>
      <c r="D129" s="155">
        <f t="shared" si="9"/>
        <v>0.04362706016486487</v>
      </c>
      <c r="E129" s="162">
        <f>COUNTIF('ANEXO 9 CONSOLIDADO PROYECTOS'!$E$7:$E$59,"turismo")</f>
        <v>2</v>
      </c>
    </row>
    <row r="130" spans="2:5" ht="23.25" hidden="1">
      <c r="B130" s="158" t="s">
        <v>232</v>
      </c>
      <c r="C130" s="154">
        <f>'ANEXO 9 CONSOLIDADO PROYECTOS'!Q28+'ANEXO 9 CONSOLIDADO PROYECTOS'!Q29+'ANEXO 9 CONSOLIDADO PROYECTOS'!Q30+'ANEXO 9 CONSOLIDADO PROYECTOS'!Q31+'ANEXO 9 CONSOLIDADO PROYECTOS'!Q32</f>
        <v>19010456732</v>
      </c>
      <c r="D130" s="155">
        <f t="shared" si="9"/>
        <v>0.12279507502102041</v>
      </c>
      <c r="E130" s="162">
        <f>COUNTIF('ANEXO 9 CONSOLIDADO PROYECTOS'!$E$7:$E$59,"CTeI")</f>
        <v>5</v>
      </c>
    </row>
    <row r="131" spans="2:5" ht="23.25" hidden="1">
      <c r="B131" s="158" t="s">
        <v>141</v>
      </c>
      <c r="C131" s="154">
        <f>'ANEXO 9 CONSOLIDADO PROYECTOS'!Q25+'ANEXO 9 CONSOLIDADO PROYECTOS'!Q39+'ANEXO 9 CONSOLIDADO PROYECTOS'!Q42+'ANEXO 9 CONSOLIDADO PROYECTOS'!Q51</f>
        <v>5841847491</v>
      </c>
      <c r="D131" s="155">
        <f t="shared" si="9"/>
        <v>0.037734501123857844</v>
      </c>
      <c r="E131" s="162">
        <f>COUNTIF('ANEXO 9 CONSOLIDADO PROYECTOS'!$E$7:$E$59,"Deporte y recreación")</f>
        <v>4</v>
      </c>
    </row>
    <row r="132" spans="2:5" ht="23.25" hidden="1">
      <c r="B132" s="158" t="s">
        <v>445</v>
      </c>
      <c r="C132" s="154">
        <f>'ANEXO 9 CONSOLIDADO PROYECTOS'!Q26</f>
        <v>837450000</v>
      </c>
      <c r="D132" s="155">
        <f t="shared" si="9"/>
        <v>0.00540937742980438</v>
      </c>
      <c r="E132" s="162">
        <f>COUNTIF('ANEXO 9 CONSOLIDADO PROYECTOS'!$E$7:$E$59,"Justicia y seguridad")</f>
        <v>1</v>
      </c>
    </row>
    <row r="133" spans="2:5" ht="23.25" hidden="1">
      <c r="B133" s="158" t="s">
        <v>547</v>
      </c>
      <c r="C133" s="154">
        <f>'ANEXO 9 CONSOLIDADO PROYECTOS'!Q55</f>
        <v>687633943</v>
      </c>
      <c r="D133" s="155">
        <f t="shared" si="9"/>
        <v>0.00444166401723278</v>
      </c>
      <c r="E133" s="162">
        <f>COUNTIF('ANEXO 9 CONSOLIDADO PROYECTOS'!$E$7:$E$59,"Infraestructura Publica")</f>
        <v>1</v>
      </c>
    </row>
    <row r="134" spans="2:5" ht="23.25" hidden="1">
      <c r="B134" s="158" t="s">
        <v>548</v>
      </c>
      <c r="C134" s="154">
        <f>'ANEXO 9 CONSOLIDADO PROYECTOS'!Q52</f>
        <v>499497514</v>
      </c>
      <c r="D134" s="155">
        <f t="shared" si="9"/>
        <v>0.003226426148993967</v>
      </c>
      <c r="E134" s="162">
        <f>COUNTIF('ANEXO 9 CONSOLIDADO PROYECTOS'!$E$7:$E$59,"Vivienda y Desarrollo Urbano ")</f>
        <v>2</v>
      </c>
    </row>
    <row r="135" spans="2:5" ht="24" hidden="1" thickBot="1">
      <c r="B135" s="159" t="s">
        <v>227</v>
      </c>
      <c r="C135" s="160">
        <f>SUM(C120:C134)</f>
        <v>154814488518.7434</v>
      </c>
      <c r="D135" s="161">
        <f>SUM(D120:D134)</f>
        <v>0.9999999999999997</v>
      </c>
      <c r="E135" s="163">
        <f>SUM(E120:E134)</f>
        <v>52</v>
      </c>
    </row>
    <row r="136" spans="5:12" ht="15">
      <c r="E136" s="9"/>
      <c r="F136" s="9"/>
      <c r="L136" s="9"/>
    </row>
    <row r="137" ht="15">
      <c r="J137" s="9"/>
    </row>
  </sheetData>
  <sheetProtection selectLockedCells="1" selectUnlockedCells="1"/>
  <mergeCells count="34">
    <mergeCell ref="B12:N12"/>
    <mergeCell ref="B13:N13"/>
    <mergeCell ref="B35:L35"/>
    <mergeCell ref="L26:N26"/>
    <mergeCell ref="B95:Y96"/>
    <mergeCell ref="B34:L34"/>
    <mergeCell ref="B3:Y4"/>
    <mergeCell ref="B70:C70"/>
    <mergeCell ref="B62:C62"/>
    <mergeCell ref="B63:C63"/>
    <mergeCell ref="B64:C64"/>
    <mergeCell ref="B65:C65"/>
    <mergeCell ref="B66:C66"/>
    <mergeCell ref="B67:C67"/>
    <mergeCell ref="B68:C68"/>
    <mergeCell ref="B69:C69"/>
    <mergeCell ref="B36:N36"/>
    <mergeCell ref="C5:G5"/>
    <mergeCell ref="H5:U5"/>
    <mergeCell ref="B24:N25"/>
    <mergeCell ref="C26:J26"/>
    <mergeCell ref="B33:L33"/>
    <mergeCell ref="B118:E118"/>
    <mergeCell ref="B108:M108"/>
    <mergeCell ref="B73:T74"/>
    <mergeCell ref="C75:G75"/>
    <mergeCell ref="B82:N82"/>
    <mergeCell ref="B83:N83"/>
    <mergeCell ref="H75:M75"/>
    <mergeCell ref="N75:T75"/>
    <mergeCell ref="B104:N104"/>
    <mergeCell ref="B105:N105"/>
    <mergeCell ref="C97:H97"/>
    <mergeCell ref="I97:P97"/>
  </mergeCells>
  <printOptions/>
  <pageMargins left="1.58" right="0.7" top="0.75" bottom="0.75" header="0.3" footer="0.3"/>
  <pageSetup horizontalDpi="600" verticalDpi="600" orientation="landscape" paperSize="5" scale="75" r:id="rId2"/>
  <ignoredErrors>
    <ignoredError sqref="F99:F100 E110 E112:E114 D110 D112:D114 C110 J99 J102:J103 G103:I103 C103:E103 K103 L99:L100 M102:M103 F101:F103 L101:L103 H114 C112:C114 M100 N103 N99:N102 P99:P103 R99:R103 T101:U102 C111 F113:F114 F110:F112 I110:K114 L114 M110:M114 T99:U99 T100:U100 Y99:Y102 V101:W102 V103:Y103 X101:X102 V100" unlockedFormula="1"/>
    <ignoredError sqref="J100:J101 D111:E111" formula="1" unlockedFormula="1"/>
  </ignoredErrors>
  <drawing r:id="rId1"/>
</worksheet>
</file>

<file path=xl/worksheets/sheet3.xml><?xml version="1.0" encoding="utf-8"?>
<worksheet xmlns="http://schemas.openxmlformats.org/spreadsheetml/2006/main" xmlns:r="http://schemas.openxmlformats.org/officeDocument/2006/relationships">
  <dimension ref="B3:U47"/>
  <sheetViews>
    <sheetView showGridLines="0" zoomScale="70" zoomScaleNormal="70" zoomScalePageLayoutView="0" workbookViewId="0" topLeftCell="E15">
      <selection activeCell="H27" sqref="H27"/>
    </sheetView>
  </sheetViews>
  <sheetFormatPr defaultColWidth="11.421875" defaultRowHeight="15"/>
  <cols>
    <col min="2" max="2" width="40.57421875" style="0" customWidth="1"/>
    <col min="3" max="4" width="34.421875" style="0" customWidth="1"/>
    <col min="5" max="5" width="30.28125" style="0" customWidth="1"/>
    <col min="6" max="6" width="28.8515625" style="0" customWidth="1"/>
    <col min="7" max="7" width="34.421875" style="0" customWidth="1"/>
    <col min="8" max="8" width="36.7109375" style="0" bestFit="1" customWidth="1"/>
    <col min="9" max="10" width="30.421875" style="0" customWidth="1"/>
    <col min="11" max="11" width="30.140625" style="0" hidden="1" customWidth="1"/>
    <col min="12" max="13" width="30.28125" style="0" hidden="1" customWidth="1"/>
    <col min="14" max="14" width="29.00390625" style="0" customWidth="1"/>
    <col min="15" max="15" width="35.28125" style="0" bestFit="1" customWidth="1"/>
    <col min="16" max="18" width="35.28125" style="0" customWidth="1"/>
    <col min="19" max="19" width="30.8515625" style="0" customWidth="1"/>
    <col min="20" max="20" width="28.57421875" style="0" customWidth="1"/>
    <col min="21" max="21" width="32.7109375" style="0" customWidth="1"/>
    <col min="23" max="23" width="1.28515625" style="0" customWidth="1"/>
  </cols>
  <sheetData>
    <row r="3" spans="2:21" ht="15" customHeight="1">
      <c r="B3" s="393" t="s">
        <v>43</v>
      </c>
      <c r="C3" s="393"/>
      <c r="D3" s="393"/>
      <c r="E3" s="393"/>
      <c r="F3" s="393"/>
      <c r="G3" s="393"/>
      <c r="H3" s="393"/>
      <c r="I3" s="393"/>
      <c r="J3" s="393"/>
      <c r="K3" s="393"/>
      <c r="L3" s="393"/>
      <c r="M3" s="393"/>
      <c r="N3" s="393"/>
      <c r="O3" s="393"/>
      <c r="P3" s="393"/>
      <c r="Q3" s="393"/>
      <c r="R3" s="393"/>
      <c r="S3" s="393"/>
      <c r="T3" s="393"/>
      <c r="U3" s="393"/>
    </row>
    <row r="4" spans="2:21" ht="15" customHeight="1">
      <c r="B4" s="393"/>
      <c r="C4" s="393"/>
      <c r="D4" s="393"/>
      <c r="E4" s="393"/>
      <c r="F4" s="393"/>
      <c r="G4" s="393"/>
      <c r="H4" s="393"/>
      <c r="I4" s="393"/>
      <c r="J4" s="393"/>
      <c r="K4" s="393"/>
      <c r="L4" s="393"/>
      <c r="M4" s="393"/>
      <c r="N4" s="393"/>
      <c r="O4" s="393"/>
      <c r="P4" s="393"/>
      <c r="Q4" s="393"/>
      <c r="R4" s="393"/>
      <c r="S4" s="393"/>
      <c r="T4" s="393"/>
      <c r="U4" s="393"/>
    </row>
    <row r="5" spans="2:21" ht="19.5">
      <c r="B5" s="25"/>
      <c r="C5" s="393">
        <v>2012</v>
      </c>
      <c r="D5" s="393"/>
      <c r="E5" s="393"/>
      <c r="F5" s="393"/>
      <c r="G5" s="393"/>
      <c r="H5" s="393" t="s">
        <v>197</v>
      </c>
      <c r="I5" s="393"/>
      <c r="J5" s="393"/>
      <c r="K5" s="393"/>
      <c r="L5" s="393"/>
      <c r="M5" s="393"/>
      <c r="N5" s="393"/>
      <c r="O5" s="393"/>
      <c r="P5" s="393"/>
      <c r="Q5" s="393"/>
      <c r="R5" s="393"/>
      <c r="S5" s="393"/>
      <c r="T5" s="393"/>
      <c r="U5" s="393"/>
    </row>
    <row r="6" spans="2:21" ht="117" customHeight="1">
      <c r="B6" s="22" t="s">
        <v>4</v>
      </c>
      <c r="C6" s="23" t="s">
        <v>53</v>
      </c>
      <c r="D6" s="23" t="s">
        <v>54</v>
      </c>
      <c r="E6" s="23" t="s">
        <v>55</v>
      </c>
      <c r="F6" s="23" t="s">
        <v>22</v>
      </c>
      <c r="G6" s="22" t="s">
        <v>34</v>
      </c>
      <c r="H6" s="23" t="s">
        <v>58</v>
      </c>
      <c r="I6" s="22" t="s">
        <v>57</v>
      </c>
      <c r="J6" s="22" t="s">
        <v>59</v>
      </c>
      <c r="K6" s="22" t="s">
        <v>60</v>
      </c>
      <c r="L6" s="23" t="s">
        <v>44</v>
      </c>
      <c r="M6" s="23" t="s">
        <v>291</v>
      </c>
      <c r="N6" s="23" t="s">
        <v>42</v>
      </c>
      <c r="O6" s="17" t="s">
        <v>184</v>
      </c>
      <c r="P6" s="17" t="s">
        <v>253</v>
      </c>
      <c r="Q6" s="17" t="s">
        <v>292</v>
      </c>
      <c r="R6" s="17" t="s">
        <v>293</v>
      </c>
      <c r="S6" s="22" t="s">
        <v>210</v>
      </c>
      <c r="T6" s="22" t="s">
        <v>282</v>
      </c>
      <c r="U6" s="22" t="s">
        <v>283</v>
      </c>
    </row>
    <row r="7" spans="2:21" ht="19.5">
      <c r="B7" s="18" t="s">
        <v>2</v>
      </c>
      <c r="C7" s="6">
        <v>13646133709</v>
      </c>
      <c r="D7" s="6">
        <v>15002814726.3324</v>
      </c>
      <c r="E7" s="6">
        <v>15002814726.3324</v>
      </c>
      <c r="F7" s="6">
        <v>15002814726.3324</v>
      </c>
      <c r="G7" s="19">
        <v>2544967148</v>
      </c>
      <c r="H7" s="6">
        <v>41198718951.27741</v>
      </c>
      <c r="I7" s="6">
        <v>32958975161.02193</v>
      </c>
      <c r="J7" s="19">
        <f>H7-I7</f>
        <v>8239743790.255482</v>
      </c>
      <c r="K7" s="6">
        <f>F7+I7</f>
        <v>47961789887.35433</v>
      </c>
      <c r="L7" s="6">
        <v>47809499121.86505</v>
      </c>
      <c r="M7" s="6">
        <f>K7-L7</f>
        <v>152290765.4892807</v>
      </c>
      <c r="N7" s="26">
        <v>0.9999999874826537</v>
      </c>
      <c r="O7" s="13">
        <v>12193353358</v>
      </c>
      <c r="P7" s="13">
        <f>'[1]PROYECTOS OCAD REGIONAL'!K14-'[3]PROYECTOS OCAD REGIONAL'!$K$14</f>
        <v>2511203936.865053</v>
      </c>
      <c r="Q7" s="13">
        <f>J7+O7+M7-P7</f>
        <v>18074183976.879707</v>
      </c>
      <c r="R7" s="13">
        <f>J7+O7+M7-P7</f>
        <v>18074183976.879707</v>
      </c>
      <c r="S7" s="13">
        <v>42204704534</v>
      </c>
      <c r="T7" s="13">
        <f>'[1]PROYECTOS OCAD REGIONAL'!S9+'[1]PROYECTOS OCAD REGIONAL'!S10+'[1]PROYECTOS OCAD REGIONAL'!S16+'[1]PROYECTOS OCAD REGIONAL'!S17+'[1]PROYECTOS OCAD REGIONAL'!S18+'[1]PROYECTOS OCAD REGIONAL'!S19+'[1]PROYECTOS OCAD REGIONAL'!K8</f>
        <v>17997970854</v>
      </c>
      <c r="U7" s="13">
        <f>S7-T7</f>
        <v>24206733680</v>
      </c>
    </row>
    <row r="8" spans="2:21" ht="25.5" customHeight="1">
      <c r="B8" s="18" t="s">
        <v>3</v>
      </c>
      <c r="C8" s="27">
        <v>11356910410</v>
      </c>
      <c r="D8" s="6">
        <v>10564981702</v>
      </c>
      <c r="E8" s="6">
        <v>10000000000</v>
      </c>
      <c r="F8" s="6">
        <v>564981702.2606</v>
      </c>
      <c r="G8" s="19">
        <v>1790302568</v>
      </c>
      <c r="H8" s="6">
        <v>28467799825.988056</v>
      </c>
      <c r="I8" s="6">
        <v>22774239860.790447</v>
      </c>
      <c r="J8" s="19">
        <f>H8-I8</f>
        <v>5693559965.197609</v>
      </c>
      <c r="K8" s="6">
        <f>F8+I8</f>
        <v>23339221563.05105</v>
      </c>
      <c r="L8" s="6">
        <v>23544121154</v>
      </c>
      <c r="M8" s="6">
        <f>K8-L8</f>
        <v>-204899590.94895172</v>
      </c>
      <c r="N8" s="26">
        <v>1</v>
      </c>
      <c r="O8" s="13">
        <v>8429736222</v>
      </c>
      <c r="P8" s="13">
        <v>0</v>
      </c>
      <c r="Q8" s="13">
        <f>J8+O8+M8-P8</f>
        <v>13918396596.248657</v>
      </c>
      <c r="R8" s="13">
        <f>J8+O8+M8-P8</f>
        <v>13918396596.248657</v>
      </c>
      <c r="S8" s="13">
        <v>16860674788</v>
      </c>
      <c r="T8" s="13">
        <f>'[1]PROYECTOS OCAD REGIONAL'!S5+'[1]PROYECTOS OCAD REGIONAL'!S6+'[1]PROYECTOS OCAD REGIONAL'!S8</f>
        <v>10278271177</v>
      </c>
      <c r="U8" s="13">
        <f>S8-T8</f>
        <v>6582403611</v>
      </c>
    </row>
    <row r="9" spans="2:21" ht="19.5">
      <c r="B9" s="18" t="s">
        <v>51</v>
      </c>
      <c r="C9" s="6">
        <v>5623594687</v>
      </c>
      <c r="D9" s="6">
        <v>7203086182.82504</v>
      </c>
      <c r="E9" s="6">
        <v>0</v>
      </c>
      <c r="F9" s="6">
        <v>7203086182.82504</v>
      </c>
      <c r="G9" s="19">
        <v>1220608237.29</v>
      </c>
      <c r="H9" s="6">
        <v>13849169200.375633</v>
      </c>
      <c r="I9" s="6">
        <v>11079335360.300507</v>
      </c>
      <c r="J9" s="19">
        <f>H9-I9</f>
        <v>2769833840.0751266</v>
      </c>
      <c r="K9" s="6">
        <f>F9+I9</f>
        <v>18282421543.125546</v>
      </c>
      <c r="L9" s="6">
        <f>12283020000+3000000000+'[1]PROYECTOS OCAD REGIONAL'!R23</f>
        <v>17477868732</v>
      </c>
      <c r="M9" s="6">
        <f>K9-L9</f>
        <v>804552811.1255455</v>
      </c>
      <c r="N9" s="26">
        <f>L9/K9</f>
        <v>0.9559930937360938</v>
      </c>
      <c r="O9" s="13">
        <v>3716586909</v>
      </c>
      <c r="P9" s="13">
        <v>0</v>
      </c>
      <c r="Q9" s="13">
        <f>J9+O9+M9-P9</f>
        <v>7290973560.200672</v>
      </c>
      <c r="R9" s="13"/>
      <c r="S9" s="13">
        <v>17239552718</v>
      </c>
      <c r="T9" s="13">
        <f>'[1]PROYECTOS OCAD REGIONAL'!S20+'[1]PROYECTOS OCAD REGIONAL'!S21</f>
        <v>9333663333</v>
      </c>
      <c r="U9" s="13">
        <f>S9-T9</f>
        <v>7905889385</v>
      </c>
    </row>
    <row r="10" spans="2:21" ht="27.75" customHeight="1">
      <c r="B10" s="18" t="s">
        <v>6</v>
      </c>
      <c r="C10" s="6">
        <v>11208437</v>
      </c>
      <c r="D10" s="6">
        <v>11208437</v>
      </c>
      <c r="E10" s="6">
        <v>0</v>
      </c>
      <c r="F10" s="6">
        <v>1088795.483677</v>
      </c>
      <c r="G10" s="19">
        <f>+I10-F10</f>
        <v>2281312.2948118113</v>
      </c>
      <c r="H10" s="6">
        <v>3370107.778488811</v>
      </c>
      <c r="I10" s="6">
        <v>3370107.778488811</v>
      </c>
      <c r="J10" s="19">
        <f>H10-I10</f>
        <v>0</v>
      </c>
      <c r="K10" s="6">
        <f>F10+I10</f>
        <v>4458903.262165811</v>
      </c>
      <c r="L10" s="6">
        <v>4458903</v>
      </c>
      <c r="M10" s="6">
        <f>K10-L10</f>
        <v>0.2621658109128475</v>
      </c>
      <c r="N10" s="26">
        <v>0.9999999412039697</v>
      </c>
      <c r="O10" s="13">
        <v>0</v>
      </c>
      <c r="P10" s="13">
        <v>0</v>
      </c>
      <c r="Q10" s="13">
        <f>J10+O10+M10-P10</f>
        <v>0.2621658109128475</v>
      </c>
      <c r="R10" s="13"/>
      <c r="S10" s="14"/>
      <c r="T10" s="13"/>
      <c r="U10" s="13">
        <f>S10-T10</f>
        <v>0</v>
      </c>
    </row>
    <row r="11" spans="2:21" ht="22.5">
      <c r="B11" s="18" t="s">
        <v>20</v>
      </c>
      <c r="C11" s="19">
        <f aca="true" t="shared" si="0" ref="C11:L11">SUM(C7:C10)</f>
        <v>30637847243</v>
      </c>
      <c r="D11" s="19">
        <f t="shared" si="0"/>
        <v>32782091048.157436</v>
      </c>
      <c r="E11" s="19">
        <f t="shared" si="0"/>
        <v>25002814726.332397</v>
      </c>
      <c r="F11" s="19">
        <f t="shared" si="0"/>
        <v>22771971406.901714</v>
      </c>
      <c r="G11" s="19">
        <f t="shared" si="0"/>
        <v>5558159265.584812</v>
      </c>
      <c r="H11" s="19">
        <f t="shared" si="0"/>
        <v>83519058085.4196</v>
      </c>
      <c r="I11" s="19">
        <f t="shared" si="0"/>
        <v>66815920489.89137</v>
      </c>
      <c r="J11" s="19">
        <f t="shared" si="0"/>
        <v>16703137595.528217</v>
      </c>
      <c r="K11" s="19">
        <f t="shared" si="0"/>
        <v>89587891896.79309</v>
      </c>
      <c r="L11" s="19">
        <f t="shared" si="0"/>
        <v>88835947910.86505</v>
      </c>
      <c r="M11" s="19">
        <f>SUM(M7:M10)</f>
        <v>751943985.9280403</v>
      </c>
      <c r="N11" s="28">
        <v>0.9370517374123527</v>
      </c>
      <c r="O11" s="19">
        <f aca="true" t="shared" si="1" ref="O11:T11">SUM(O7:O10)</f>
        <v>24339676489</v>
      </c>
      <c r="P11" s="19">
        <f t="shared" si="1"/>
        <v>2511203936.865053</v>
      </c>
      <c r="Q11" s="19">
        <f t="shared" si="1"/>
        <v>39283554133.59121</v>
      </c>
      <c r="R11" s="19">
        <f t="shared" si="1"/>
        <v>31992580573.128365</v>
      </c>
      <c r="S11" s="19">
        <f t="shared" si="1"/>
        <v>76304932040</v>
      </c>
      <c r="T11" s="19">
        <f t="shared" si="1"/>
        <v>37609905364</v>
      </c>
      <c r="U11" s="19">
        <f>S11-T11</f>
        <v>38695026676</v>
      </c>
    </row>
    <row r="12" spans="2:18" ht="19.5">
      <c r="B12" s="394" t="s">
        <v>56</v>
      </c>
      <c r="C12" s="394"/>
      <c r="D12" s="394"/>
      <c r="E12" s="394"/>
      <c r="F12" s="394"/>
      <c r="G12" s="394"/>
      <c r="H12" s="394"/>
      <c r="I12" s="394"/>
      <c r="J12" s="394"/>
      <c r="K12" s="394"/>
      <c r="L12" s="394"/>
      <c r="M12" s="5"/>
      <c r="N12" s="5"/>
      <c r="O12" s="5"/>
      <c r="P12" s="5"/>
      <c r="Q12" s="5"/>
      <c r="R12" s="5"/>
    </row>
    <row r="13" spans="2:13" ht="21.75" customHeight="1">
      <c r="B13" s="394" t="s">
        <v>18</v>
      </c>
      <c r="C13" s="394"/>
      <c r="D13" s="394"/>
      <c r="E13" s="394"/>
      <c r="F13" s="394"/>
      <c r="G13" s="394"/>
      <c r="H13" s="394"/>
      <c r="I13" s="394"/>
      <c r="J13" s="394"/>
      <c r="K13" s="394"/>
      <c r="L13" s="394"/>
      <c r="M13" s="5"/>
    </row>
    <row r="15" spans="4:13" ht="15">
      <c r="D15" s="10"/>
      <c r="E15" s="10"/>
      <c r="K15" s="9"/>
      <c r="L15" s="9"/>
      <c r="M15" s="9"/>
    </row>
    <row r="16" spans="2:13" ht="62.25" customHeight="1">
      <c r="B16" s="20" t="s">
        <v>4</v>
      </c>
      <c r="C16" s="21" t="s">
        <v>240</v>
      </c>
      <c r="D16" s="21" t="s">
        <v>237</v>
      </c>
      <c r="E16" s="20" t="s">
        <v>239</v>
      </c>
      <c r="F16" s="21" t="s">
        <v>238</v>
      </c>
      <c r="G16" s="21" t="s">
        <v>280</v>
      </c>
      <c r="H16" s="21" t="s">
        <v>281</v>
      </c>
      <c r="I16" s="21" t="s">
        <v>254</v>
      </c>
      <c r="L16" s="29"/>
      <c r="M16" s="29"/>
    </row>
    <row r="17" spans="2:13" ht="19.5">
      <c r="B17" s="18" t="s">
        <v>2</v>
      </c>
      <c r="C17" s="6">
        <v>15002814726.3324</v>
      </c>
      <c r="D17" s="6">
        <v>15002814726.3324</v>
      </c>
      <c r="E17" s="6">
        <v>47961789887.35433</v>
      </c>
      <c r="F17" s="16">
        <v>47961789887</v>
      </c>
      <c r="G17" s="16">
        <f>E17</f>
        <v>47961789887.35433</v>
      </c>
      <c r="H17" s="16">
        <f>SUM(F17)</f>
        <v>47961789887</v>
      </c>
      <c r="I17" s="6">
        <f>'[1]PROYECTOS OCAD REGIONAL'!S9+'[1]PROYECTOS OCAD REGIONAL'!S10+'[1]PROYECTOS OCAD REGIONAL'!S16+'[1]PROYECTOS OCAD REGIONAL'!S17+'[1]PROYECTOS OCAD REGIONAL'!S18+'[1]PROYECTOS OCAD REGIONAL'!S19</f>
        <v>17555449677</v>
      </c>
      <c r="L17" s="29"/>
      <c r="M17" s="29"/>
    </row>
    <row r="18" spans="2:13" ht="19.5">
      <c r="B18" s="18" t="s">
        <v>3</v>
      </c>
      <c r="C18" s="6">
        <v>10564981702</v>
      </c>
      <c r="D18" s="6">
        <v>10000000000</v>
      </c>
      <c r="E18" s="6">
        <v>23339221563.05105</v>
      </c>
      <c r="F18" s="6">
        <v>23699221563</v>
      </c>
      <c r="G18" s="16">
        <f>E18+D18</f>
        <v>33339221563.05105</v>
      </c>
      <c r="H18" s="16">
        <f>D18+F18</f>
        <v>33699221563</v>
      </c>
      <c r="I18" s="6">
        <f>'[1]PROYECTOS OCAD REGIONAL'!S5+'[1]PROYECTOS OCAD REGIONAL'!S8+'[1]PROYECTOS OCAD REGIONAL'!S6</f>
        <v>10278271177</v>
      </c>
      <c r="L18" s="29"/>
      <c r="M18" s="29"/>
    </row>
    <row r="19" spans="2:13" ht="19.5">
      <c r="B19" s="18" t="s">
        <v>51</v>
      </c>
      <c r="C19" s="6">
        <v>7203086182.82504</v>
      </c>
      <c r="D19" s="6">
        <v>0</v>
      </c>
      <c r="E19" s="6">
        <v>18282421543.125546</v>
      </c>
      <c r="F19" s="6">
        <f>L9</f>
        <v>17477868732</v>
      </c>
      <c r="G19" s="16">
        <f>E19</f>
        <v>18282421543.125546</v>
      </c>
      <c r="H19" s="16">
        <f>SUM(F19)</f>
        <v>17477868732</v>
      </c>
      <c r="I19" s="6">
        <v>9333663333</v>
      </c>
      <c r="L19" s="15"/>
      <c r="M19" s="15"/>
    </row>
    <row r="20" spans="2:13" ht="19.5">
      <c r="B20" s="18" t="s">
        <v>6</v>
      </c>
      <c r="C20" s="6">
        <v>11208437</v>
      </c>
      <c r="D20" s="6">
        <v>0</v>
      </c>
      <c r="E20" s="6">
        <v>4458903.262165811</v>
      </c>
      <c r="F20" s="6">
        <v>4458903</v>
      </c>
      <c r="G20" s="16">
        <f>F20</f>
        <v>4458903</v>
      </c>
      <c r="H20" s="16">
        <f>SUM(F20)</f>
        <v>4458903</v>
      </c>
      <c r="I20" s="6">
        <f>H20</f>
        <v>4458903</v>
      </c>
      <c r="L20" s="15"/>
      <c r="M20" s="15"/>
    </row>
    <row r="21" spans="2:9" ht="19.5">
      <c r="B21" s="18" t="s">
        <v>20</v>
      </c>
      <c r="C21" s="19">
        <f aca="true" t="shared" si="2" ref="C21:I21">SUM(C17:C20)</f>
        <v>32782091048.157436</v>
      </c>
      <c r="D21" s="19">
        <f t="shared" si="2"/>
        <v>25002814726.332397</v>
      </c>
      <c r="E21" s="19">
        <f t="shared" si="2"/>
        <v>89587891896.79309</v>
      </c>
      <c r="F21" s="19">
        <f t="shared" si="2"/>
        <v>89143339085</v>
      </c>
      <c r="G21" s="19">
        <f t="shared" si="2"/>
        <v>99587891896.53093</v>
      </c>
      <c r="H21" s="19">
        <f t="shared" si="2"/>
        <v>99143339085</v>
      </c>
      <c r="I21" s="19">
        <f t="shared" si="2"/>
        <v>37171843090</v>
      </c>
    </row>
    <row r="23" ht="15">
      <c r="D23" s="11"/>
    </row>
    <row r="24" spans="2:17" ht="15" customHeight="1">
      <c r="B24" s="393" t="s">
        <v>43</v>
      </c>
      <c r="C24" s="393"/>
      <c r="D24" s="393"/>
      <c r="E24" s="393"/>
      <c r="F24" s="393"/>
      <c r="G24" s="393"/>
      <c r="H24" s="393"/>
      <c r="I24" s="393"/>
      <c r="J24" s="393"/>
      <c r="K24" s="393"/>
      <c r="L24" s="393"/>
      <c r="M24" s="393"/>
      <c r="N24" s="393"/>
      <c r="O24" s="393"/>
      <c r="P24" s="5"/>
      <c r="Q24" s="5"/>
    </row>
    <row r="25" spans="2:17" ht="15" customHeight="1">
      <c r="B25" s="393"/>
      <c r="C25" s="393"/>
      <c r="D25" s="393"/>
      <c r="E25" s="393"/>
      <c r="F25" s="393"/>
      <c r="G25" s="393"/>
      <c r="H25" s="393"/>
      <c r="I25" s="393"/>
      <c r="J25" s="393"/>
      <c r="K25" s="393"/>
      <c r="L25" s="393"/>
      <c r="M25" s="393"/>
      <c r="N25" s="393"/>
      <c r="O25" s="393"/>
      <c r="P25" s="5"/>
      <c r="Q25" s="5"/>
    </row>
    <row r="26" spans="2:15" ht="19.5">
      <c r="B26" s="30"/>
      <c r="C26" s="412">
        <v>2014</v>
      </c>
      <c r="D26" s="413"/>
      <c r="E26" s="413"/>
      <c r="F26" s="413"/>
      <c r="G26" s="413"/>
      <c r="H26" s="413"/>
      <c r="I26" s="413"/>
      <c r="J26" s="414"/>
      <c r="K26" s="393" t="s">
        <v>294</v>
      </c>
      <c r="L26" s="393"/>
      <c r="M26" s="393"/>
      <c r="N26" s="393"/>
      <c r="O26" s="393"/>
    </row>
    <row r="27" spans="2:15" ht="117" customHeight="1">
      <c r="B27" s="31" t="s">
        <v>4</v>
      </c>
      <c r="C27" s="31" t="s">
        <v>34</v>
      </c>
      <c r="D27" s="31" t="s">
        <v>59</v>
      </c>
      <c r="E27" s="31" t="s">
        <v>390</v>
      </c>
      <c r="F27" s="31" t="s">
        <v>391</v>
      </c>
      <c r="G27" s="31" t="s">
        <v>184</v>
      </c>
      <c r="H27" s="31" t="s">
        <v>388</v>
      </c>
      <c r="I27" s="31" t="s">
        <v>389</v>
      </c>
      <c r="J27" s="31" t="s">
        <v>295</v>
      </c>
      <c r="K27" s="31" t="s">
        <v>296</v>
      </c>
      <c r="L27" s="31" t="s">
        <v>297</v>
      </c>
      <c r="M27" s="31" t="s">
        <v>298</v>
      </c>
      <c r="N27" s="31" t="s">
        <v>299</v>
      </c>
      <c r="O27" s="31" t="s">
        <v>300</v>
      </c>
    </row>
    <row r="28" spans="2:15" ht="19.5">
      <c r="B28" s="18" t="s">
        <v>2</v>
      </c>
      <c r="C28" s="19">
        <v>2544967148</v>
      </c>
      <c r="D28" s="19">
        <v>8239743790.255482</v>
      </c>
      <c r="E28" s="13">
        <f>M7</f>
        <v>152290765.4892807</v>
      </c>
      <c r="F28" s="13">
        <f>D28+E28</f>
        <v>8392034555.744762</v>
      </c>
      <c r="G28" s="13">
        <v>12193353358</v>
      </c>
      <c r="H28" s="13">
        <f>D28+G28-P7+M7</f>
        <v>18074183976.879707</v>
      </c>
      <c r="I28" s="13">
        <f>'PROYECTOS NUEVOS 2015-2016 '!F21</f>
        <v>8392034555</v>
      </c>
      <c r="J28" s="13">
        <f>9682149421.13495+P17</f>
        <v>9682149421.13495</v>
      </c>
      <c r="K28" s="13">
        <v>24386706715.54049</v>
      </c>
      <c r="L28" s="13">
        <f>K28-J28</f>
        <v>14704557294.405539</v>
      </c>
      <c r="M28" s="13">
        <v>24581805258.22813</v>
      </c>
      <c r="N28" s="13">
        <f>L28+M28</f>
        <v>39286362552.63367</v>
      </c>
      <c r="O28" s="13">
        <f>(N28*0.8)+C28</f>
        <v>33974057190.106934</v>
      </c>
    </row>
    <row r="29" spans="2:15" ht="25.5" customHeight="1">
      <c r="B29" s="18" t="s">
        <v>3</v>
      </c>
      <c r="C29" s="19">
        <v>1790302568</v>
      </c>
      <c r="D29" s="19">
        <v>5693559965.197609</v>
      </c>
      <c r="E29" s="13">
        <f>M8</f>
        <v>-204899590.94895172</v>
      </c>
      <c r="F29" s="13">
        <f>D29+E29</f>
        <v>5488660374.248657</v>
      </c>
      <c r="G29" s="13">
        <v>8429736222</v>
      </c>
      <c r="H29" s="13">
        <f>D29+G29+M8</f>
        <v>13918396596.248657</v>
      </c>
      <c r="I29" s="13">
        <f>'PROYECTOS NUEVOS 2015-2016 '!G21</f>
        <v>5487704298.5184</v>
      </c>
      <c r="J29" s="13">
        <v>8429736222</v>
      </c>
      <c r="K29" s="13">
        <v>16859472443.918194</v>
      </c>
      <c r="L29" s="13">
        <f>K29-J29</f>
        <v>8429736221.918194</v>
      </c>
      <c r="M29" s="13">
        <v>17011815904.531908</v>
      </c>
      <c r="N29" s="13">
        <f>L29+M29</f>
        <v>25441552126.450104</v>
      </c>
      <c r="O29" s="13">
        <f>(N29*0.8)+C29</f>
        <v>22143544269.160084</v>
      </c>
    </row>
    <row r="30" spans="2:17" ht="19.5">
      <c r="B30" s="18" t="s">
        <v>51</v>
      </c>
      <c r="C30" s="19">
        <v>1220608237.29</v>
      </c>
      <c r="D30" s="19">
        <v>2769833840.0751266</v>
      </c>
      <c r="E30" s="13">
        <f>M9</f>
        <v>804552811.1255455</v>
      </c>
      <c r="F30" s="13">
        <f>D30+E30</f>
        <v>3574386651.200672</v>
      </c>
      <c r="G30" s="13">
        <v>3716586909</v>
      </c>
      <c r="H30" s="13"/>
      <c r="I30" s="13">
        <v>0</v>
      </c>
      <c r="J30" s="13">
        <v>0</v>
      </c>
      <c r="K30" s="13">
        <v>7433173818.93902</v>
      </c>
      <c r="L30" s="13">
        <f>K30-J30</f>
        <v>7433173818.93902</v>
      </c>
      <c r="M30" s="13">
        <v>7583091206.190467</v>
      </c>
      <c r="N30" s="13">
        <f>L30+M30</f>
        <v>15016265025.129486</v>
      </c>
      <c r="O30" s="13">
        <f>N30*0.8</f>
        <v>12013012020.10359</v>
      </c>
      <c r="P30" s="86"/>
      <c r="Q30" s="86"/>
    </row>
    <row r="31" spans="2:15" ht="27.75" customHeight="1">
      <c r="B31" s="18" t="s">
        <v>6</v>
      </c>
      <c r="C31" s="19">
        <v>0</v>
      </c>
      <c r="D31" s="19">
        <v>0</v>
      </c>
      <c r="E31" s="13"/>
      <c r="F31" s="13"/>
      <c r="G31" s="13">
        <v>0</v>
      </c>
      <c r="H31" s="13"/>
      <c r="I31" s="13"/>
      <c r="J31" s="13">
        <v>0</v>
      </c>
      <c r="K31" s="13"/>
      <c r="L31" s="13"/>
      <c r="M31" s="14"/>
      <c r="N31" s="13"/>
      <c r="O31" s="13"/>
    </row>
    <row r="32" spans="2:15" ht="19.5">
      <c r="B32" s="18" t="s">
        <v>20</v>
      </c>
      <c r="C32" s="19">
        <f>SUM(C28:C31)</f>
        <v>5555877953.29</v>
      </c>
      <c r="D32" s="19">
        <v>16703137595.528217</v>
      </c>
      <c r="E32" s="19">
        <f aca="true" t="shared" si="3" ref="E32:O32">SUM(E28:E31)</f>
        <v>751943985.6658745</v>
      </c>
      <c r="F32" s="19">
        <f t="shared" si="3"/>
        <v>17455081581.19409</v>
      </c>
      <c r="G32" s="19">
        <f t="shared" si="3"/>
        <v>24339676489</v>
      </c>
      <c r="H32" s="19">
        <f t="shared" si="3"/>
        <v>31992580573.128365</v>
      </c>
      <c r="I32" s="19">
        <f t="shared" si="3"/>
        <v>13879738853.5184</v>
      </c>
      <c r="J32" s="19">
        <f t="shared" si="3"/>
        <v>18111885643.13495</v>
      </c>
      <c r="K32" s="19">
        <f t="shared" si="3"/>
        <v>48679352978.3977</v>
      </c>
      <c r="L32" s="19">
        <f t="shared" si="3"/>
        <v>30567467335.26275</v>
      </c>
      <c r="M32" s="19">
        <f t="shared" si="3"/>
        <v>49176712368.95051</v>
      </c>
      <c r="N32" s="19">
        <f t="shared" si="3"/>
        <v>79744179704.21326</v>
      </c>
      <c r="O32" s="19">
        <f t="shared" si="3"/>
        <v>68130613479.370605</v>
      </c>
    </row>
    <row r="33" spans="2:13" ht="19.5" customHeight="1">
      <c r="B33" s="394" t="s">
        <v>301</v>
      </c>
      <c r="C33" s="394"/>
      <c r="D33" s="394"/>
      <c r="E33" s="394"/>
      <c r="F33" s="394"/>
      <c r="G33" s="394"/>
      <c r="H33" s="394"/>
      <c r="I33" s="394"/>
      <c r="J33" s="394"/>
      <c r="K33" s="394"/>
      <c r="M33" s="9"/>
    </row>
    <row r="34" spans="2:13" ht="19.5" customHeight="1">
      <c r="B34" s="394" t="s">
        <v>302</v>
      </c>
      <c r="C34" s="394"/>
      <c r="D34" s="394"/>
      <c r="E34" s="394"/>
      <c r="F34" s="394"/>
      <c r="G34" s="394"/>
      <c r="H34" s="394"/>
      <c r="I34" s="394"/>
      <c r="J34" s="394"/>
      <c r="K34" s="394"/>
      <c r="L34" s="9"/>
      <c r="M34" s="9"/>
    </row>
    <row r="35" spans="2:13" ht="21.75" customHeight="1">
      <c r="B35" s="394" t="s">
        <v>18</v>
      </c>
      <c r="C35" s="394"/>
      <c r="D35" s="394"/>
      <c r="E35" s="394"/>
      <c r="F35" s="394"/>
      <c r="G35" s="394"/>
      <c r="H35" s="394"/>
      <c r="I35" s="394"/>
      <c r="J35" s="394"/>
      <c r="K35" s="394"/>
      <c r="L35" s="29"/>
      <c r="M35" s="29"/>
    </row>
    <row r="36" spans="4:13" ht="15">
      <c r="D36" s="11"/>
      <c r="L36" s="29"/>
      <c r="M36" s="29"/>
    </row>
    <row r="37" spans="4:13" ht="15">
      <c r="D37" s="11"/>
      <c r="L37" s="29"/>
      <c r="M37" s="29"/>
    </row>
    <row r="38" spans="4:13" ht="15">
      <c r="D38" s="11"/>
      <c r="L38" s="15"/>
      <c r="M38" s="15"/>
    </row>
    <row r="39" ht="15">
      <c r="H39" s="9"/>
    </row>
    <row r="46" spans="16:19" ht="15">
      <c r="P46" s="9"/>
      <c r="Q46" s="9"/>
      <c r="R46" s="9"/>
      <c r="S46" s="29"/>
    </row>
    <row r="47" spans="16:18" ht="15">
      <c r="P47" s="9"/>
      <c r="Q47" s="9"/>
      <c r="R47" s="9"/>
    </row>
  </sheetData>
  <sheetProtection selectLockedCells="1" selectUnlockedCells="1"/>
  <mergeCells count="11">
    <mergeCell ref="B24:O25"/>
    <mergeCell ref="B34:K34"/>
    <mergeCell ref="B35:K35"/>
    <mergeCell ref="B33:K33"/>
    <mergeCell ref="C26:J26"/>
    <mergeCell ref="K26:O26"/>
    <mergeCell ref="B3:U4"/>
    <mergeCell ref="C5:G5"/>
    <mergeCell ref="H5:U5"/>
    <mergeCell ref="B12:L12"/>
    <mergeCell ref="B13:L1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ID36"/>
  <sheetViews>
    <sheetView showGridLines="0" zoomScale="40" zoomScaleNormal="40" zoomScaleSheetLayoutView="25" zoomScalePageLayoutView="0" workbookViewId="0" topLeftCell="A1">
      <selection activeCell="J6" sqref="J6"/>
    </sheetView>
  </sheetViews>
  <sheetFormatPr defaultColWidth="11.421875" defaultRowHeight="15"/>
  <cols>
    <col min="1" max="1" width="11.421875" style="32" customWidth="1"/>
    <col min="2" max="2" width="7.140625" style="32" customWidth="1"/>
    <col min="3" max="3" width="36.8515625" style="32" customWidth="1"/>
    <col min="4" max="4" width="48.57421875" style="32" customWidth="1"/>
    <col min="5" max="5" width="22.140625" style="32" customWidth="1"/>
    <col min="6" max="6" width="35.7109375" style="32" customWidth="1"/>
    <col min="7" max="7" width="31.28125" style="32" bestFit="1" customWidth="1"/>
    <col min="8" max="8" width="39.421875" style="32" customWidth="1"/>
    <col min="9" max="9" width="41.8515625" style="32" customWidth="1"/>
    <col min="10" max="10" width="44.8515625" style="32" customWidth="1"/>
    <col min="11" max="11" width="28.421875" style="32" customWidth="1"/>
    <col min="12" max="12" width="35.7109375" style="32" customWidth="1"/>
    <col min="13" max="13" width="31.421875" style="32" hidden="1" customWidth="1"/>
    <col min="14" max="14" width="27.8515625" style="32" hidden="1" customWidth="1"/>
    <col min="15" max="16" width="33.28125" style="32" hidden="1" customWidth="1"/>
    <col min="17" max="17" width="38.7109375" style="32" hidden="1" customWidth="1"/>
    <col min="18" max="18" width="51.8515625" style="32" hidden="1" customWidth="1"/>
    <col min="19" max="19" width="32.8515625" style="33" hidden="1" customWidth="1"/>
    <col min="20" max="20" width="27.00390625" style="33" hidden="1" customWidth="1"/>
    <col min="21" max="21" width="32.28125" style="32" bestFit="1" customWidth="1"/>
    <col min="22" max="22" width="11.421875" style="32" customWidth="1"/>
    <col min="23" max="23" width="26.57421875" style="32" bestFit="1" customWidth="1"/>
    <col min="24" max="25" width="11.421875" style="32" customWidth="1"/>
    <col min="26" max="26" width="18.7109375" style="32" bestFit="1" customWidth="1"/>
    <col min="27" max="16384" width="11.421875" style="32" customWidth="1"/>
  </cols>
  <sheetData>
    <row r="1" ht="52.5" customHeight="1"/>
    <row r="2" spans="2:238" s="35" customFormat="1" ht="40.5" customHeight="1">
      <c r="B2" s="419" t="s">
        <v>303</v>
      </c>
      <c r="C2" s="419"/>
      <c r="D2" s="419"/>
      <c r="E2" s="419"/>
      <c r="F2" s="419"/>
      <c r="G2" s="419"/>
      <c r="H2" s="419"/>
      <c r="I2" s="419"/>
      <c r="J2" s="419"/>
      <c r="K2" s="419"/>
      <c r="L2" s="419"/>
      <c r="M2" s="419"/>
      <c r="N2" s="419"/>
      <c r="O2" s="419"/>
      <c r="P2" s="419"/>
      <c r="Q2" s="419"/>
      <c r="R2" s="419"/>
      <c r="S2" s="419"/>
      <c r="T2" s="419"/>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row>
    <row r="3" spans="2:238" s="35" customFormat="1" ht="43.5" customHeight="1">
      <c r="B3" s="419" t="s">
        <v>304</v>
      </c>
      <c r="C3" s="419"/>
      <c r="D3" s="419" t="s">
        <v>305</v>
      </c>
      <c r="E3" s="419" t="s">
        <v>11</v>
      </c>
      <c r="F3" s="419">
        <v>2014</v>
      </c>
      <c r="G3" s="419"/>
      <c r="H3" s="419" t="s">
        <v>306</v>
      </c>
      <c r="I3" s="419"/>
      <c r="J3" s="416" t="s">
        <v>10</v>
      </c>
      <c r="K3" s="416" t="s">
        <v>307</v>
      </c>
      <c r="L3" s="416" t="s">
        <v>36</v>
      </c>
      <c r="M3" s="416" t="s">
        <v>308</v>
      </c>
      <c r="N3" s="416" t="s">
        <v>309</v>
      </c>
      <c r="O3" s="416" t="s">
        <v>310</v>
      </c>
      <c r="P3" s="416" t="s">
        <v>311</v>
      </c>
      <c r="Q3" s="416" t="s">
        <v>312</v>
      </c>
      <c r="R3" s="416" t="s">
        <v>313</v>
      </c>
      <c r="S3" s="416" t="s">
        <v>314</v>
      </c>
      <c r="T3" s="416" t="s">
        <v>315</v>
      </c>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row>
    <row r="4" spans="2:20" s="36" customFormat="1" ht="48.75" customHeight="1">
      <c r="B4" s="419"/>
      <c r="C4" s="419"/>
      <c r="D4" s="419"/>
      <c r="E4" s="419"/>
      <c r="F4" s="88" t="s">
        <v>2</v>
      </c>
      <c r="G4" s="88" t="s">
        <v>3</v>
      </c>
      <c r="H4" s="88" t="s">
        <v>2</v>
      </c>
      <c r="I4" s="88" t="s">
        <v>3</v>
      </c>
      <c r="J4" s="416"/>
      <c r="K4" s="416"/>
      <c r="L4" s="416"/>
      <c r="M4" s="416"/>
      <c r="N4" s="416"/>
      <c r="O4" s="416"/>
      <c r="P4" s="416"/>
      <c r="Q4" s="416"/>
      <c r="R4" s="416"/>
      <c r="S4" s="416"/>
      <c r="T4" s="416"/>
    </row>
    <row r="5" spans="2:23" s="49" customFormat="1" ht="124.5" customHeight="1">
      <c r="B5" s="37">
        <v>1</v>
      </c>
      <c r="C5" s="38" t="s">
        <v>316</v>
      </c>
      <c r="D5" s="39" t="s">
        <v>317</v>
      </c>
      <c r="E5" s="40" t="s">
        <v>12</v>
      </c>
      <c r="F5" s="41">
        <v>1711449818</v>
      </c>
      <c r="G5" s="42">
        <v>1206186220</v>
      </c>
      <c r="H5" s="43">
        <v>7360931737.714981</v>
      </c>
      <c r="I5" s="44"/>
      <c r="J5" s="44">
        <f>SUM(F5:I5)</f>
        <v>10278567775.714981</v>
      </c>
      <c r="K5" s="44" t="s">
        <v>318</v>
      </c>
      <c r="L5" s="45" t="s">
        <v>319</v>
      </c>
      <c r="M5" s="46" t="s">
        <v>320</v>
      </c>
      <c r="N5" s="46" t="s">
        <v>321</v>
      </c>
      <c r="O5" s="46"/>
      <c r="P5" s="46"/>
      <c r="Q5" s="46"/>
      <c r="R5" s="46"/>
      <c r="S5" s="47" t="s">
        <v>322</v>
      </c>
      <c r="T5" s="47">
        <v>3</v>
      </c>
      <c r="U5" s="48"/>
      <c r="W5" s="48"/>
    </row>
    <row r="6" spans="2:26" s="58" customFormat="1" ht="165" customHeight="1">
      <c r="B6" s="50">
        <v>2</v>
      </c>
      <c r="C6" s="51" t="s">
        <v>323</v>
      </c>
      <c r="D6" s="52" t="s">
        <v>324</v>
      </c>
      <c r="E6" s="53" t="s">
        <v>325</v>
      </c>
      <c r="F6" s="54">
        <f>6680584737</f>
        <v>6680584737</v>
      </c>
      <c r="G6" s="52"/>
      <c r="H6" s="55"/>
      <c r="I6" s="55"/>
      <c r="J6" s="56">
        <f>SUM(F6:I6)</f>
        <v>6680584737</v>
      </c>
      <c r="K6" s="56" t="s">
        <v>326</v>
      </c>
      <c r="L6" s="57" t="s">
        <v>327</v>
      </c>
      <c r="M6" s="52" t="s">
        <v>320</v>
      </c>
      <c r="N6" s="52" t="s">
        <v>320</v>
      </c>
      <c r="O6" s="52" t="s">
        <v>320</v>
      </c>
      <c r="P6" s="52" t="s">
        <v>320</v>
      </c>
      <c r="Q6" s="52" t="s">
        <v>328</v>
      </c>
      <c r="R6" s="52" t="s">
        <v>329</v>
      </c>
      <c r="S6" s="53" t="s">
        <v>330</v>
      </c>
      <c r="T6" s="53">
        <v>2</v>
      </c>
      <c r="Z6" s="58">
        <v>860000000</v>
      </c>
    </row>
    <row r="7" spans="2:26" s="61" customFormat="1" ht="174" customHeight="1">
      <c r="B7" s="37">
        <v>3</v>
      </c>
      <c r="C7" s="38"/>
      <c r="D7" s="39" t="s">
        <v>331</v>
      </c>
      <c r="E7" s="40" t="s">
        <v>332</v>
      </c>
      <c r="F7" s="39"/>
      <c r="G7" s="24"/>
      <c r="H7" s="24"/>
      <c r="I7" s="24"/>
      <c r="J7" s="59">
        <v>8000000000</v>
      </c>
      <c r="K7" s="59" t="s">
        <v>318</v>
      </c>
      <c r="L7" s="60" t="s">
        <v>319</v>
      </c>
      <c r="M7" s="39" t="s">
        <v>333</v>
      </c>
      <c r="N7" s="39"/>
      <c r="O7" s="39"/>
      <c r="P7" s="39"/>
      <c r="Q7" s="39"/>
      <c r="R7" s="39"/>
      <c r="S7" s="40"/>
      <c r="T7" s="40"/>
      <c r="Z7" s="61">
        <f>Z6-199000000</f>
        <v>661000000</v>
      </c>
    </row>
    <row r="8" spans="2:26" s="58" customFormat="1" ht="141" customHeight="1">
      <c r="B8" s="50">
        <v>4</v>
      </c>
      <c r="C8" s="51" t="s">
        <v>334</v>
      </c>
      <c r="D8" s="52" t="s">
        <v>335</v>
      </c>
      <c r="E8" s="53" t="s">
        <v>336</v>
      </c>
      <c r="F8" s="54"/>
      <c r="G8" s="55">
        <v>2743199451.5184</v>
      </c>
      <c r="H8" s="55"/>
      <c r="I8" s="55">
        <v>5750585654</v>
      </c>
      <c r="J8" s="56">
        <f>SUM(F8:I8)</f>
        <v>8493785105.5184</v>
      </c>
      <c r="K8" s="56" t="s">
        <v>326</v>
      </c>
      <c r="L8" s="62" t="s">
        <v>38</v>
      </c>
      <c r="M8" s="52" t="s">
        <v>320</v>
      </c>
      <c r="N8" s="52" t="s">
        <v>321</v>
      </c>
      <c r="O8" s="52" t="s">
        <v>320</v>
      </c>
      <c r="P8" s="52" t="s">
        <v>320</v>
      </c>
      <c r="Q8" s="52" t="s">
        <v>337</v>
      </c>
      <c r="R8" s="52" t="s">
        <v>338</v>
      </c>
      <c r="S8" s="56" t="s">
        <v>339</v>
      </c>
      <c r="T8" s="53" t="s">
        <v>340</v>
      </c>
      <c r="Z8" s="58">
        <f>Z6-149000000</f>
        <v>711000000</v>
      </c>
    </row>
    <row r="9" spans="2:20" s="61" customFormat="1" ht="165" customHeight="1">
      <c r="B9" s="37">
        <v>5</v>
      </c>
      <c r="C9" s="38" t="s">
        <v>341</v>
      </c>
      <c r="D9" s="39" t="s">
        <v>342</v>
      </c>
      <c r="E9" s="40" t="s">
        <v>12</v>
      </c>
      <c r="F9" s="63"/>
      <c r="G9" s="24"/>
      <c r="H9" s="24"/>
      <c r="I9" s="39"/>
      <c r="J9" s="59">
        <v>7955252573</v>
      </c>
      <c r="K9" s="59" t="s">
        <v>318</v>
      </c>
      <c r="L9" s="60" t="s">
        <v>343</v>
      </c>
      <c r="M9" s="39" t="s">
        <v>320</v>
      </c>
      <c r="N9" s="39" t="s">
        <v>320</v>
      </c>
      <c r="O9" s="39" t="s">
        <v>320</v>
      </c>
      <c r="P9" s="39" t="s">
        <v>320</v>
      </c>
      <c r="Q9" s="39" t="s">
        <v>344</v>
      </c>
      <c r="R9" s="39" t="s">
        <v>345</v>
      </c>
      <c r="S9" s="59" t="s">
        <v>346</v>
      </c>
      <c r="T9" s="40">
        <v>2</v>
      </c>
    </row>
    <row r="10" spans="2:20" s="61" customFormat="1" ht="206.25" customHeight="1">
      <c r="B10" s="37">
        <v>6</v>
      </c>
      <c r="C10" s="38"/>
      <c r="D10" s="39" t="s">
        <v>347</v>
      </c>
      <c r="E10" s="40" t="s">
        <v>348</v>
      </c>
      <c r="F10" s="39"/>
      <c r="G10" s="7"/>
      <c r="H10" s="39"/>
      <c r="I10" s="7"/>
      <c r="J10" s="7">
        <v>1760000000</v>
      </c>
      <c r="K10" s="59" t="s">
        <v>318</v>
      </c>
      <c r="L10" s="60" t="s">
        <v>343</v>
      </c>
      <c r="M10" s="39" t="s">
        <v>333</v>
      </c>
      <c r="N10" s="39"/>
      <c r="O10" s="39"/>
      <c r="P10" s="39"/>
      <c r="Q10" s="39" t="s">
        <v>344</v>
      </c>
      <c r="R10" s="39"/>
      <c r="S10" s="59"/>
      <c r="T10" s="40"/>
    </row>
    <row r="11" spans="2:20" s="58" customFormat="1" ht="206.25" customHeight="1">
      <c r="B11" s="50">
        <v>7</v>
      </c>
      <c r="C11" s="51" t="s">
        <v>349</v>
      </c>
      <c r="D11" s="52" t="s">
        <v>350</v>
      </c>
      <c r="E11" s="53" t="s">
        <v>12</v>
      </c>
      <c r="F11" s="64"/>
      <c r="G11" s="65"/>
      <c r="H11" s="66"/>
      <c r="I11" s="56"/>
      <c r="J11" s="56">
        <v>3981000000</v>
      </c>
      <c r="K11" s="56" t="s">
        <v>351</v>
      </c>
      <c r="L11" s="57" t="s">
        <v>343</v>
      </c>
      <c r="M11" s="52" t="s">
        <v>320</v>
      </c>
      <c r="N11" s="52" t="s">
        <v>320</v>
      </c>
      <c r="O11" s="52" t="s">
        <v>320</v>
      </c>
      <c r="P11" s="52" t="s">
        <v>320</v>
      </c>
      <c r="Q11" s="52" t="s">
        <v>344</v>
      </c>
      <c r="R11" s="52"/>
      <c r="S11" s="53" t="s">
        <v>352</v>
      </c>
      <c r="T11" s="53">
        <v>2</v>
      </c>
    </row>
    <row r="12" spans="2:20" s="61" customFormat="1" ht="174" customHeight="1">
      <c r="B12" s="37">
        <v>8</v>
      </c>
      <c r="C12" s="38"/>
      <c r="D12" s="39" t="s">
        <v>353</v>
      </c>
      <c r="E12" s="40" t="s">
        <v>354</v>
      </c>
      <c r="F12" s="24"/>
      <c r="G12" s="39"/>
      <c r="H12" s="59"/>
      <c r="I12" s="24"/>
      <c r="J12" s="59">
        <v>3000000000</v>
      </c>
      <c r="K12" s="59" t="s">
        <v>318</v>
      </c>
      <c r="L12" s="60" t="s">
        <v>343</v>
      </c>
      <c r="M12" s="39" t="s">
        <v>333</v>
      </c>
      <c r="N12" s="39"/>
      <c r="O12" s="39"/>
      <c r="P12" s="39"/>
      <c r="Q12" s="39"/>
      <c r="R12" s="39"/>
      <c r="S12" s="40"/>
      <c r="T12" s="40"/>
    </row>
    <row r="13" spans="2:20" s="58" customFormat="1" ht="165" customHeight="1">
      <c r="B13" s="50">
        <v>9</v>
      </c>
      <c r="C13" s="51" t="s">
        <v>355</v>
      </c>
      <c r="D13" s="52" t="s">
        <v>356</v>
      </c>
      <c r="E13" s="53" t="s">
        <v>357</v>
      </c>
      <c r="F13" s="52"/>
      <c r="G13" s="54">
        <v>1313277827</v>
      </c>
      <c r="H13" s="52"/>
      <c r="I13" s="55">
        <v>2460172455</v>
      </c>
      <c r="J13" s="56">
        <f>SUM(G13:I13)</f>
        <v>3773450282</v>
      </c>
      <c r="K13" s="56" t="s">
        <v>358</v>
      </c>
      <c r="L13" s="57" t="s">
        <v>343</v>
      </c>
      <c r="M13" s="52" t="s">
        <v>320</v>
      </c>
      <c r="N13" s="52" t="s">
        <v>320</v>
      </c>
      <c r="O13" s="52" t="s">
        <v>320</v>
      </c>
      <c r="P13" s="52" t="s">
        <v>320</v>
      </c>
      <c r="Q13" s="52" t="s">
        <v>359</v>
      </c>
      <c r="R13" s="52" t="s">
        <v>360</v>
      </c>
      <c r="S13" s="53" t="s">
        <v>361</v>
      </c>
      <c r="T13" s="53">
        <v>2</v>
      </c>
    </row>
    <row r="14" spans="2:20" s="61" customFormat="1" ht="250.5" customHeight="1">
      <c r="B14" s="37">
        <v>10</v>
      </c>
      <c r="C14" s="38" t="s">
        <v>362</v>
      </c>
      <c r="D14" s="39" t="s">
        <v>363</v>
      </c>
      <c r="E14" s="40" t="s">
        <v>12</v>
      </c>
      <c r="F14" s="39"/>
      <c r="G14" s="24"/>
      <c r="H14" s="63"/>
      <c r="I14" s="59"/>
      <c r="J14" s="59">
        <v>7000000000</v>
      </c>
      <c r="K14" s="59" t="s">
        <v>318</v>
      </c>
      <c r="L14" s="60" t="s">
        <v>343</v>
      </c>
      <c r="M14" s="39" t="s">
        <v>321</v>
      </c>
      <c r="N14" s="39" t="s">
        <v>320</v>
      </c>
      <c r="O14" s="39" t="s">
        <v>320</v>
      </c>
      <c r="P14" s="39" t="s">
        <v>320</v>
      </c>
      <c r="Q14" s="39" t="s">
        <v>364</v>
      </c>
      <c r="R14" s="39"/>
      <c r="S14" s="40" t="s">
        <v>365</v>
      </c>
      <c r="T14" s="40">
        <v>2</v>
      </c>
    </row>
    <row r="15" spans="2:20" s="61" customFormat="1" ht="165" customHeight="1">
      <c r="B15" s="37">
        <v>11</v>
      </c>
      <c r="C15" s="38" t="s">
        <v>366</v>
      </c>
      <c r="D15" s="39" t="s">
        <v>396</v>
      </c>
      <c r="E15" s="40" t="s">
        <v>12</v>
      </c>
      <c r="F15" s="39"/>
      <c r="G15" s="24"/>
      <c r="H15" s="63"/>
      <c r="I15" s="24"/>
      <c r="J15" s="24">
        <v>3365609674</v>
      </c>
      <c r="K15" s="59" t="s">
        <v>318</v>
      </c>
      <c r="L15" s="60" t="s">
        <v>343</v>
      </c>
      <c r="M15" s="39" t="s">
        <v>320</v>
      </c>
      <c r="N15" s="39" t="s">
        <v>320</v>
      </c>
      <c r="O15" s="39" t="s">
        <v>320</v>
      </c>
      <c r="P15" s="39" t="s">
        <v>320</v>
      </c>
      <c r="Q15" s="39" t="s">
        <v>344</v>
      </c>
      <c r="R15" s="39"/>
      <c r="S15" s="40" t="s">
        <v>367</v>
      </c>
      <c r="T15" s="40">
        <v>2</v>
      </c>
    </row>
    <row r="16" spans="2:20" s="61" customFormat="1" ht="165" customHeight="1">
      <c r="B16" s="37">
        <v>12</v>
      </c>
      <c r="C16" s="38" t="s">
        <v>368</v>
      </c>
      <c r="D16" s="39" t="s">
        <v>369</v>
      </c>
      <c r="E16" s="40" t="s">
        <v>12</v>
      </c>
      <c r="F16" s="39"/>
      <c r="G16" s="63"/>
      <c r="H16" s="39"/>
      <c r="I16" s="24"/>
      <c r="J16" s="24">
        <v>1000004195</v>
      </c>
      <c r="K16" s="59" t="s">
        <v>318</v>
      </c>
      <c r="L16" s="60" t="s">
        <v>343</v>
      </c>
      <c r="M16" s="39" t="s">
        <v>320</v>
      </c>
      <c r="N16" s="39" t="s">
        <v>320</v>
      </c>
      <c r="O16" s="39" t="s">
        <v>320</v>
      </c>
      <c r="P16" s="39" t="s">
        <v>320</v>
      </c>
      <c r="Q16" s="39" t="s">
        <v>364</v>
      </c>
      <c r="R16" s="39"/>
      <c r="S16" s="59" t="s">
        <v>370</v>
      </c>
      <c r="T16" s="40">
        <v>2</v>
      </c>
    </row>
    <row r="17" spans="2:20" s="61" customFormat="1" ht="165" customHeight="1">
      <c r="B17" s="37">
        <v>13</v>
      </c>
      <c r="C17" s="38"/>
      <c r="D17" s="39" t="s">
        <v>371</v>
      </c>
      <c r="E17" s="40" t="s">
        <v>9</v>
      </c>
      <c r="F17" s="24"/>
      <c r="G17" s="24"/>
      <c r="H17" s="24"/>
      <c r="I17" s="39"/>
      <c r="J17" s="59">
        <v>3921749110</v>
      </c>
      <c r="K17" s="59" t="s">
        <v>318</v>
      </c>
      <c r="L17" s="60" t="s">
        <v>372</v>
      </c>
      <c r="M17" s="39" t="s">
        <v>333</v>
      </c>
      <c r="N17" s="39"/>
      <c r="O17" s="39"/>
      <c r="P17" s="39"/>
      <c r="Q17" s="39"/>
      <c r="R17" s="39" t="s">
        <v>373</v>
      </c>
      <c r="S17" s="40"/>
      <c r="T17" s="40"/>
    </row>
    <row r="18" spans="2:20" s="69" customFormat="1" ht="165" customHeight="1">
      <c r="B18" s="37">
        <v>14</v>
      </c>
      <c r="C18" s="38"/>
      <c r="D18" s="39" t="s">
        <v>374</v>
      </c>
      <c r="E18" s="40" t="s">
        <v>325</v>
      </c>
      <c r="F18" s="63"/>
      <c r="G18" s="24"/>
      <c r="H18" s="24"/>
      <c r="I18" s="8"/>
      <c r="J18" s="44">
        <v>8000000000</v>
      </c>
      <c r="K18" s="44" t="s">
        <v>318</v>
      </c>
      <c r="L18" s="45" t="s">
        <v>375</v>
      </c>
      <c r="M18" s="67" t="s">
        <v>333</v>
      </c>
      <c r="N18" s="67"/>
      <c r="O18" s="67"/>
      <c r="P18" s="67"/>
      <c r="Q18" s="67"/>
      <c r="R18" s="67"/>
      <c r="S18" s="68"/>
      <c r="T18" s="68"/>
    </row>
    <row r="19" spans="2:20" s="69" customFormat="1" ht="165" customHeight="1">
      <c r="B19" s="37">
        <v>15</v>
      </c>
      <c r="C19" s="38" t="s">
        <v>376</v>
      </c>
      <c r="D19" s="39" t="s">
        <v>377</v>
      </c>
      <c r="E19" s="40" t="s">
        <v>378</v>
      </c>
      <c r="F19" s="63"/>
      <c r="G19" s="44">
        <v>225040800</v>
      </c>
      <c r="H19" s="24"/>
      <c r="I19" s="8"/>
      <c r="J19" s="44"/>
      <c r="K19" s="44" t="s">
        <v>379</v>
      </c>
      <c r="L19" s="45" t="s">
        <v>319</v>
      </c>
      <c r="M19" s="67" t="s">
        <v>320</v>
      </c>
      <c r="N19" s="67" t="s">
        <v>321</v>
      </c>
      <c r="O19" s="67" t="s">
        <v>380</v>
      </c>
      <c r="P19" s="67"/>
      <c r="Q19" s="417" t="s">
        <v>381</v>
      </c>
      <c r="R19" s="417"/>
      <c r="S19" s="68" t="s">
        <v>382</v>
      </c>
      <c r="T19" s="40" t="s">
        <v>340</v>
      </c>
    </row>
    <row r="20" spans="2:20" s="69" customFormat="1" ht="165" customHeight="1">
      <c r="B20" s="94"/>
      <c r="C20" s="95"/>
      <c r="D20" s="96" t="s">
        <v>452</v>
      </c>
      <c r="E20" s="97"/>
      <c r="F20" s="98"/>
      <c r="G20" s="99"/>
      <c r="H20" s="93">
        <v>2511203937</v>
      </c>
      <c r="I20" s="12"/>
      <c r="J20" s="99"/>
      <c r="K20" s="100"/>
      <c r="L20" s="101"/>
      <c r="M20" s="102"/>
      <c r="N20" s="102"/>
      <c r="O20" s="102"/>
      <c r="P20" s="102"/>
      <c r="Q20" s="103"/>
      <c r="R20" s="103"/>
      <c r="S20" s="103"/>
      <c r="T20" s="104"/>
    </row>
    <row r="21" spans="2:12" ht="64.5" customHeight="1">
      <c r="B21" s="418" t="s">
        <v>383</v>
      </c>
      <c r="C21" s="418"/>
      <c r="D21" s="418"/>
      <c r="E21" s="418"/>
      <c r="F21" s="70">
        <f>SUM(F5:F19)</f>
        <v>8392034555</v>
      </c>
      <c r="G21" s="70">
        <f>SUM(G5:G19)</f>
        <v>5487704298.5184</v>
      </c>
      <c r="H21" s="70">
        <f>SUM(H5:H20)</f>
        <v>9872135674.714981</v>
      </c>
      <c r="I21" s="70">
        <f>SUM(I5:I19)</f>
        <v>8210758109</v>
      </c>
      <c r="J21" s="70">
        <f>SUM(J5:J19)</f>
        <v>77210003452.23338</v>
      </c>
      <c r="K21" s="71"/>
      <c r="L21" s="71"/>
    </row>
    <row r="22" spans="2:20" s="74" customFormat="1" ht="110.25" customHeight="1">
      <c r="B22" s="415" t="s">
        <v>384</v>
      </c>
      <c r="C22" s="415"/>
      <c r="D22" s="415"/>
      <c r="E22" s="415"/>
      <c r="F22" s="72">
        <v>8392034555.744762</v>
      </c>
      <c r="G22" s="72">
        <v>5488660374.248657</v>
      </c>
      <c r="H22" s="72">
        <v>12193353358</v>
      </c>
      <c r="I22" s="72">
        <v>8429736222</v>
      </c>
      <c r="J22" s="72">
        <f>SUM(F22:I22)</f>
        <v>34503784509.99342</v>
      </c>
      <c r="K22" s="73"/>
      <c r="S22" s="75"/>
      <c r="T22" s="75"/>
    </row>
    <row r="23" spans="2:20" s="74" customFormat="1" ht="78" customHeight="1">
      <c r="B23" s="415" t="s">
        <v>385</v>
      </c>
      <c r="C23" s="415"/>
      <c r="D23" s="415"/>
      <c r="E23" s="415"/>
      <c r="F23" s="72">
        <f>F22-F21</f>
        <v>0.7447624206542969</v>
      </c>
      <c r="G23" s="72">
        <f>G22-G21</f>
        <v>956075.7302570343</v>
      </c>
      <c r="H23" s="72">
        <f>H22-H21</f>
        <v>2321217683.285019</v>
      </c>
      <c r="I23" s="72">
        <f>I22-I21</f>
        <v>218978113</v>
      </c>
      <c r="J23" s="76"/>
      <c r="K23" s="73"/>
      <c r="S23" s="75"/>
      <c r="T23" s="75"/>
    </row>
    <row r="24" spans="2:20" s="74" customFormat="1" ht="78" customHeight="1">
      <c r="B24" s="415" t="s">
        <v>386</v>
      </c>
      <c r="C24" s="415"/>
      <c r="D24" s="415"/>
      <c r="E24" s="415"/>
      <c r="F24" s="77"/>
      <c r="G24" s="77"/>
      <c r="H24" s="77">
        <v>31456100611.014893</v>
      </c>
      <c r="I24" s="77">
        <v>21785483755.560085</v>
      </c>
      <c r="J24" s="78">
        <f>SUM(H24:I24)</f>
        <v>53241584366.57498</v>
      </c>
      <c r="K24" s="73"/>
      <c r="S24" s="75"/>
      <c r="T24" s="75"/>
    </row>
    <row r="25" spans="2:20" s="74" customFormat="1" ht="78" customHeight="1">
      <c r="B25" s="415" t="s">
        <v>383</v>
      </c>
      <c r="C25" s="415"/>
      <c r="D25" s="415"/>
      <c r="E25" s="415"/>
      <c r="F25" s="72"/>
      <c r="G25" s="72"/>
      <c r="H25" s="72"/>
      <c r="I25" s="72">
        <f>I5+I7+I10+I11+I12+I14+I15+I16+I18</f>
        <v>0</v>
      </c>
      <c r="J25" s="76"/>
      <c r="K25" s="73"/>
      <c r="S25" s="75"/>
      <c r="T25" s="75"/>
    </row>
    <row r="26" spans="2:20" s="74" customFormat="1" ht="78" customHeight="1">
      <c r="B26" s="415" t="s">
        <v>387</v>
      </c>
      <c r="C26" s="415"/>
      <c r="D26" s="415"/>
      <c r="E26" s="415"/>
      <c r="F26" s="72"/>
      <c r="G26" s="72"/>
      <c r="H26" s="72">
        <f>H24-H25</f>
        <v>31456100611.014893</v>
      </c>
      <c r="I26" s="72">
        <f>I24-I25</f>
        <v>21785483755.560085</v>
      </c>
      <c r="J26" s="76"/>
      <c r="K26" s="73"/>
      <c r="S26" s="75"/>
      <c r="T26" s="75"/>
    </row>
    <row r="28" spans="2:12" ht="58.5" customHeight="1">
      <c r="B28" s="79"/>
      <c r="C28" s="79"/>
      <c r="D28" s="79"/>
      <c r="E28" s="79"/>
      <c r="F28" s="80"/>
      <c r="G28" s="81"/>
      <c r="H28" s="89"/>
      <c r="I28" s="82"/>
      <c r="J28" s="83"/>
      <c r="K28" s="81"/>
      <c r="L28" s="81"/>
    </row>
    <row r="29" spans="7:9" ht="26.25">
      <c r="G29" s="84"/>
      <c r="H29" s="89"/>
      <c r="I29" s="84"/>
    </row>
    <row r="30" ht="26.25">
      <c r="H30" s="89"/>
    </row>
    <row r="33" ht="26.25">
      <c r="H33" s="90"/>
    </row>
    <row r="34" ht="15">
      <c r="I34" s="85"/>
    </row>
    <row r="36" ht="26.25">
      <c r="U36" s="90"/>
    </row>
  </sheetData>
  <sheetProtection/>
  <mergeCells count="24">
    <mergeCell ref="B2:T2"/>
    <mergeCell ref="B3:C4"/>
    <mergeCell ref="D3:D4"/>
    <mergeCell ref="E3:E4"/>
    <mergeCell ref="F3:G3"/>
    <mergeCell ref="H3:I3"/>
    <mergeCell ref="J3:J4"/>
    <mergeCell ref="K3:K4"/>
    <mergeCell ref="L3:L4"/>
    <mergeCell ref="M3:M4"/>
    <mergeCell ref="B25:E25"/>
    <mergeCell ref="B26:E26"/>
    <mergeCell ref="T3:T4"/>
    <mergeCell ref="Q19:R19"/>
    <mergeCell ref="B21:E21"/>
    <mergeCell ref="B22:E22"/>
    <mergeCell ref="B23:E23"/>
    <mergeCell ref="B24:E24"/>
    <mergeCell ref="N3:N4"/>
    <mergeCell ref="O3:O4"/>
    <mergeCell ref="P3:P4"/>
    <mergeCell ref="Q3:Q4"/>
    <mergeCell ref="R3:R4"/>
    <mergeCell ref="S3:S4"/>
  </mergeCells>
  <printOptions horizontalCentered="1" verticalCentered="1"/>
  <pageMargins left="1.4566929133858268" right="0.7086614173228347" top="0.3937007874015748" bottom="0.5905511811023623" header="0.31496062992125984" footer="0.31496062992125984"/>
  <pageSetup horizontalDpi="600" verticalDpi="600" orientation="landscape" paperSize="5" scale="30" r:id="rId2"/>
  <headerFooter>
    <oddHeader>&amp;L&amp;G&amp;R&amp;G</oddHeader>
  </headerFooter>
  <legacyDrawingHF r:id="rId1"/>
</worksheet>
</file>

<file path=xl/worksheets/sheet5.xml><?xml version="1.0" encoding="utf-8"?>
<worksheet xmlns="http://schemas.openxmlformats.org/spreadsheetml/2006/main" xmlns:r="http://schemas.openxmlformats.org/officeDocument/2006/relationships">
  <dimension ref="A1:IB12"/>
  <sheetViews>
    <sheetView showGridLines="0" showRowColHeaders="0" zoomScale="40" zoomScaleNormal="40" zoomScaleSheetLayoutView="10" zoomScalePageLayoutView="0" workbookViewId="0" topLeftCell="A1">
      <pane ySplit="5" topLeftCell="A6" activePane="bottomLeft" state="frozen"/>
      <selection pane="topLeft" activeCell="A1" sqref="A1"/>
      <selection pane="bottomLeft" activeCell="G1" sqref="G1"/>
    </sheetView>
  </sheetViews>
  <sheetFormatPr defaultColWidth="0" defaultRowHeight="15" zeroHeight="1"/>
  <cols>
    <col min="1" max="1" width="14.7109375" style="250" customWidth="1"/>
    <col min="2" max="2" width="9.8515625" style="4" customWidth="1"/>
    <col min="3" max="3" width="28.57421875" style="4" customWidth="1"/>
    <col min="4" max="4" width="50.00390625" style="4" customWidth="1"/>
    <col min="5" max="5" width="29.00390625" style="4" customWidth="1"/>
    <col min="6" max="6" width="35.7109375" style="4" customWidth="1"/>
    <col min="7" max="7" width="29.7109375" style="4" customWidth="1"/>
    <col min="8" max="8" width="22.28125" style="4" customWidth="1"/>
    <col min="9" max="10" width="22.7109375" style="4" customWidth="1"/>
    <col min="11" max="11" width="26.421875" style="4" customWidth="1"/>
    <col min="12" max="12" width="20.00390625" style="4" customWidth="1"/>
    <col min="13" max="13" width="22.421875" style="4" customWidth="1"/>
    <col min="14" max="14" width="30.8515625" style="1" customWidth="1"/>
    <col min="15" max="15" width="28.28125" style="1" customWidth="1"/>
    <col min="16" max="16" width="49.7109375" style="1" customWidth="1"/>
    <col min="17" max="17" width="21.28125" style="1" customWidth="1"/>
    <col min="18" max="236" width="0" style="1" hidden="1" customWidth="1"/>
    <col min="237" max="16384" width="70.7109375" style="2" hidden="1" customWidth="1"/>
  </cols>
  <sheetData>
    <row r="1" spans="2:236" s="250" customFormat="1" ht="293.25" customHeight="1" thickBot="1">
      <c r="B1" s="253"/>
      <c r="C1" s="253"/>
      <c r="D1" s="253"/>
      <c r="E1" s="253"/>
      <c r="F1" s="253"/>
      <c r="G1" s="253"/>
      <c r="H1" s="253"/>
      <c r="I1" s="253"/>
      <c r="J1" s="253"/>
      <c r="K1" s="253"/>
      <c r="L1" s="253"/>
      <c r="M1" s="253"/>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row>
    <row r="2" spans="2:236" s="250" customFormat="1" ht="27" customHeight="1" thickBot="1">
      <c r="B2" s="420" t="s">
        <v>696</v>
      </c>
      <c r="C2" s="421"/>
      <c r="D2" s="421"/>
      <c r="E2" s="421"/>
      <c r="F2" s="421"/>
      <c r="G2" s="421"/>
      <c r="H2" s="421"/>
      <c r="I2" s="421"/>
      <c r="J2" s="421"/>
      <c r="K2" s="421"/>
      <c r="L2" s="421"/>
      <c r="M2" s="421"/>
      <c r="N2" s="421"/>
      <c r="O2" s="421"/>
      <c r="P2" s="422"/>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row>
    <row r="3" spans="2:236" s="250" customFormat="1" ht="40.5" customHeight="1" thickBot="1">
      <c r="B3" s="424" t="s">
        <v>697</v>
      </c>
      <c r="C3" s="424"/>
      <c r="D3" s="424"/>
      <c r="E3" s="424"/>
      <c r="F3" s="424"/>
      <c r="G3" s="424"/>
      <c r="H3" s="424"/>
      <c r="I3" s="424"/>
      <c r="J3" s="424"/>
      <c r="K3" s="424"/>
      <c r="L3" s="424"/>
      <c r="M3" s="424"/>
      <c r="N3" s="424"/>
      <c r="O3" s="424"/>
      <c r="P3" s="42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row>
    <row r="4" spans="2:236" s="250" customFormat="1" ht="39.75" customHeight="1" thickBot="1">
      <c r="B4" s="426" t="s">
        <v>61</v>
      </c>
      <c r="C4" s="426"/>
      <c r="D4" s="426" t="s">
        <v>7</v>
      </c>
      <c r="E4" s="426" t="s">
        <v>11</v>
      </c>
      <c r="F4" s="426" t="s">
        <v>8</v>
      </c>
      <c r="G4" s="426"/>
      <c r="H4" s="426"/>
      <c r="I4" s="426"/>
      <c r="J4" s="426"/>
      <c r="K4" s="426"/>
      <c r="L4" s="426"/>
      <c r="M4" s="426"/>
      <c r="N4" s="425" t="s">
        <v>10</v>
      </c>
      <c r="O4" s="425" t="s">
        <v>495</v>
      </c>
      <c r="P4" s="425" t="s">
        <v>458</v>
      </c>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4"/>
      <c r="EJ4" s="254"/>
      <c r="EK4" s="254"/>
      <c r="EL4" s="254"/>
      <c r="EM4" s="254"/>
      <c r="EN4" s="254"/>
      <c r="EO4" s="254"/>
      <c r="EP4" s="254"/>
      <c r="EQ4" s="254"/>
      <c r="ER4" s="254"/>
      <c r="ES4" s="254"/>
      <c r="ET4" s="254"/>
      <c r="EU4" s="254"/>
      <c r="EV4" s="254"/>
      <c r="EW4" s="254"/>
      <c r="EX4" s="254"/>
      <c r="EY4" s="254"/>
      <c r="EZ4" s="254"/>
      <c r="FA4" s="254"/>
      <c r="FB4" s="254"/>
      <c r="FC4" s="254"/>
      <c r="FD4" s="254"/>
      <c r="FE4" s="254"/>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row>
    <row r="5" spans="2:16" s="251" customFormat="1" ht="47.25" customHeight="1" thickBot="1">
      <c r="B5" s="426"/>
      <c r="C5" s="426"/>
      <c r="D5" s="426"/>
      <c r="E5" s="426"/>
      <c r="F5" s="313" t="s">
        <v>2</v>
      </c>
      <c r="G5" s="313" t="s">
        <v>3</v>
      </c>
      <c r="H5" s="313" t="s">
        <v>92</v>
      </c>
      <c r="I5" s="313" t="s">
        <v>1</v>
      </c>
      <c r="J5" s="313" t="s">
        <v>5</v>
      </c>
      <c r="K5" s="313" t="s">
        <v>252</v>
      </c>
      <c r="L5" s="313" t="s">
        <v>403</v>
      </c>
      <c r="M5" s="313" t="s">
        <v>404</v>
      </c>
      <c r="N5" s="425"/>
      <c r="O5" s="425"/>
      <c r="P5" s="425"/>
    </row>
    <row r="6" spans="1:17" s="3" customFormat="1" ht="141" customHeight="1">
      <c r="A6" s="252"/>
      <c r="B6" s="305">
        <v>1</v>
      </c>
      <c r="C6" s="306" t="s">
        <v>366</v>
      </c>
      <c r="D6" s="307" t="s">
        <v>693</v>
      </c>
      <c r="E6" s="308" t="s">
        <v>12</v>
      </c>
      <c r="F6" s="309"/>
      <c r="G6" s="309">
        <v>3365609674</v>
      </c>
      <c r="H6" s="309"/>
      <c r="I6" s="310"/>
      <c r="J6" s="310"/>
      <c r="K6" s="310"/>
      <c r="L6" s="310"/>
      <c r="M6" s="310"/>
      <c r="N6" s="311"/>
      <c r="O6" s="311"/>
      <c r="P6" s="312" t="s">
        <v>501</v>
      </c>
      <c r="Q6" s="91"/>
    </row>
    <row r="7" spans="1:17" s="3" customFormat="1" ht="141" customHeight="1">
      <c r="A7" s="252"/>
      <c r="B7" s="296">
        <v>2</v>
      </c>
      <c r="C7" s="297" t="s">
        <v>366</v>
      </c>
      <c r="D7" s="298" t="s">
        <v>692</v>
      </c>
      <c r="E7" s="299" t="s">
        <v>12</v>
      </c>
      <c r="F7" s="300">
        <v>7000000000</v>
      </c>
      <c r="G7" s="300"/>
      <c r="H7" s="300"/>
      <c r="I7" s="301"/>
      <c r="J7" s="301"/>
      <c r="K7" s="301"/>
      <c r="L7" s="301"/>
      <c r="M7" s="301"/>
      <c r="N7" s="302">
        <f>SUM(F7:I7)</f>
        <v>7000000000</v>
      </c>
      <c r="O7" s="302">
        <f>F7+G7+H7+I7+J7+L7+M7</f>
        <v>7000000000</v>
      </c>
      <c r="P7" s="304" t="s">
        <v>502</v>
      </c>
      <c r="Q7" s="91"/>
    </row>
    <row r="8" spans="1:17" s="3" customFormat="1" ht="141" customHeight="1">
      <c r="A8" s="252"/>
      <c r="B8" s="303">
        <v>3</v>
      </c>
      <c r="C8" s="297" t="s">
        <v>496</v>
      </c>
      <c r="D8" s="298" t="s">
        <v>691</v>
      </c>
      <c r="E8" s="299" t="s">
        <v>13</v>
      </c>
      <c r="F8" s="300">
        <v>1864733333</v>
      </c>
      <c r="G8" s="300"/>
      <c r="H8" s="300"/>
      <c r="I8" s="301"/>
      <c r="J8" s="301"/>
      <c r="K8" s="301"/>
      <c r="L8" s="301"/>
      <c r="M8" s="301"/>
      <c r="N8" s="302">
        <f>SUM(F8:I8)</f>
        <v>1864733333</v>
      </c>
      <c r="O8" s="302">
        <f>F8+G8+H8+I8+J8+L8+M8</f>
        <v>1864733333</v>
      </c>
      <c r="P8" s="304" t="s">
        <v>502</v>
      </c>
      <c r="Q8" s="91"/>
    </row>
    <row r="9" spans="1:17" s="3" customFormat="1" ht="141" customHeight="1">
      <c r="A9" s="252"/>
      <c r="B9" s="303">
        <v>4</v>
      </c>
      <c r="C9" s="297" t="s">
        <v>349</v>
      </c>
      <c r="D9" s="298" t="s">
        <v>690</v>
      </c>
      <c r="E9" s="299" t="s">
        <v>12</v>
      </c>
      <c r="F9" s="300"/>
      <c r="G9" s="300">
        <v>3981000000</v>
      </c>
      <c r="H9" s="300"/>
      <c r="I9" s="301"/>
      <c r="J9" s="301"/>
      <c r="K9" s="301"/>
      <c r="L9" s="301"/>
      <c r="M9" s="301"/>
      <c r="N9" s="302">
        <f>SUM(F9:I9)</f>
        <v>3981000000</v>
      </c>
      <c r="O9" s="302">
        <f>F9+G9+H9+I9+J9+L9+M9</f>
        <v>3981000000</v>
      </c>
      <c r="P9" s="304" t="s">
        <v>502</v>
      </c>
      <c r="Q9" s="91"/>
    </row>
    <row r="10" spans="1:17" s="3" customFormat="1" ht="141" customHeight="1">
      <c r="A10" s="252"/>
      <c r="B10" s="303">
        <v>5</v>
      </c>
      <c r="C10" s="297" t="s">
        <v>497</v>
      </c>
      <c r="D10" s="298" t="s">
        <v>688</v>
      </c>
      <c r="E10" s="299" t="s">
        <v>12</v>
      </c>
      <c r="F10" s="300">
        <v>2329985768</v>
      </c>
      <c r="G10" s="300"/>
      <c r="H10" s="300"/>
      <c r="I10" s="301"/>
      <c r="J10" s="301"/>
      <c r="K10" s="301"/>
      <c r="L10" s="301"/>
      <c r="M10" s="301"/>
      <c r="N10" s="302">
        <f>SUM(F10:I10)</f>
        <v>2329985768</v>
      </c>
      <c r="O10" s="302">
        <f>F10+G10+H10+I10+J10+L10+M10</f>
        <v>2329985768</v>
      </c>
      <c r="P10" s="304" t="s">
        <v>502</v>
      </c>
      <c r="Q10" s="91"/>
    </row>
    <row r="11" spans="1:17" s="3" customFormat="1" ht="141" customHeight="1" thickBot="1">
      <c r="A11" s="252"/>
      <c r="B11" s="314">
        <v>6</v>
      </c>
      <c r="C11" s="315" t="s">
        <v>498</v>
      </c>
      <c r="D11" s="316" t="s">
        <v>689</v>
      </c>
      <c r="E11" s="317" t="s">
        <v>499</v>
      </c>
      <c r="F11" s="318">
        <v>1000000000</v>
      </c>
      <c r="G11" s="318"/>
      <c r="H11" s="318"/>
      <c r="I11" s="319"/>
      <c r="J11" s="319"/>
      <c r="K11" s="319">
        <v>999130613</v>
      </c>
      <c r="L11" s="319"/>
      <c r="M11" s="319"/>
      <c r="N11" s="320">
        <f>SUM(F11:M11)</f>
        <v>1999130613</v>
      </c>
      <c r="O11" s="320">
        <f>F11+G11+H11+I11+J11+L11+M11</f>
        <v>1000000000</v>
      </c>
      <c r="P11" s="321" t="s">
        <v>502</v>
      </c>
      <c r="Q11" s="91"/>
    </row>
    <row r="12" spans="1:236" s="324" customFormat="1" ht="33" customHeight="1" thickBot="1">
      <c r="A12" s="322"/>
      <c r="B12" s="423" t="s">
        <v>694</v>
      </c>
      <c r="C12" s="423"/>
      <c r="D12" s="423"/>
      <c r="E12" s="423"/>
      <c r="F12" s="325">
        <f>SUM(F6:F11)</f>
        <v>12194719101</v>
      </c>
      <c r="G12" s="325">
        <f aca="true" t="shared" si="0" ref="G12:O12">SUM(G6:G11)</f>
        <v>7346609674</v>
      </c>
      <c r="H12" s="325">
        <f t="shared" si="0"/>
        <v>0</v>
      </c>
      <c r="I12" s="325">
        <f t="shared" si="0"/>
        <v>0</v>
      </c>
      <c r="J12" s="325">
        <f t="shared" si="0"/>
        <v>0</v>
      </c>
      <c r="K12" s="325">
        <f t="shared" si="0"/>
        <v>999130613</v>
      </c>
      <c r="L12" s="325">
        <f t="shared" si="0"/>
        <v>0</v>
      </c>
      <c r="M12" s="325">
        <f t="shared" si="0"/>
        <v>0</v>
      </c>
      <c r="N12" s="325">
        <f t="shared" si="0"/>
        <v>17174849714</v>
      </c>
      <c r="O12" s="325">
        <f t="shared" si="0"/>
        <v>16175719101</v>
      </c>
      <c r="P12" s="326"/>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3"/>
      <c r="DG12" s="323"/>
      <c r="DH12" s="323"/>
      <c r="DI12" s="323"/>
      <c r="DJ12" s="323"/>
      <c r="DK12" s="323"/>
      <c r="DL12" s="323"/>
      <c r="DM12" s="323"/>
      <c r="DN12" s="323"/>
      <c r="DO12" s="323"/>
      <c r="DP12" s="323"/>
      <c r="DQ12" s="323"/>
      <c r="DR12" s="323"/>
      <c r="DS12" s="323"/>
      <c r="DT12" s="323"/>
      <c r="DU12" s="323"/>
      <c r="DV12" s="323"/>
      <c r="DW12" s="323"/>
      <c r="DX12" s="323"/>
      <c r="DY12" s="323"/>
      <c r="DZ12" s="323"/>
      <c r="EA12" s="323"/>
      <c r="EB12" s="323"/>
      <c r="EC12" s="323"/>
      <c r="ED12" s="323"/>
      <c r="EE12" s="323"/>
      <c r="EF12" s="323"/>
      <c r="EG12" s="323"/>
      <c r="EH12" s="323"/>
      <c r="EI12" s="323"/>
      <c r="EJ12" s="323"/>
      <c r="EK12" s="323"/>
      <c r="EL12" s="323"/>
      <c r="EM12" s="323"/>
      <c r="EN12" s="323"/>
      <c r="EO12" s="323"/>
      <c r="EP12" s="323"/>
      <c r="EQ12" s="323"/>
      <c r="ER12" s="323"/>
      <c r="ES12" s="323"/>
      <c r="ET12" s="323"/>
      <c r="EU12" s="323"/>
      <c r="EV12" s="323"/>
      <c r="EW12" s="323"/>
      <c r="EX12" s="323"/>
      <c r="EY12" s="323"/>
      <c r="EZ12" s="323"/>
      <c r="FA12" s="323"/>
      <c r="FB12" s="323"/>
      <c r="FC12" s="323"/>
      <c r="FD12" s="323"/>
      <c r="FE12" s="323"/>
      <c r="FF12" s="323"/>
      <c r="FG12" s="323"/>
      <c r="FH12" s="323"/>
      <c r="FI12" s="323"/>
      <c r="FJ12" s="323"/>
      <c r="FK12" s="323"/>
      <c r="FL12" s="323"/>
      <c r="FM12" s="323"/>
      <c r="FN12" s="323"/>
      <c r="FO12" s="323"/>
      <c r="FP12" s="323"/>
      <c r="FQ12" s="323"/>
      <c r="FR12" s="323"/>
      <c r="FS12" s="323"/>
      <c r="FT12" s="323"/>
      <c r="FU12" s="323"/>
      <c r="FV12" s="323"/>
      <c r="FW12" s="323"/>
      <c r="FX12" s="323"/>
      <c r="FY12" s="323"/>
      <c r="FZ12" s="323"/>
      <c r="GA12" s="323"/>
      <c r="GB12" s="323"/>
      <c r="GC12" s="323"/>
      <c r="GD12" s="323"/>
      <c r="GE12" s="323"/>
      <c r="GF12" s="323"/>
      <c r="GG12" s="323"/>
      <c r="GH12" s="323"/>
      <c r="GI12" s="323"/>
      <c r="GJ12" s="323"/>
      <c r="GK12" s="323"/>
      <c r="GL12" s="323"/>
      <c r="GM12" s="323"/>
      <c r="GN12" s="323"/>
      <c r="GO12" s="323"/>
      <c r="GP12" s="323"/>
      <c r="GQ12" s="323"/>
      <c r="GR12" s="323"/>
      <c r="GS12" s="323"/>
      <c r="GT12" s="323"/>
      <c r="GU12" s="323"/>
      <c r="GV12" s="323"/>
      <c r="GW12" s="323"/>
      <c r="GX12" s="323"/>
      <c r="GY12" s="323"/>
      <c r="GZ12" s="323"/>
      <c r="HA12" s="323"/>
      <c r="HB12" s="323"/>
      <c r="HC12" s="323"/>
      <c r="HD12" s="323"/>
      <c r="HE12" s="323"/>
      <c r="HF12" s="323"/>
      <c r="HG12" s="323"/>
      <c r="HH12" s="323"/>
      <c r="HI12" s="323"/>
      <c r="HJ12" s="323"/>
      <c r="HK12" s="323"/>
      <c r="HL12" s="323"/>
      <c r="HM12" s="323"/>
      <c r="HN12" s="323"/>
      <c r="HO12" s="323"/>
      <c r="HP12" s="323"/>
      <c r="HQ12" s="323"/>
      <c r="HR12" s="323"/>
      <c r="HS12" s="323"/>
      <c r="HT12" s="323"/>
      <c r="HU12" s="323"/>
      <c r="HV12" s="323"/>
      <c r="HW12" s="323"/>
      <c r="HX12" s="323"/>
      <c r="HY12" s="323"/>
      <c r="HZ12" s="323"/>
      <c r="IA12" s="323"/>
      <c r="IB12" s="323"/>
    </row>
    <row r="13" ht="21"/>
    <row r="14" ht="21"/>
    <row r="15" ht="21"/>
    <row r="16" ht="21"/>
    <row r="17" ht="21"/>
    <row r="18" ht="21"/>
    <row r="19" ht="21"/>
    <row r="20" ht="21"/>
    <row r="21" ht="21"/>
    <row r="22" ht="21"/>
    <row r="23" ht="21"/>
    <row r="24" ht="21"/>
    <row r="25" ht="21"/>
  </sheetData>
  <sheetProtection selectLockedCells="1" sort="0" selectUnlockedCells="1"/>
  <mergeCells count="10">
    <mergeCell ref="B2:P2"/>
    <mergeCell ref="B12:E12"/>
    <mergeCell ref="B3:P3"/>
    <mergeCell ref="P4:P5"/>
    <mergeCell ref="B4:C5"/>
    <mergeCell ref="D4:D5"/>
    <mergeCell ref="E4:E5"/>
    <mergeCell ref="F4:M4"/>
    <mergeCell ref="N4:N5"/>
    <mergeCell ref="O4:O5"/>
  </mergeCells>
  <printOptions horizontalCentered="1"/>
  <pageMargins left="0.3937007874015748" right="0.15748031496062992" top="0.4724409448818898" bottom="0.7480314960629921" header="0.31496062992125984" footer="0.31496062992125984"/>
  <pageSetup fitToHeight="5" horizontalDpi="600" verticalDpi="600" orientation="landscape" paperSize="123" scale="24" r:id="rId2"/>
  <ignoredErrors>
    <ignoredError sqref="C6:C11" numberStoredAsText="1"/>
  </ignoredErrors>
  <drawing r:id="rId1"/>
</worksheet>
</file>

<file path=xl/worksheets/sheet6.xml><?xml version="1.0" encoding="utf-8"?>
<worksheet xmlns="http://schemas.openxmlformats.org/spreadsheetml/2006/main" xmlns:r="http://schemas.openxmlformats.org/officeDocument/2006/relationships">
  <dimension ref="A1:IV74"/>
  <sheetViews>
    <sheetView showGridLines="0" showRowColHeaders="0" zoomScale="40" zoomScaleNormal="40" zoomScaleSheetLayoutView="10" zoomScalePageLayoutView="0" workbookViewId="0" topLeftCell="A1">
      <pane ySplit="6" topLeftCell="A7" activePane="bottomLeft" state="frozen"/>
      <selection pane="topLeft" activeCell="A1" sqref="A1"/>
      <selection pane="bottomLeft" activeCell="AA62" sqref="AA62"/>
    </sheetView>
  </sheetViews>
  <sheetFormatPr defaultColWidth="0" defaultRowHeight="15" zeroHeight="1"/>
  <cols>
    <col min="1" max="1" width="25.57421875" style="125" customWidth="1"/>
    <col min="2" max="2" width="13.28125" style="123" customWidth="1"/>
    <col min="3" max="3" width="27.7109375" style="123" customWidth="1"/>
    <col min="4" max="4" width="57.57421875" style="123" customWidth="1"/>
    <col min="5" max="5" width="25.7109375" style="123" customWidth="1"/>
    <col min="6" max="6" width="66.7109375" style="123" hidden="1" customWidth="1"/>
    <col min="7" max="7" width="93.28125" style="123" hidden="1" customWidth="1"/>
    <col min="8" max="8" width="59.28125" style="123" hidden="1" customWidth="1"/>
    <col min="9" max="9" width="73.28125" style="123" customWidth="1"/>
    <col min="10" max="10" width="35.421875" style="123" customWidth="1"/>
    <col min="11" max="11" width="38.7109375" style="123" customWidth="1"/>
    <col min="12" max="12" width="36.7109375" style="123" customWidth="1"/>
    <col min="13" max="13" width="24.8515625" style="123" customWidth="1"/>
    <col min="14" max="14" width="36.28125" style="123" customWidth="1"/>
    <col min="15" max="15" width="39.57421875" style="123" customWidth="1"/>
    <col min="16" max="17" width="37.28125" style="124" customWidth="1"/>
    <col min="18" max="18" width="39.00390625" style="124" customWidth="1"/>
    <col min="19" max="19" width="44.57421875" style="124" customWidth="1"/>
    <col min="20" max="20" width="32.421875" style="124" customWidth="1"/>
    <col min="21" max="21" width="43.421875" style="124" customWidth="1"/>
    <col min="22" max="22" width="58.28125" style="124" customWidth="1"/>
    <col min="23" max="23" width="26.421875" style="124" customWidth="1"/>
    <col min="24" max="24" width="30.7109375" style="124" customWidth="1"/>
    <col min="25" max="25" width="29.28125" style="124" customWidth="1"/>
    <col min="26" max="26" width="33.421875" style="124" customWidth="1"/>
    <col min="27" max="27" width="38.8515625" style="124" customWidth="1"/>
    <col min="28" max="28" width="70.7109375" style="124" customWidth="1"/>
    <col min="29" max="248" width="0" style="124" hidden="1" customWidth="1"/>
    <col min="249" max="16384" width="0" style="125" hidden="1" customWidth="1"/>
  </cols>
  <sheetData>
    <row r="1" spans="2:248" s="247" customFormat="1" ht="383.25" customHeight="1" thickBot="1">
      <c r="B1" s="245"/>
      <c r="C1" s="245"/>
      <c r="D1" s="245"/>
      <c r="E1" s="245"/>
      <c r="F1" s="245"/>
      <c r="G1" s="245"/>
      <c r="H1" s="245"/>
      <c r="I1" s="245"/>
      <c r="J1" s="245"/>
      <c r="K1" s="245"/>
      <c r="L1" s="245"/>
      <c r="M1" s="245"/>
      <c r="N1" s="245"/>
      <c r="O1" s="245"/>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c r="FK1" s="246"/>
      <c r="FL1" s="246"/>
      <c r="FM1" s="246"/>
      <c r="FN1" s="246"/>
      <c r="FO1" s="246"/>
      <c r="FP1" s="246"/>
      <c r="FQ1" s="246"/>
      <c r="FR1" s="246"/>
      <c r="FS1" s="246"/>
      <c r="FT1" s="246"/>
      <c r="FU1" s="246"/>
      <c r="FV1" s="246"/>
      <c r="FW1" s="246"/>
      <c r="FX1" s="246"/>
      <c r="FY1" s="246"/>
      <c r="FZ1" s="246"/>
      <c r="GA1" s="246"/>
      <c r="GB1" s="246"/>
      <c r="GC1" s="246"/>
      <c r="GD1" s="246"/>
      <c r="GE1" s="246"/>
      <c r="GF1" s="246"/>
      <c r="GG1" s="246"/>
      <c r="GH1" s="246"/>
      <c r="GI1" s="246"/>
      <c r="GJ1" s="246"/>
      <c r="GK1" s="246"/>
      <c r="GL1" s="246"/>
      <c r="GM1" s="246"/>
      <c r="GN1" s="246"/>
      <c r="GO1" s="246"/>
      <c r="GP1" s="246"/>
      <c r="GQ1" s="246"/>
      <c r="GR1" s="246"/>
      <c r="GS1" s="246"/>
      <c r="GT1" s="246"/>
      <c r="GU1" s="246"/>
      <c r="GV1" s="246"/>
      <c r="GW1" s="246"/>
      <c r="GX1" s="246"/>
      <c r="GY1" s="246"/>
      <c r="GZ1" s="246"/>
      <c r="HA1" s="246"/>
      <c r="HB1" s="246"/>
      <c r="HC1" s="246"/>
      <c r="HD1" s="246"/>
      <c r="HE1" s="246"/>
      <c r="HF1" s="246"/>
      <c r="HG1" s="246"/>
      <c r="HH1" s="246"/>
      <c r="HI1" s="246"/>
      <c r="HJ1" s="246"/>
      <c r="HK1" s="246"/>
      <c r="HL1" s="246"/>
      <c r="HM1" s="246"/>
      <c r="HN1" s="246"/>
      <c r="HO1" s="246"/>
      <c r="HP1" s="246"/>
      <c r="HQ1" s="246"/>
      <c r="HR1" s="246"/>
      <c r="HS1" s="246"/>
      <c r="HT1" s="246"/>
      <c r="HU1" s="246"/>
      <c r="HV1" s="246"/>
      <c r="HW1" s="246"/>
      <c r="HX1" s="246"/>
      <c r="HY1" s="246"/>
      <c r="HZ1" s="246"/>
      <c r="IA1" s="246"/>
      <c r="IB1" s="246"/>
      <c r="IC1" s="246"/>
      <c r="ID1" s="246"/>
      <c r="IE1" s="246"/>
      <c r="IF1" s="246"/>
      <c r="IG1" s="246"/>
      <c r="IH1" s="246"/>
      <c r="II1" s="246"/>
      <c r="IJ1" s="246"/>
      <c r="IK1" s="246"/>
      <c r="IL1" s="246"/>
      <c r="IM1" s="246"/>
      <c r="IN1" s="246"/>
    </row>
    <row r="2" spans="2:248" s="247" customFormat="1" ht="29.25" customHeight="1" thickBot="1">
      <c r="B2" s="431" t="s">
        <v>698</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3"/>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46"/>
      <c r="FN2" s="246"/>
      <c r="FO2" s="246"/>
      <c r="FP2" s="246"/>
      <c r="FQ2" s="246"/>
      <c r="FR2" s="246"/>
      <c r="FS2" s="246"/>
      <c r="FT2" s="246"/>
      <c r="FU2" s="246"/>
      <c r="FV2" s="246"/>
      <c r="FW2" s="246"/>
      <c r="FX2" s="246"/>
      <c r="FY2" s="246"/>
      <c r="FZ2" s="246"/>
      <c r="GA2" s="246"/>
      <c r="GB2" s="246"/>
      <c r="GC2" s="246"/>
      <c r="GD2" s="246"/>
      <c r="GE2" s="246"/>
      <c r="GF2" s="246"/>
      <c r="GG2" s="246"/>
      <c r="GH2" s="246"/>
      <c r="GI2" s="246"/>
      <c r="GJ2" s="246"/>
      <c r="GK2" s="246"/>
      <c r="GL2" s="246"/>
      <c r="GM2" s="246"/>
      <c r="GN2" s="246"/>
      <c r="GO2" s="246"/>
      <c r="GP2" s="246"/>
      <c r="GQ2" s="246"/>
      <c r="GR2" s="246"/>
      <c r="GS2" s="246"/>
      <c r="GT2" s="246"/>
      <c r="GU2" s="246"/>
      <c r="GV2" s="246"/>
      <c r="GW2" s="246"/>
      <c r="GX2" s="246"/>
      <c r="GY2" s="246"/>
      <c r="GZ2" s="246"/>
      <c r="HA2" s="246"/>
      <c r="HB2" s="246"/>
      <c r="HC2" s="246"/>
      <c r="HD2" s="246"/>
      <c r="HE2" s="246"/>
      <c r="HF2" s="246"/>
      <c r="HG2" s="246"/>
      <c r="HH2" s="246"/>
      <c r="HI2" s="246"/>
      <c r="HJ2" s="246"/>
      <c r="HK2" s="246"/>
      <c r="HL2" s="246"/>
      <c r="HM2" s="246"/>
      <c r="HN2" s="246"/>
      <c r="HO2" s="246"/>
      <c r="HP2" s="246"/>
      <c r="HQ2" s="246"/>
      <c r="HR2" s="246"/>
      <c r="HS2" s="246"/>
      <c r="HT2" s="246"/>
      <c r="HU2" s="246"/>
      <c r="HV2" s="246"/>
      <c r="HW2" s="246"/>
      <c r="HX2" s="246"/>
      <c r="HY2" s="246"/>
      <c r="HZ2" s="246"/>
      <c r="IA2" s="246"/>
      <c r="IB2" s="246"/>
      <c r="IC2" s="246"/>
      <c r="ID2" s="246"/>
      <c r="IE2" s="246"/>
      <c r="IF2" s="246"/>
      <c r="IG2" s="246"/>
      <c r="IH2" s="246"/>
      <c r="II2" s="246"/>
      <c r="IJ2" s="246"/>
      <c r="IK2" s="246"/>
      <c r="IL2" s="246"/>
      <c r="IM2" s="246"/>
      <c r="IN2" s="246"/>
    </row>
    <row r="3" spans="2:248" s="247" customFormat="1" ht="34.5" thickBot="1">
      <c r="B3" s="427" t="s">
        <v>699</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c r="HZ3" s="246"/>
      <c r="IA3" s="246"/>
      <c r="IB3" s="246"/>
      <c r="IC3" s="246"/>
      <c r="ID3" s="246"/>
      <c r="IE3" s="246"/>
      <c r="IF3" s="246"/>
      <c r="IG3" s="246"/>
      <c r="IH3" s="246"/>
      <c r="II3" s="246"/>
      <c r="IJ3" s="246"/>
      <c r="IK3" s="246"/>
      <c r="IL3" s="246"/>
      <c r="IM3" s="246"/>
      <c r="IN3" s="246"/>
    </row>
    <row r="4" spans="2:248" s="247" customFormat="1" ht="23.25">
      <c r="B4" s="245"/>
      <c r="C4" s="245"/>
      <c r="D4" s="245"/>
      <c r="E4" s="245"/>
      <c r="F4" s="245"/>
      <c r="G4" s="245"/>
      <c r="H4" s="245"/>
      <c r="I4" s="245"/>
      <c r="J4" s="245"/>
      <c r="K4" s="245"/>
      <c r="L4" s="245"/>
      <c r="M4" s="245"/>
      <c r="N4" s="245"/>
      <c r="O4" s="245"/>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c r="HB4" s="246"/>
      <c r="HC4" s="246"/>
      <c r="HD4" s="246"/>
      <c r="HE4" s="246"/>
      <c r="HF4" s="246"/>
      <c r="HG4" s="246"/>
      <c r="HH4" s="246"/>
      <c r="HI4" s="246"/>
      <c r="HJ4" s="246"/>
      <c r="HK4" s="246"/>
      <c r="HL4" s="246"/>
      <c r="HM4" s="246"/>
      <c r="HN4" s="246"/>
      <c r="HO4" s="246"/>
      <c r="HP4" s="246"/>
      <c r="HQ4" s="246"/>
      <c r="HR4" s="246"/>
      <c r="HS4" s="246"/>
      <c r="HT4" s="246"/>
      <c r="HU4" s="246"/>
      <c r="HV4" s="246"/>
      <c r="HW4" s="246"/>
      <c r="HX4" s="246"/>
      <c r="HY4" s="246"/>
      <c r="HZ4" s="246"/>
      <c r="IA4" s="246"/>
      <c r="IB4" s="246"/>
      <c r="IC4" s="246"/>
      <c r="ID4" s="246"/>
      <c r="IE4" s="246"/>
      <c r="IF4" s="246"/>
      <c r="IG4" s="246"/>
      <c r="IH4" s="246"/>
      <c r="II4" s="246"/>
      <c r="IJ4" s="246"/>
      <c r="IK4" s="246"/>
      <c r="IL4" s="246"/>
      <c r="IM4" s="246"/>
      <c r="IN4" s="246"/>
    </row>
    <row r="5" spans="2:248" s="247" customFormat="1" ht="24" thickBot="1">
      <c r="B5" s="245"/>
      <c r="C5" s="245"/>
      <c r="D5" s="245"/>
      <c r="E5" s="245"/>
      <c r="F5" s="245"/>
      <c r="G5" s="245"/>
      <c r="H5" s="245"/>
      <c r="I5" s="245"/>
      <c r="J5" s="245"/>
      <c r="K5" s="245"/>
      <c r="L5" s="245"/>
      <c r="M5" s="245"/>
      <c r="N5" s="245"/>
      <c r="O5" s="245"/>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c r="HZ5" s="246"/>
      <c r="IA5" s="246"/>
      <c r="IB5" s="246"/>
      <c r="IC5" s="246"/>
      <c r="ID5" s="246"/>
      <c r="IE5" s="246"/>
      <c r="IF5" s="246"/>
      <c r="IG5" s="246"/>
      <c r="IH5" s="246"/>
      <c r="II5" s="246"/>
      <c r="IJ5" s="246"/>
      <c r="IK5" s="246"/>
      <c r="IL5" s="246"/>
      <c r="IM5" s="246"/>
      <c r="IN5" s="246"/>
    </row>
    <row r="6" spans="2:27" s="248" customFormat="1" ht="86.25" customHeight="1" thickBot="1">
      <c r="B6" s="341" t="s">
        <v>520</v>
      </c>
      <c r="C6" s="341" t="s">
        <v>61</v>
      </c>
      <c r="D6" s="341" t="s">
        <v>7</v>
      </c>
      <c r="E6" s="341" t="s">
        <v>11</v>
      </c>
      <c r="F6" s="341" t="s">
        <v>17</v>
      </c>
      <c r="G6" s="341" t="s">
        <v>96</v>
      </c>
      <c r="H6" s="341" t="s">
        <v>519</v>
      </c>
      <c r="I6" s="341" t="s">
        <v>596</v>
      </c>
      <c r="J6" s="342" t="s">
        <v>2</v>
      </c>
      <c r="K6" s="342" t="s">
        <v>3</v>
      </c>
      <c r="L6" s="342" t="s">
        <v>92</v>
      </c>
      <c r="M6" s="342" t="s">
        <v>1</v>
      </c>
      <c r="N6" s="342" t="s">
        <v>5</v>
      </c>
      <c r="O6" s="342" t="s">
        <v>252</v>
      </c>
      <c r="P6" s="342" t="s">
        <v>10</v>
      </c>
      <c r="Q6" s="342" t="s">
        <v>41</v>
      </c>
      <c r="R6" s="342" t="s">
        <v>224</v>
      </c>
      <c r="S6" s="342" t="s">
        <v>36</v>
      </c>
      <c r="T6" s="343" t="s">
        <v>211</v>
      </c>
      <c r="U6" s="343" t="s">
        <v>286</v>
      </c>
      <c r="V6" s="344" t="s">
        <v>95</v>
      </c>
      <c r="W6" s="344" t="s">
        <v>115</v>
      </c>
      <c r="X6" s="344" t="s">
        <v>116</v>
      </c>
      <c r="Y6" s="344" t="s">
        <v>117</v>
      </c>
      <c r="Z6" s="344" t="s">
        <v>120</v>
      </c>
      <c r="AA6" s="345" t="s">
        <v>458</v>
      </c>
    </row>
    <row r="7" spans="2:29" s="128" customFormat="1" ht="141" customHeight="1">
      <c r="B7" s="327">
        <v>1</v>
      </c>
      <c r="C7" s="328" t="s">
        <v>62</v>
      </c>
      <c r="D7" s="329" t="s">
        <v>607</v>
      </c>
      <c r="E7" s="330" t="s">
        <v>521</v>
      </c>
      <c r="F7" s="329" t="s">
        <v>23</v>
      </c>
      <c r="G7" s="329" t="s">
        <v>98</v>
      </c>
      <c r="H7" s="331" t="s">
        <v>518</v>
      </c>
      <c r="I7" s="332" t="s">
        <v>648</v>
      </c>
      <c r="J7" s="333"/>
      <c r="K7" s="334">
        <v>3735750000</v>
      </c>
      <c r="L7" s="334"/>
      <c r="M7" s="335"/>
      <c r="N7" s="335"/>
      <c r="O7" s="335"/>
      <c r="P7" s="334">
        <f>SUM(J7:M7)</f>
        <v>3735750000</v>
      </c>
      <c r="Q7" s="334">
        <f aca="true" t="shared" si="0" ref="Q7:Q37">SUM(J7:N7)</f>
        <v>3735750000</v>
      </c>
      <c r="R7" s="334">
        <f>Q7</f>
        <v>3735750000</v>
      </c>
      <c r="S7" s="336" t="s">
        <v>37</v>
      </c>
      <c r="T7" s="334" t="s">
        <v>212</v>
      </c>
      <c r="U7" s="334" t="s">
        <v>287</v>
      </c>
      <c r="V7" s="337" t="s">
        <v>674</v>
      </c>
      <c r="W7" s="338" t="s">
        <v>118</v>
      </c>
      <c r="X7" s="338" t="s">
        <v>118</v>
      </c>
      <c r="Y7" s="338" t="s">
        <v>119</v>
      </c>
      <c r="Z7" s="339"/>
      <c r="AA7" s="340" t="s">
        <v>459</v>
      </c>
      <c r="AB7" s="126"/>
      <c r="AC7" s="127"/>
    </row>
    <row r="8" spans="2:29" s="136" customFormat="1" ht="116.25">
      <c r="B8" s="183">
        <v>2</v>
      </c>
      <c r="C8" s="291" t="s">
        <v>63</v>
      </c>
      <c r="D8" s="129" t="s">
        <v>608</v>
      </c>
      <c r="E8" s="177" t="s">
        <v>12</v>
      </c>
      <c r="F8" s="130" t="s">
        <v>24</v>
      </c>
      <c r="G8" s="130" t="s">
        <v>110</v>
      </c>
      <c r="H8" s="184" t="s">
        <v>518</v>
      </c>
      <c r="I8" s="295" t="s">
        <v>649</v>
      </c>
      <c r="J8" s="167"/>
      <c r="K8" s="131">
        <v>2331169400</v>
      </c>
      <c r="L8" s="131"/>
      <c r="M8" s="168"/>
      <c r="N8" s="168"/>
      <c r="O8" s="168"/>
      <c r="P8" s="132">
        <f>SUM(J8:M8)</f>
        <v>2331169400</v>
      </c>
      <c r="Q8" s="131">
        <f t="shared" si="0"/>
        <v>2331169400</v>
      </c>
      <c r="R8" s="133">
        <f>1000000000+1000000000</f>
        <v>2000000000</v>
      </c>
      <c r="S8" s="242" t="s">
        <v>37</v>
      </c>
      <c r="T8" s="131" t="s">
        <v>212</v>
      </c>
      <c r="U8" s="131" t="s">
        <v>287</v>
      </c>
      <c r="V8" s="134" t="s">
        <v>522</v>
      </c>
      <c r="W8" s="135" t="s">
        <v>118</v>
      </c>
      <c r="X8" s="135" t="s">
        <v>118</v>
      </c>
      <c r="Y8" s="135" t="s">
        <v>119</v>
      </c>
      <c r="Z8" s="130"/>
      <c r="AA8" s="185" t="s">
        <v>459</v>
      </c>
      <c r="AB8" s="126"/>
      <c r="AC8" s="127"/>
    </row>
    <row r="9" spans="2:27" s="128" customFormat="1" ht="116.25">
      <c r="B9" s="183">
        <v>3</v>
      </c>
      <c r="C9" s="290" t="s">
        <v>64</v>
      </c>
      <c r="D9" s="129" t="s">
        <v>0</v>
      </c>
      <c r="E9" s="178" t="s">
        <v>13</v>
      </c>
      <c r="F9" s="129" t="s">
        <v>26</v>
      </c>
      <c r="G9" s="129" t="s">
        <v>99</v>
      </c>
      <c r="H9" s="184" t="s">
        <v>518</v>
      </c>
      <c r="I9" s="294" t="s">
        <v>650</v>
      </c>
      <c r="J9" s="137">
        <v>6474755419.05</v>
      </c>
      <c r="K9" s="138"/>
      <c r="L9" s="138"/>
      <c r="M9" s="138"/>
      <c r="N9" s="138"/>
      <c r="O9" s="138"/>
      <c r="P9" s="139">
        <f>SUM(J9:O9)</f>
        <v>6474755419.05</v>
      </c>
      <c r="Q9" s="131">
        <f t="shared" si="0"/>
        <v>6474755419.05</v>
      </c>
      <c r="R9" s="140">
        <f>2500732854+1000000000</f>
        <v>3500732854</v>
      </c>
      <c r="S9" s="243" t="s">
        <v>37</v>
      </c>
      <c r="T9" s="131" t="s">
        <v>212</v>
      </c>
      <c r="U9" s="131" t="s">
        <v>287</v>
      </c>
      <c r="V9" s="134" t="s">
        <v>523</v>
      </c>
      <c r="W9" s="135" t="s">
        <v>118</v>
      </c>
      <c r="X9" s="135" t="s">
        <v>118</v>
      </c>
      <c r="Y9" s="135" t="s">
        <v>119</v>
      </c>
      <c r="Z9" s="141"/>
      <c r="AA9" s="185" t="s">
        <v>460</v>
      </c>
    </row>
    <row r="10" spans="2:27" s="128" customFormat="1" ht="69.75">
      <c r="B10" s="183">
        <v>4</v>
      </c>
      <c r="C10" s="290" t="s">
        <v>225</v>
      </c>
      <c r="D10" s="129" t="s">
        <v>609</v>
      </c>
      <c r="E10" s="178" t="s">
        <v>12</v>
      </c>
      <c r="F10" s="129" t="s">
        <v>27</v>
      </c>
      <c r="G10" s="129" t="s">
        <v>104</v>
      </c>
      <c r="H10" s="184" t="s">
        <v>518</v>
      </c>
      <c r="I10" s="294" t="s">
        <v>651</v>
      </c>
      <c r="J10" s="131">
        <v>442521177</v>
      </c>
      <c r="K10" s="131">
        <f>16584890505+225040800</f>
        <v>16809931305</v>
      </c>
      <c r="L10" s="131"/>
      <c r="M10" s="131">
        <v>4458903</v>
      </c>
      <c r="N10" s="131"/>
      <c r="O10" s="131"/>
      <c r="P10" s="133">
        <f>SUM(J10:M10)</f>
        <v>17256911385</v>
      </c>
      <c r="Q10" s="131">
        <f t="shared" si="0"/>
        <v>17256911385</v>
      </c>
      <c r="R10" s="133">
        <v>17027411682</v>
      </c>
      <c r="S10" s="244" t="s">
        <v>38</v>
      </c>
      <c r="T10" s="131" t="s">
        <v>212</v>
      </c>
      <c r="U10" s="131" t="s">
        <v>287</v>
      </c>
      <c r="V10" s="134" t="s">
        <v>524</v>
      </c>
      <c r="W10" s="135" t="s">
        <v>118</v>
      </c>
      <c r="X10" s="135" t="s">
        <v>118</v>
      </c>
      <c r="Y10" s="135" t="s">
        <v>119</v>
      </c>
      <c r="Z10" s="141"/>
      <c r="AA10" s="185" t="s">
        <v>460</v>
      </c>
    </row>
    <row r="11" spans="2:27" s="128" customFormat="1" ht="166.5" customHeight="1">
      <c r="B11" s="183">
        <v>5</v>
      </c>
      <c r="C11" s="290" t="s">
        <v>65</v>
      </c>
      <c r="D11" s="129" t="s">
        <v>25</v>
      </c>
      <c r="E11" s="178" t="s">
        <v>35</v>
      </c>
      <c r="F11" s="129" t="s">
        <v>28</v>
      </c>
      <c r="G11" s="129" t="s">
        <v>105</v>
      </c>
      <c r="H11" s="184" t="s">
        <v>518</v>
      </c>
      <c r="I11" s="294" t="s">
        <v>652</v>
      </c>
      <c r="J11" s="133">
        <v>4554949677</v>
      </c>
      <c r="K11" s="131"/>
      <c r="L11" s="131"/>
      <c r="M11" s="131"/>
      <c r="N11" s="131"/>
      <c r="O11" s="131"/>
      <c r="P11" s="133">
        <f>SUM(J11:M11)</f>
        <v>4554949677</v>
      </c>
      <c r="Q11" s="131">
        <f t="shared" si="0"/>
        <v>4554949677</v>
      </c>
      <c r="R11" s="133">
        <f>J11</f>
        <v>4554949677</v>
      </c>
      <c r="S11" s="244" t="s">
        <v>39</v>
      </c>
      <c r="T11" s="131" t="s">
        <v>212</v>
      </c>
      <c r="U11" s="131" t="s">
        <v>287</v>
      </c>
      <c r="V11" s="134" t="s">
        <v>525</v>
      </c>
      <c r="W11" s="135" t="s">
        <v>118</v>
      </c>
      <c r="X11" s="135" t="s">
        <v>118</v>
      </c>
      <c r="Y11" s="135" t="s">
        <v>119</v>
      </c>
      <c r="Z11" s="141"/>
      <c r="AA11" s="185" t="s">
        <v>459</v>
      </c>
    </row>
    <row r="12" spans="2:27" s="128" customFormat="1" ht="93">
      <c r="B12" s="183">
        <v>6</v>
      </c>
      <c r="C12" s="292" t="s">
        <v>66</v>
      </c>
      <c r="D12" s="181" t="s">
        <v>610</v>
      </c>
      <c r="E12" s="178" t="s">
        <v>9</v>
      </c>
      <c r="F12" s="129" t="s">
        <v>29</v>
      </c>
      <c r="G12" s="129" t="s">
        <v>106</v>
      </c>
      <c r="H12" s="184" t="s">
        <v>518</v>
      </c>
      <c r="I12" s="294" t="s">
        <v>653</v>
      </c>
      <c r="J12" s="133">
        <v>1000500000</v>
      </c>
      <c r="K12" s="131"/>
      <c r="L12" s="131"/>
      <c r="M12" s="131"/>
      <c r="N12" s="131"/>
      <c r="O12" s="131"/>
      <c r="P12" s="133">
        <f>SUM(J12:M12)</f>
        <v>1000500000</v>
      </c>
      <c r="Q12" s="131">
        <f t="shared" si="0"/>
        <v>1000500000</v>
      </c>
      <c r="R12" s="133">
        <f>J12</f>
        <v>1000500000</v>
      </c>
      <c r="S12" s="244" t="s">
        <v>37</v>
      </c>
      <c r="T12" s="131" t="s">
        <v>212</v>
      </c>
      <c r="U12" s="131" t="s">
        <v>287</v>
      </c>
      <c r="V12" s="134" t="s">
        <v>526</v>
      </c>
      <c r="W12" s="135" t="s">
        <v>118</v>
      </c>
      <c r="X12" s="135" t="s">
        <v>118</v>
      </c>
      <c r="Y12" s="135" t="s">
        <v>119</v>
      </c>
      <c r="Z12" s="141"/>
      <c r="AA12" s="185" t="s">
        <v>460</v>
      </c>
    </row>
    <row r="13" spans="2:27" s="136" customFormat="1" ht="139.5">
      <c r="B13" s="183">
        <v>7</v>
      </c>
      <c r="C13" s="291" t="s">
        <v>67</v>
      </c>
      <c r="D13" s="129" t="s">
        <v>21</v>
      </c>
      <c r="E13" s="177" t="s">
        <v>12</v>
      </c>
      <c r="F13" s="130" t="s">
        <v>30</v>
      </c>
      <c r="G13" s="130" t="s">
        <v>103</v>
      </c>
      <c r="H13" s="184" t="s">
        <v>518</v>
      </c>
      <c r="I13" s="295" t="s">
        <v>654</v>
      </c>
      <c r="J13" s="132">
        <v>4182283895</v>
      </c>
      <c r="K13" s="133"/>
      <c r="L13" s="133"/>
      <c r="M13" s="131"/>
      <c r="N13" s="131"/>
      <c r="O13" s="131"/>
      <c r="P13" s="132">
        <f>SUM(J13:M13)</f>
        <v>4182283895</v>
      </c>
      <c r="Q13" s="131">
        <f t="shared" si="0"/>
        <v>4182283895</v>
      </c>
      <c r="R13" s="133">
        <f>2182283895+1000000000</f>
        <v>3182283895</v>
      </c>
      <c r="S13" s="242" t="s">
        <v>37</v>
      </c>
      <c r="T13" s="131" t="s">
        <v>212</v>
      </c>
      <c r="U13" s="131" t="s">
        <v>287</v>
      </c>
      <c r="V13" s="134" t="s">
        <v>527</v>
      </c>
      <c r="W13" s="135" t="s">
        <v>118</v>
      </c>
      <c r="X13" s="135" t="s">
        <v>118</v>
      </c>
      <c r="Y13" s="135" t="s">
        <v>119</v>
      </c>
      <c r="Z13" s="130"/>
      <c r="AA13" s="185" t="s">
        <v>460</v>
      </c>
    </row>
    <row r="14" spans="2:27" s="136" customFormat="1" ht="116.25">
      <c r="B14" s="183">
        <v>8</v>
      </c>
      <c r="C14" s="291" t="s">
        <v>68</v>
      </c>
      <c r="D14" s="129" t="s">
        <v>438</v>
      </c>
      <c r="E14" s="177" t="s">
        <v>12</v>
      </c>
      <c r="F14" s="130" t="s">
        <v>31</v>
      </c>
      <c r="G14" s="130" t="s">
        <v>103</v>
      </c>
      <c r="H14" s="184" t="s">
        <v>518</v>
      </c>
      <c r="I14" s="295" t="s">
        <v>655</v>
      </c>
      <c r="J14" s="132">
        <v>999999969</v>
      </c>
      <c r="K14" s="131"/>
      <c r="L14" s="131"/>
      <c r="M14" s="131"/>
      <c r="N14" s="131"/>
      <c r="O14" s="131"/>
      <c r="P14" s="132">
        <f>SUM(J14:M14)</f>
        <v>999999969</v>
      </c>
      <c r="Q14" s="131">
        <f t="shared" si="0"/>
        <v>999999969</v>
      </c>
      <c r="R14" s="133">
        <v>999999969</v>
      </c>
      <c r="S14" s="242" t="s">
        <v>37</v>
      </c>
      <c r="T14" s="131" t="s">
        <v>212</v>
      </c>
      <c r="U14" s="131" t="s">
        <v>287</v>
      </c>
      <c r="V14" s="134" t="s">
        <v>528</v>
      </c>
      <c r="W14" s="135" t="s">
        <v>118</v>
      </c>
      <c r="X14" s="135" t="s">
        <v>118</v>
      </c>
      <c r="Y14" s="135" t="s">
        <v>119</v>
      </c>
      <c r="Z14" s="130"/>
      <c r="AA14" s="185" t="s">
        <v>459</v>
      </c>
    </row>
    <row r="15" spans="2:27" s="128" customFormat="1" ht="116.25">
      <c r="B15" s="183">
        <v>9</v>
      </c>
      <c r="C15" s="290" t="s">
        <v>69</v>
      </c>
      <c r="D15" s="129" t="s">
        <v>611</v>
      </c>
      <c r="E15" s="178" t="s">
        <v>14</v>
      </c>
      <c r="F15" s="129" t="s">
        <v>19</v>
      </c>
      <c r="G15" s="129" t="s">
        <v>107</v>
      </c>
      <c r="H15" s="184" t="s">
        <v>518</v>
      </c>
      <c r="I15" s="294" t="s">
        <v>656</v>
      </c>
      <c r="J15" s="133">
        <v>7327870746</v>
      </c>
      <c r="K15" s="131"/>
      <c r="L15" s="131"/>
      <c r="M15" s="131"/>
      <c r="N15" s="131"/>
      <c r="O15" s="131">
        <v>1599890000</v>
      </c>
      <c r="P15" s="133">
        <f>SUM(J15:O15)</f>
        <v>8927760746</v>
      </c>
      <c r="Q15" s="131">
        <f t="shared" si="0"/>
        <v>7327870746</v>
      </c>
      <c r="R15" s="133">
        <f>3618935737</f>
        <v>3618935737</v>
      </c>
      <c r="S15" s="244" t="s">
        <v>39</v>
      </c>
      <c r="T15" s="131" t="s">
        <v>212</v>
      </c>
      <c r="U15" s="131" t="s">
        <v>287</v>
      </c>
      <c r="V15" s="134" t="s">
        <v>529</v>
      </c>
      <c r="W15" s="135" t="s">
        <v>118</v>
      </c>
      <c r="X15" s="135" t="s">
        <v>118</v>
      </c>
      <c r="Y15" s="135" t="s">
        <v>119</v>
      </c>
      <c r="Z15" s="141"/>
      <c r="AA15" s="185" t="s">
        <v>460</v>
      </c>
    </row>
    <row r="16" spans="2:27" s="128" customFormat="1" ht="116.25">
      <c r="B16" s="183">
        <v>10</v>
      </c>
      <c r="C16" s="290" t="s">
        <v>70</v>
      </c>
      <c r="D16" s="129" t="s">
        <v>612</v>
      </c>
      <c r="E16" s="178" t="s">
        <v>35</v>
      </c>
      <c r="F16" s="129" t="s">
        <v>32</v>
      </c>
      <c r="G16" s="129" t="s">
        <v>108</v>
      </c>
      <c r="H16" s="184" t="s">
        <v>518</v>
      </c>
      <c r="I16" s="294" t="s">
        <v>657</v>
      </c>
      <c r="J16" s="133">
        <v>9488780096</v>
      </c>
      <c r="K16" s="137"/>
      <c r="L16" s="137"/>
      <c r="M16" s="137"/>
      <c r="N16" s="137"/>
      <c r="O16" s="137"/>
      <c r="P16" s="140">
        <f>SUM(J16:O16)</f>
        <v>9488780096</v>
      </c>
      <c r="Q16" s="131">
        <f t="shared" si="0"/>
        <v>9488780096</v>
      </c>
      <c r="R16" s="140">
        <f>3488788079.5+300000000</f>
        <v>3788788079.5</v>
      </c>
      <c r="S16" s="244" t="s">
        <v>39</v>
      </c>
      <c r="T16" s="131" t="s">
        <v>212</v>
      </c>
      <c r="U16" s="131" t="s">
        <v>287</v>
      </c>
      <c r="V16" s="134" t="s">
        <v>530</v>
      </c>
      <c r="W16" s="135" t="s">
        <v>118</v>
      </c>
      <c r="X16" s="135" t="s">
        <v>118</v>
      </c>
      <c r="Y16" s="135" t="s">
        <v>119</v>
      </c>
      <c r="Z16" s="141"/>
      <c r="AA16" s="185" t="s">
        <v>460</v>
      </c>
    </row>
    <row r="17" spans="2:27" s="128" customFormat="1" ht="93">
      <c r="B17" s="183">
        <v>11</v>
      </c>
      <c r="C17" s="290" t="s">
        <v>71</v>
      </c>
      <c r="D17" s="129" t="s">
        <v>613</v>
      </c>
      <c r="E17" s="178" t="s">
        <v>15</v>
      </c>
      <c r="F17" s="129" t="s">
        <v>492</v>
      </c>
      <c r="G17" s="129" t="s">
        <v>109</v>
      </c>
      <c r="H17" s="184" t="s">
        <v>518</v>
      </c>
      <c r="I17" s="294" t="s">
        <v>492</v>
      </c>
      <c r="J17" s="131">
        <v>445573534</v>
      </c>
      <c r="K17" s="131">
        <v>892311249</v>
      </c>
      <c r="L17" s="131"/>
      <c r="M17" s="131"/>
      <c r="N17" s="131"/>
      <c r="O17" s="131"/>
      <c r="P17" s="140">
        <f>SUM(J17:O17)</f>
        <v>1337884783</v>
      </c>
      <c r="Q17" s="131">
        <f t="shared" si="0"/>
        <v>1337884783</v>
      </c>
      <c r="R17" s="133">
        <v>500000000</v>
      </c>
      <c r="S17" s="244" t="s">
        <v>37</v>
      </c>
      <c r="T17" s="131" t="s">
        <v>212</v>
      </c>
      <c r="U17" s="131" t="s">
        <v>287</v>
      </c>
      <c r="V17" s="134" t="s">
        <v>531</v>
      </c>
      <c r="W17" s="135" t="s">
        <v>118</v>
      </c>
      <c r="X17" s="135" t="s">
        <v>118</v>
      </c>
      <c r="Y17" s="135" t="s">
        <v>119</v>
      </c>
      <c r="Z17" s="141"/>
      <c r="AA17" s="185" t="s">
        <v>460</v>
      </c>
    </row>
    <row r="18" spans="2:27" s="128" customFormat="1" ht="162.75">
      <c r="B18" s="183">
        <v>12</v>
      </c>
      <c r="C18" s="290" t="s">
        <v>72</v>
      </c>
      <c r="D18" s="129" t="s">
        <v>614</v>
      </c>
      <c r="E18" s="178" t="s">
        <v>13</v>
      </c>
      <c r="F18" s="129" t="s">
        <v>33</v>
      </c>
      <c r="G18" s="129" t="s">
        <v>100</v>
      </c>
      <c r="H18" s="184" t="s">
        <v>518</v>
      </c>
      <c r="I18" s="294" t="s">
        <v>33</v>
      </c>
      <c r="J18" s="140">
        <v>2883309929</v>
      </c>
      <c r="K18" s="140"/>
      <c r="L18" s="140"/>
      <c r="M18" s="140"/>
      <c r="N18" s="140"/>
      <c r="O18" s="140"/>
      <c r="P18" s="140">
        <f>SUM(J18:M18)</f>
        <v>2883309929</v>
      </c>
      <c r="Q18" s="131">
        <f t="shared" si="0"/>
        <v>2883309929</v>
      </c>
      <c r="R18" s="140">
        <f>1000000000+1000000000</f>
        <v>2000000000</v>
      </c>
      <c r="S18" s="244" t="s">
        <v>37</v>
      </c>
      <c r="T18" s="131" t="s">
        <v>212</v>
      </c>
      <c r="U18" s="131" t="s">
        <v>287</v>
      </c>
      <c r="V18" s="134" t="s">
        <v>532</v>
      </c>
      <c r="W18" s="135" t="s">
        <v>118</v>
      </c>
      <c r="X18" s="135" t="s">
        <v>118</v>
      </c>
      <c r="Y18" s="135" t="s">
        <v>119</v>
      </c>
      <c r="Z18" s="141"/>
      <c r="AA18" s="185" t="s">
        <v>460</v>
      </c>
    </row>
    <row r="19" spans="2:27" ht="160.5" customHeight="1">
      <c r="B19" s="183">
        <v>13</v>
      </c>
      <c r="C19" s="290" t="s">
        <v>74</v>
      </c>
      <c r="D19" s="129" t="s">
        <v>615</v>
      </c>
      <c r="E19" s="176" t="s">
        <v>521</v>
      </c>
      <c r="F19" s="129" t="s">
        <v>97</v>
      </c>
      <c r="G19" s="129" t="s">
        <v>100</v>
      </c>
      <c r="H19" s="184" t="s">
        <v>518</v>
      </c>
      <c r="I19" s="294" t="s">
        <v>658</v>
      </c>
      <c r="J19" s="133">
        <v>4000000000</v>
      </c>
      <c r="K19" s="131"/>
      <c r="L19" s="131"/>
      <c r="M19" s="131"/>
      <c r="N19" s="131"/>
      <c r="O19" s="131"/>
      <c r="P19" s="133">
        <f>SUM(J19:M19)</f>
        <v>4000000000</v>
      </c>
      <c r="Q19" s="131">
        <f t="shared" si="0"/>
        <v>4000000000</v>
      </c>
      <c r="R19" s="133">
        <f>2000000000+2000000000</f>
        <v>4000000000</v>
      </c>
      <c r="S19" s="244" t="s">
        <v>40</v>
      </c>
      <c r="T19" s="131" t="s">
        <v>212</v>
      </c>
      <c r="U19" s="131" t="s">
        <v>287</v>
      </c>
      <c r="V19" s="134" t="s">
        <v>533</v>
      </c>
      <c r="W19" s="135" t="s">
        <v>118</v>
      </c>
      <c r="X19" s="135" t="s">
        <v>118</v>
      </c>
      <c r="Y19" s="135" t="s">
        <v>119</v>
      </c>
      <c r="Z19" s="142"/>
      <c r="AA19" s="185" t="s">
        <v>460</v>
      </c>
    </row>
    <row r="20" spans="2:27" ht="172.5" customHeight="1">
      <c r="B20" s="183">
        <v>14</v>
      </c>
      <c r="C20" s="290" t="s">
        <v>75</v>
      </c>
      <c r="D20" s="129" t="s">
        <v>616</v>
      </c>
      <c r="E20" s="178" t="s">
        <v>16</v>
      </c>
      <c r="F20" s="129" t="s">
        <v>491</v>
      </c>
      <c r="G20" s="129" t="s">
        <v>100</v>
      </c>
      <c r="H20" s="184" t="s">
        <v>518</v>
      </c>
      <c r="I20" s="294" t="s">
        <v>659</v>
      </c>
      <c r="J20" s="133">
        <v>9000000000</v>
      </c>
      <c r="K20" s="131"/>
      <c r="L20" s="131"/>
      <c r="M20" s="131"/>
      <c r="N20" s="131"/>
      <c r="O20" s="131"/>
      <c r="P20" s="133">
        <f>SUM(J20:O20)</f>
        <v>9000000000</v>
      </c>
      <c r="Q20" s="131">
        <f t="shared" si="0"/>
        <v>9000000000</v>
      </c>
      <c r="R20" s="133">
        <f>J20</f>
        <v>9000000000</v>
      </c>
      <c r="S20" s="244" t="s">
        <v>37</v>
      </c>
      <c r="T20" s="131" t="s">
        <v>212</v>
      </c>
      <c r="U20" s="131" t="s">
        <v>287</v>
      </c>
      <c r="V20" s="143" t="s">
        <v>534</v>
      </c>
      <c r="W20" s="135" t="s">
        <v>118</v>
      </c>
      <c r="X20" s="135" t="s">
        <v>118</v>
      </c>
      <c r="Y20" s="135" t="s">
        <v>119</v>
      </c>
      <c r="Z20" s="142"/>
      <c r="AA20" s="185" t="s">
        <v>460</v>
      </c>
    </row>
    <row r="21" spans="2:27" ht="167.25" customHeight="1">
      <c r="B21" s="183">
        <v>15</v>
      </c>
      <c r="C21" s="290" t="s">
        <v>73</v>
      </c>
      <c r="D21" s="129" t="s">
        <v>617</v>
      </c>
      <c r="E21" s="178" t="s">
        <v>13</v>
      </c>
      <c r="F21" s="129" t="s">
        <v>79</v>
      </c>
      <c r="G21" s="129" t="s">
        <v>100</v>
      </c>
      <c r="H21" s="184" t="s">
        <v>518</v>
      </c>
      <c r="I21" s="294" t="s">
        <v>79</v>
      </c>
      <c r="J21" s="144">
        <v>3939754717</v>
      </c>
      <c r="K21" s="131"/>
      <c r="L21" s="131"/>
      <c r="M21" s="131"/>
      <c r="N21" s="131"/>
      <c r="O21" s="131"/>
      <c r="P21" s="133">
        <f>SUM(J21:M21)</f>
        <v>3939754717</v>
      </c>
      <c r="Q21" s="131">
        <f t="shared" si="0"/>
        <v>3939754717</v>
      </c>
      <c r="R21" s="144">
        <f>3000000000+939754717</f>
        <v>3939754717</v>
      </c>
      <c r="S21" s="244" t="s">
        <v>37</v>
      </c>
      <c r="T21" s="133" t="s">
        <v>213</v>
      </c>
      <c r="U21" s="131" t="s">
        <v>287</v>
      </c>
      <c r="V21" s="134" t="s">
        <v>535</v>
      </c>
      <c r="W21" s="135" t="s">
        <v>118</v>
      </c>
      <c r="X21" s="135" t="s">
        <v>118</v>
      </c>
      <c r="Y21" s="135" t="s">
        <v>119</v>
      </c>
      <c r="Z21" s="142"/>
      <c r="AA21" s="185" t="s">
        <v>461</v>
      </c>
    </row>
    <row r="22" spans="2:27" ht="232.5">
      <c r="B22" s="183">
        <v>16</v>
      </c>
      <c r="C22" s="290" t="s">
        <v>323</v>
      </c>
      <c r="D22" s="129" t="s">
        <v>618</v>
      </c>
      <c r="E22" s="178" t="s">
        <v>35</v>
      </c>
      <c r="F22" s="129" t="s">
        <v>398</v>
      </c>
      <c r="G22" s="129" t="s">
        <v>399</v>
      </c>
      <c r="H22" s="184" t="s">
        <v>518</v>
      </c>
      <c r="I22" s="294" t="s">
        <v>398</v>
      </c>
      <c r="J22" s="144">
        <v>6680584737.09</v>
      </c>
      <c r="K22" s="131"/>
      <c r="L22" s="131"/>
      <c r="M22" s="131"/>
      <c r="N22" s="131"/>
      <c r="O22" s="131"/>
      <c r="P22" s="133">
        <f>SUM(J22:M22)</f>
        <v>6680584737.09</v>
      </c>
      <c r="Q22" s="131">
        <f t="shared" si="0"/>
        <v>6680584737.09</v>
      </c>
      <c r="R22" s="144">
        <v>3340292368.5</v>
      </c>
      <c r="S22" s="244" t="s">
        <v>39</v>
      </c>
      <c r="T22" s="133" t="s">
        <v>400</v>
      </c>
      <c r="U22" s="131" t="s">
        <v>287</v>
      </c>
      <c r="V22" s="134" t="s">
        <v>530</v>
      </c>
      <c r="W22" s="135" t="s">
        <v>118</v>
      </c>
      <c r="X22" s="135" t="s">
        <v>118</v>
      </c>
      <c r="Y22" s="135" t="s">
        <v>119</v>
      </c>
      <c r="Z22" s="142"/>
      <c r="AA22" s="185" t="s">
        <v>460</v>
      </c>
    </row>
    <row r="23" spans="2:27" ht="116.25">
      <c r="B23" s="183">
        <v>17</v>
      </c>
      <c r="C23" s="290" t="s">
        <v>316</v>
      </c>
      <c r="D23" s="129" t="s">
        <v>619</v>
      </c>
      <c r="E23" s="178" t="s">
        <v>12</v>
      </c>
      <c r="F23" s="129" t="s">
        <v>401</v>
      </c>
      <c r="G23" s="129" t="s">
        <v>402</v>
      </c>
      <c r="H23" s="184" t="s">
        <v>518</v>
      </c>
      <c r="I23" s="294" t="s">
        <v>401</v>
      </c>
      <c r="J23" s="144">
        <v>9511180274.714981</v>
      </c>
      <c r="K23" s="131">
        <v>1206186220</v>
      </c>
      <c r="L23" s="131"/>
      <c r="M23" s="131"/>
      <c r="N23" s="131"/>
      <c r="O23" s="131"/>
      <c r="P23" s="133">
        <f>SUM(J23:O23)</f>
        <v>10717366494.714981</v>
      </c>
      <c r="Q23" s="131">
        <f t="shared" si="0"/>
        <v>10717366494.714981</v>
      </c>
      <c r="R23" s="144"/>
      <c r="S23" s="244" t="s">
        <v>38</v>
      </c>
      <c r="T23" s="133" t="s">
        <v>400</v>
      </c>
      <c r="U23" s="131" t="s">
        <v>287</v>
      </c>
      <c r="V23" s="134" t="s">
        <v>524</v>
      </c>
      <c r="W23" s="135" t="s">
        <v>118</v>
      </c>
      <c r="X23" s="135" t="s">
        <v>118</v>
      </c>
      <c r="Y23" s="135" t="s">
        <v>119</v>
      </c>
      <c r="Z23" s="142"/>
      <c r="AA23" s="185" t="s">
        <v>460</v>
      </c>
    </row>
    <row r="24" spans="2:27" ht="203.25" customHeight="1">
      <c r="B24" s="183">
        <v>18</v>
      </c>
      <c r="C24" s="290" t="s">
        <v>334</v>
      </c>
      <c r="D24" s="129" t="s">
        <v>620</v>
      </c>
      <c r="E24" s="178" t="s">
        <v>15</v>
      </c>
      <c r="F24" s="129" t="s">
        <v>406</v>
      </c>
      <c r="G24" s="129" t="s">
        <v>405</v>
      </c>
      <c r="H24" s="184" t="s">
        <v>518</v>
      </c>
      <c r="I24" s="294" t="s">
        <v>406</v>
      </c>
      <c r="J24" s="144"/>
      <c r="K24" s="131">
        <v>8493785105.5184</v>
      </c>
      <c r="L24" s="131"/>
      <c r="M24" s="131"/>
      <c r="N24" s="131"/>
      <c r="O24" s="131"/>
      <c r="P24" s="133">
        <f>SUM(J24:O24)</f>
        <v>8493785105.5184</v>
      </c>
      <c r="Q24" s="186">
        <f t="shared" si="0"/>
        <v>8493785105.5184</v>
      </c>
      <c r="R24" s="144"/>
      <c r="S24" s="244" t="s">
        <v>38</v>
      </c>
      <c r="T24" s="133" t="s">
        <v>400</v>
      </c>
      <c r="U24" s="131" t="s">
        <v>287</v>
      </c>
      <c r="V24" s="134" t="s">
        <v>536</v>
      </c>
      <c r="W24" s="135" t="s">
        <v>118</v>
      </c>
      <c r="X24" s="135" t="s">
        <v>118</v>
      </c>
      <c r="Y24" s="135" t="s">
        <v>119</v>
      </c>
      <c r="Z24" s="142"/>
      <c r="AA24" s="185" t="s">
        <v>460</v>
      </c>
    </row>
    <row r="25" spans="2:27" ht="218.25" customHeight="1">
      <c r="B25" s="183">
        <v>19</v>
      </c>
      <c r="C25" s="290" t="s">
        <v>355</v>
      </c>
      <c r="D25" s="129" t="s">
        <v>621</v>
      </c>
      <c r="E25" s="178" t="s">
        <v>141</v>
      </c>
      <c r="F25" s="129" t="s">
        <v>407</v>
      </c>
      <c r="G25" s="129" t="s">
        <v>408</v>
      </c>
      <c r="H25" s="184" t="s">
        <v>518</v>
      </c>
      <c r="I25" s="294" t="s">
        <v>407</v>
      </c>
      <c r="J25" s="144"/>
      <c r="K25" s="131">
        <v>3773450282</v>
      </c>
      <c r="L25" s="131"/>
      <c r="M25" s="131"/>
      <c r="N25" s="131"/>
      <c r="O25" s="131"/>
      <c r="P25" s="133">
        <f>SUM(J25:O25)</f>
        <v>3773450282</v>
      </c>
      <c r="Q25" s="131">
        <f t="shared" si="0"/>
        <v>3773450282</v>
      </c>
      <c r="R25" s="131">
        <v>1313277827</v>
      </c>
      <c r="S25" s="244" t="s">
        <v>409</v>
      </c>
      <c r="T25" s="133" t="s">
        <v>400</v>
      </c>
      <c r="U25" s="131" t="s">
        <v>287</v>
      </c>
      <c r="V25" s="134" t="s">
        <v>537</v>
      </c>
      <c r="W25" s="135" t="s">
        <v>118</v>
      </c>
      <c r="X25" s="135" t="s">
        <v>118</v>
      </c>
      <c r="Y25" s="135" t="s">
        <v>119</v>
      </c>
      <c r="Z25" s="142"/>
      <c r="AA25" s="185" t="s">
        <v>460</v>
      </c>
    </row>
    <row r="26" spans="2:27" ht="250.5" customHeight="1">
      <c r="B26" s="183">
        <v>20</v>
      </c>
      <c r="C26" s="290" t="s">
        <v>440</v>
      </c>
      <c r="D26" s="129" t="s">
        <v>622</v>
      </c>
      <c r="E26" s="178" t="s">
        <v>441</v>
      </c>
      <c r="F26" s="129" t="s">
        <v>442</v>
      </c>
      <c r="G26" s="129" t="s">
        <v>408</v>
      </c>
      <c r="H26" s="184" t="s">
        <v>518</v>
      </c>
      <c r="I26" s="294" t="s">
        <v>442</v>
      </c>
      <c r="J26" s="131">
        <v>837450000</v>
      </c>
      <c r="K26" s="131"/>
      <c r="L26" s="131"/>
      <c r="M26" s="131"/>
      <c r="N26" s="131"/>
      <c r="O26" s="131"/>
      <c r="P26" s="133">
        <f>SUM(J26:O26)</f>
        <v>837450000</v>
      </c>
      <c r="Q26" s="131">
        <f t="shared" si="0"/>
        <v>837450000</v>
      </c>
      <c r="R26" s="131"/>
      <c r="S26" s="244" t="s">
        <v>37</v>
      </c>
      <c r="T26" s="133" t="s">
        <v>443</v>
      </c>
      <c r="U26" s="131" t="s">
        <v>287</v>
      </c>
      <c r="V26" s="134" t="s">
        <v>538</v>
      </c>
      <c r="W26" s="135" t="s">
        <v>118</v>
      </c>
      <c r="X26" s="135" t="s">
        <v>118</v>
      </c>
      <c r="Y26" s="135" t="s">
        <v>119</v>
      </c>
      <c r="Z26" s="142"/>
      <c r="AA26" s="185" t="s">
        <v>461</v>
      </c>
    </row>
    <row r="27" spans="2:27" ht="69.75">
      <c r="B27" s="183">
        <v>21</v>
      </c>
      <c r="C27" s="290" t="s">
        <v>368</v>
      </c>
      <c r="D27" s="129" t="s">
        <v>623</v>
      </c>
      <c r="E27" s="178" t="s">
        <v>12</v>
      </c>
      <c r="F27" s="129" t="s">
        <v>444</v>
      </c>
      <c r="G27" s="129" t="s">
        <v>408</v>
      </c>
      <c r="H27" s="184" t="s">
        <v>518</v>
      </c>
      <c r="I27" s="294" t="s">
        <v>444</v>
      </c>
      <c r="J27" s="144"/>
      <c r="K27" s="131">
        <v>1000004195</v>
      </c>
      <c r="L27" s="131"/>
      <c r="M27" s="131"/>
      <c r="N27" s="131"/>
      <c r="O27" s="131"/>
      <c r="P27" s="133">
        <f>SUM(J27:O27)</f>
        <v>1000004195</v>
      </c>
      <c r="Q27" s="131">
        <f t="shared" si="0"/>
        <v>1000004195</v>
      </c>
      <c r="R27" s="131"/>
      <c r="S27" s="244" t="s">
        <v>37</v>
      </c>
      <c r="T27" s="133" t="s">
        <v>443</v>
      </c>
      <c r="U27" s="131" t="s">
        <v>287</v>
      </c>
      <c r="V27" s="134" t="s">
        <v>524</v>
      </c>
      <c r="W27" s="135" t="s">
        <v>118</v>
      </c>
      <c r="X27" s="135" t="s">
        <v>118</v>
      </c>
      <c r="Y27" s="135" t="s">
        <v>119</v>
      </c>
      <c r="Z27" s="142"/>
      <c r="AA27" s="185" t="s">
        <v>461</v>
      </c>
    </row>
    <row r="28" spans="2:27" ht="162.75">
      <c r="B28" s="183">
        <v>22</v>
      </c>
      <c r="C28" s="290" t="s">
        <v>76</v>
      </c>
      <c r="D28" s="129" t="s">
        <v>624</v>
      </c>
      <c r="E28" s="178" t="s">
        <v>5</v>
      </c>
      <c r="F28" s="129" t="s">
        <v>50</v>
      </c>
      <c r="G28" s="129" t="s">
        <v>101</v>
      </c>
      <c r="H28" s="184" t="s">
        <v>518</v>
      </c>
      <c r="I28" s="294" t="s">
        <v>50</v>
      </c>
      <c r="J28" s="133"/>
      <c r="K28" s="131"/>
      <c r="L28" s="131"/>
      <c r="M28" s="131"/>
      <c r="N28" s="133">
        <v>10433020000</v>
      </c>
      <c r="O28" s="133"/>
      <c r="P28" s="133">
        <f>SUM(N28:N28)</f>
        <v>10433020000</v>
      </c>
      <c r="Q28" s="131">
        <f t="shared" si="0"/>
        <v>10433020000</v>
      </c>
      <c r="R28" s="133">
        <v>7483663333</v>
      </c>
      <c r="S28" s="244" t="s">
        <v>37</v>
      </c>
      <c r="T28" s="133" t="s">
        <v>215</v>
      </c>
      <c r="U28" s="133" t="s">
        <v>288</v>
      </c>
      <c r="V28" s="145" t="s">
        <v>539</v>
      </c>
      <c r="W28" s="135"/>
      <c r="X28" s="135" t="s">
        <v>118</v>
      </c>
      <c r="Y28" s="135" t="s">
        <v>119</v>
      </c>
      <c r="Z28" s="135" t="s">
        <v>119</v>
      </c>
      <c r="AA28" s="185" t="s">
        <v>460</v>
      </c>
    </row>
    <row r="29" spans="2:27" ht="117" customHeight="1">
      <c r="B29" s="183">
        <v>23</v>
      </c>
      <c r="C29" s="290" t="s">
        <v>77</v>
      </c>
      <c r="D29" s="129" t="s">
        <v>52</v>
      </c>
      <c r="E29" s="178" t="s">
        <v>5</v>
      </c>
      <c r="F29" s="129" t="s">
        <v>78</v>
      </c>
      <c r="G29" s="129" t="s">
        <v>102</v>
      </c>
      <c r="H29" s="184" t="s">
        <v>518</v>
      </c>
      <c r="I29" s="294" t="s">
        <v>660</v>
      </c>
      <c r="J29" s="133"/>
      <c r="K29" s="131"/>
      <c r="L29" s="131"/>
      <c r="M29" s="131"/>
      <c r="N29" s="146">
        <v>1850000000</v>
      </c>
      <c r="O29" s="146"/>
      <c r="P29" s="131">
        <v>2194090000</v>
      </c>
      <c r="Q29" s="131">
        <f t="shared" si="0"/>
        <v>1850000000</v>
      </c>
      <c r="R29" s="133">
        <v>1850000000</v>
      </c>
      <c r="S29" s="244" t="s">
        <v>37</v>
      </c>
      <c r="T29" s="133" t="s">
        <v>214</v>
      </c>
      <c r="U29" s="133" t="s">
        <v>288</v>
      </c>
      <c r="V29" s="143" t="s">
        <v>540</v>
      </c>
      <c r="W29" s="147"/>
      <c r="X29" s="135" t="s">
        <v>118</v>
      </c>
      <c r="Y29" s="135" t="s">
        <v>119</v>
      </c>
      <c r="Z29" s="135" t="s">
        <v>119</v>
      </c>
      <c r="AA29" s="185" t="s">
        <v>460</v>
      </c>
    </row>
    <row r="30" spans="2:27" ht="131.25" customHeight="1">
      <c r="B30" s="183">
        <v>24</v>
      </c>
      <c r="C30" s="290" t="s">
        <v>255</v>
      </c>
      <c r="D30" s="129" t="s">
        <v>625</v>
      </c>
      <c r="E30" s="178" t="s">
        <v>5</v>
      </c>
      <c r="F30" s="129" t="s">
        <v>278</v>
      </c>
      <c r="G30" s="129" t="s">
        <v>276</v>
      </c>
      <c r="H30" s="184" t="s">
        <v>518</v>
      </c>
      <c r="I30" s="294" t="s">
        <v>661</v>
      </c>
      <c r="J30" s="133"/>
      <c r="K30" s="131"/>
      <c r="L30" s="131"/>
      <c r="M30" s="131"/>
      <c r="N30" s="146">
        <v>3000000000</v>
      </c>
      <c r="O30" s="146">
        <v>2591700823</v>
      </c>
      <c r="P30" s="131">
        <f>SUM(J30:O30)</f>
        <v>5591700823</v>
      </c>
      <c r="Q30" s="131">
        <f t="shared" si="0"/>
        <v>3000000000</v>
      </c>
      <c r="R30" s="133">
        <v>1560000000</v>
      </c>
      <c r="S30" s="244" t="s">
        <v>37</v>
      </c>
      <c r="T30" s="133" t="s">
        <v>279</v>
      </c>
      <c r="U30" s="133" t="s">
        <v>288</v>
      </c>
      <c r="V30" s="143" t="s">
        <v>541</v>
      </c>
      <c r="W30" s="147"/>
      <c r="X30" s="135" t="s">
        <v>118</v>
      </c>
      <c r="Y30" s="135" t="s">
        <v>119</v>
      </c>
      <c r="Z30" s="135" t="s">
        <v>119</v>
      </c>
      <c r="AA30" s="185" t="s">
        <v>460</v>
      </c>
    </row>
    <row r="31" spans="2:27" ht="261.75" customHeight="1">
      <c r="B31" s="183">
        <v>25</v>
      </c>
      <c r="C31" s="290" t="s">
        <v>284</v>
      </c>
      <c r="D31" s="129" t="s">
        <v>626</v>
      </c>
      <c r="E31" s="178" t="s">
        <v>5</v>
      </c>
      <c r="F31" s="129" t="s">
        <v>289</v>
      </c>
      <c r="G31" s="129" t="s">
        <v>290</v>
      </c>
      <c r="H31" s="184" t="s">
        <v>518</v>
      </c>
      <c r="I31" s="294" t="s">
        <v>662</v>
      </c>
      <c r="J31" s="133"/>
      <c r="K31" s="131"/>
      <c r="L31" s="131"/>
      <c r="M31" s="131"/>
      <c r="N31" s="146">
        <v>2194848732</v>
      </c>
      <c r="O31" s="148">
        <f>122278080</f>
        <v>122278080</v>
      </c>
      <c r="P31" s="131">
        <f>SUM(J31:O31)</f>
        <v>2317126812</v>
      </c>
      <c r="Q31" s="131">
        <f t="shared" si="0"/>
        <v>2194848732</v>
      </c>
      <c r="R31" s="131">
        <v>987681929</v>
      </c>
      <c r="S31" s="244" t="s">
        <v>37</v>
      </c>
      <c r="T31" s="133" t="s">
        <v>285</v>
      </c>
      <c r="U31" s="133" t="s">
        <v>288</v>
      </c>
      <c r="V31" s="143" t="s">
        <v>542</v>
      </c>
      <c r="W31" s="147"/>
      <c r="X31" s="135" t="s">
        <v>118</v>
      </c>
      <c r="Y31" s="135" t="s">
        <v>119</v>
      </c>
      <c r="Z31" s="135" t="s">
        <v>119</v>
      </c>
      <c r="AA31" s="185" t="s">
        <v>460</v>
      </c>
    </row>
    <row r="32" spans="2:27" ht="186">
      <c r="B32" s="183">
        <v>26</v>
      </c>
      <c r="C32" s="290" t="s">
        <v>392</v>
      </c>
      <c r="D32" s="129" t="s">
        <v>627</v>
      </c>
      <c r="E32" s="178" t="s">
        <v>5</v>
      </c>
      <c r="F32" s="129" t="s">
        <v>393</v>
      </c>
      <c r="G32" s="129" t="s">
        <v>394</v>
      </c>
      <c r="H32" s="184" t="s">
        <v>518</v>
      </c>
      <c r="I32" s="294" t="s">
        <v>663</v>
      </c>
      <c r="J32" s="133"/>
      <c r="K32" s="131"/>
      <c r="L32" s="131"/>
      <c r="M32" s="131"/>
      <c r="N32" s="146">
        <v>1532588000</v>
      </c>
      <c r="O32" s="148">
        <v>289008800</v>
      </c>
      <c r="P32" s="131">
        <f>SUM(J32:O32)</f>
        <v>1821596800</v>
      </c>
      <c r="Q32" s="131">
        <f t="shared" si="0"/>
        <v>1532588000</v>
      </c>
      <c r="R32" s="133">
        <v>720316360</v>
      </c>
      <c r="S32" s="244" t="s">
        <v>40</v>
      </c>
      <c r="T32" s="133" t="s">
        <v>395</v>
      </c>
      <c r="U32" s="133" t="s">
        <v>288</v>
      </c>
      <c r="V32" s="143" t="s">
        <v>542</v>
      </c>
      <c r="W32" s="147"/>
      <c r="X32" s="135" t="s">
        <v>118</v>
      </c>
      <c r="Y32" s="135" t="s">
        <v>119</v>
      </c>
      <c r="Z32" s="135" t="s">
        <v>119</v>
      </c>
      <c r="AA32" s="185" t="s">
        <v>460</v>
      </c>
    </row>
    <row r="33" spans="2:27" ht="136.5" customHeight="1">
      <c r="B33" s="183">
        <v>27</v>
      </c>
      <c r="C33" s="290" t="s">
        <v>80</v>
      </c>
      <c r="D33" s="129" t="s">
        <v>628</v>
      </c>
      <c r="E33" s="178" t="s">
        <v>88</v>
      </c>
      <c r="F33" s="129" t="s">
        <v>85</v>
      </c>
      <c r="G33" s="129" t="s">
        <v>103</v>
      </c>
      <c r="H33" s="184" t="s">
        <v>518</v>
      </c>
      <c r="I33" s="294" t="s">
        <v>85</v>
      </c>
      <c r="J33" s="131"/>
      <c r="K33" s="131">
        <f>2128440056+32444013</f>
        <v>2160884069</v>
      </c>
      <c r="L33" s="131">
        <v>3045762989</v>
      </c>
      <c r="M33" s="131"/>
      <c r="N33" s="146"/>
      <c r="O33" s="146"/>
      <c r="P33" s="131">
        <f>SUM(K33:O33)</f>
        <v>5206647058</v>
      </c>
      <c r="Q33" s="131">
        <f t="shared" si="0"/>
        <v>5206647058</v>
      </c>
      <c r="R33" s="133">
        <v>2128440055</v>
      </c>
      <c r="S33" s="244" t="s">
        <v>94</v>
      </c>
      <c r="T33" s="133" t="s">
        <v>277</v>
      </c>
      <c r="U33" s="131" t="s">
        <v>287</v>
      </c>
      <c r="V33" s="145" t="s">
        <v>543</v>
      </c>
      <c r="W33" s="135" t="s">
        <v>118</v>
      </c>
      <c r="X33" s="135" t="s">
        <v>118</v>
      </c>
      <c r="Y33" s="135" t="s">
        <v>121</v>
      </c>
      <c r="Z33" s="182"/>
      <c r="AA33" s="185" t="s">
        <v>460</v>
      </c>
    </row>
    <row r="34" spans="2:27" ht="166.5" customHeight="1">
      <c r="B34" s="183">
        <v>28</v>
      </c>
      <c r="C34" s="290" t="s">
        <v>81</v>
      </c>
      <c r="D34" s="129" t="s">
        <v>629</v>
      </c>
      <c r="E34" s="178" t="s">
        <v>12</v>
      </c>
      <c r="F34" s="129" t="s">
        <v>89</v>
      </c>
      <c r="G34" s="129" t="s">
        <v>111</v>
      </c>
      <c r="H34" s="184" t="s">
        <v>518</v>
      </c>
      <c r="I34" s="294" t="s">
        <v>89</v>
      </c>
      <c r="J34" s="133"/>
      <c r="K34" s="131">
        <v>2128227123</v>
      </c>
      <c r="L34" s="131"/>
      <c r="M34" s="131"/>
      <c r="N34" s="146"/>
      <c r="O34" s="146"/>
      <c r="P34" s="131">
        <f>SUM(K34:O34)</f>
        <v>2128227123</v>
      </c>
      <c r="Q34" s="131">
        <f t="shared" si="0"/>
        <v>2128227123</v>
      </c>
      <c r="R34" s="131">
        <v>2128227123</v>
      </c>
      <c r="S34" s="244" t="s">
        <v>37</v>
      </c>
      <c r="T34" s="133" t="s">
        <v>277</v>
      </c>
      <c r="U34" s="131" t="s">
        <v>287</v>
      </c>
      <c r="V34" s="145" t="s">
        <v>544</v>
      </c>
      <c r="W34" s="135" t="s">
        <v>118</v>
      </c>
      <c r="X34" s="135" t="s">
        <v>118</v>
      </c>
      <c r="Y34" s="135" t="s">
        <v>119</v>
      </c>
      <c r="Z34" s="142"/>
      <c r="AA34" s="185" t="s">
        <v>459</v>
      </c>
    </row>
    <row r="35" spans="2:27" ht="116.25">
      <c r="B35" s="183">
        <v>29</v>
      </c>
      <c r="C35" s="290" t="s">
        <v>82</v>
      </c>
      <c r="D35" s="129" t="s">
        <v>630</v>
      </c>
      <c r="E35" s="178" t="s">
        <v>86</v>
      </c>
      <c r="F35" s="129" t="s">
        <v>90</v>
      </c>
      <c r="G35" s="129" t="s">
        <v>112</v>
      </c>
      <c r="H35" s="184" t="s">
        <v>518</v>
      </c>
      <c r="I35" s="294" t="s">
        <v>90</v>
      </c>
      <c r="J35" s="133"/>
      <c r="K35" s="131">
        <v>2830855494</v>
      </c>
      <c r="L35" s="131"/>
      <c r="M35" s="131"/>
      <c r="N35" s="146"/>
      <c r="O35" s="146"/>
      <c r="P35" s="131">
        <f>SUM(K35:O35)</f>
        <v>2830855494</v>
      </c>
      <c r="Q35" s="131">
        <f t="shared" si="0"/>
        <v>2830855494</v>
      </c>
      <c r="R35" s="133">
        <v>2830855494</v>
      </c>
      <c r="S35" s="244" t="s">
        <v>94</v>
      </c>
      <c r="T35" s="133" t="s">
        <v>277</v>
      </c>
      <c r="U35" s="131" t="s">
        <v>287</v>
      </c>
      <c r="V35" s="145" t="s">
        <v>545</v>
      </c>
      <c r="W35" s="135" t="s">
        <v>118</v>
      </c>
      <c r="X35" s="135" t="s">
        <v>118</v>
      </c>
      <c r="Y35" s="135" t="s">
        <v>119</v>
      </c>
      <c r="Z35" s="142"/>
      <c r="AA35" s="185" t="s">
        <v>459</v>
      </c>
    </row>
    <row r="36" spans="2:27" ht="116.25">
      <c r="B36" s="183">
        <v>30</v>
      </c>
      <c r="C36" s="290" t="s">
        <v>83</v>
      </c>
      <c r="D36" s="129" t="s">
        <v>631</v>
      </c>
      <c r="E36" s="178" t="s">
        <v>35</v>
      </c>
      <c r="F36" s="129" t="s">
        <v>87</v>
      </c>
      <c r="G36" s="129" t="s">
        <v>113</v>
      </c>
      <c r="H36" s="184" t="s">
        <v>518</v>
      </c>
      <c r="I36" s="294" t="s">
        <v>87</v>
      </c>
      <c r="J36" s="133"/>
      <c r="K36" s="131">
        <v>1365023380</v>
      </c>
      <c r="L36" s="131">
        <v>943744651</v>
      </c>
      <c r="M36" s="131"/>
      <c r="N36" s="146"/>
      <c r="O36" s="146"/>
      <c r="P36" s="131">
        <f>SUM(K36:O36)</f>
        <v>2308768031</v>
      </c>
      <c r="Q36" s="131">
        <f t="shared" si="0"/>
        <v>2308768031</v>
      </c>
      <c r="R36" s="133">
        <v>1365023380</v>
      </c>
      <c r="S36" s="244" t="s">
        <v>93</v>
      </c>
      <c r="T36" s="133" t="s">
        <v>277</v>
      </c>
      <c r="U36" s="131" t="s">
        <v>287</v>
      </c>
      <c r="V36" s="143" t="s">
        <v>546</v>
      </c>
      <c r="W36" s="135" t="s">
        <v>118</v>
      </c>
      <c r="X36" s="135" t="s">
        <v>118</v>
      </c>
      <c r="Y36" s="135" t="s">
        <v>119</v>
      </c>
      <c r="Z36" s="142"/>
      <c r="AA36" s="185" t="s">
        <v>459</v>
      </c>
    </row>
    <row r="37" spans="2:27" ht="69.75">
      <c r="B37" s="183">
        <v>31</v>
      </c>
      <c r="C37" s="290" t="s">
        <v>84</v>
      </c>
      <c r="D37" s="129" t="s">
        <v>632</v>
      </c>
      <c r="E37" s="178" t="s">
        <v>88</v>
      </c>
      <c r="F37" s="129" t="s">
        <v>91</v>
      </c>
      <c r="G37" s="129" t="s">
        <v>114</v>
      </c>
      <c r="H37" s="184" t="s">
        <v>518</v>
      </c>
      <c r="I37" s="294" t="s">
        <v>664</v>
      </c>
      <c r="J37" s="133"/>
      <c r="K37" s="131">
        <v>1547453947</v>
      </c>
      <c r="L37" s="131"/>
      <c r="M37" s="131"/>
      <c r="N37" s="146"/>
      <c r="O37" s="146"/>
      <c r="P37" s="131">
        <f>SUM(K37:O37)</f>
        <v>1547453947</v>
      </c>
      <c r="Q37" s="131">
        <f t="shared" si="0"/>
        <v>1547453947</v>
      </c>
      <c r="R37" s="133">
        <v>1547453947.98</v>
      </c>
      <c r="S37" s="244" t="s">
        <v>94</v>
      </c>
      <c r="T37" s="133" t="s">
        <v>277</v>
      </c>
      <c r="U37" s="131" t="s">
        <v>287</v>
      </c>
      <c r="V37" s="143" t="s">
        <v>543</v>
      </c>
      <c r="W37" s="135" t="s">
        <v>118</v>
      </c>
      <c r="X37" s="135" t="s">
        <v>118</v>
      </c>
      <c r="Y37" s="135" t="s">
        <v>119</v>
      </c>
      <c r="Z37" s="142"/>
      <c r="AA37" s="185" t="s">
        <v>460</v>
      </c>
    </row>
    <row r="38" spans="1:248" ht="193.5" customHeight="1">
      <c r="A38" s="149"/>
      <c r="B38" s="183">
        <v>32</v>
      </c>
      <c r="C38" s="290" t="s">
        <v>122</v>
      </c>
      <c r="D38" s="129" t="s">
        <v>633</v>
      </c>
      <c r="E38" s="179" t="s">
        <v>15</v>
      </c>
      <c r="F38" s="129" t="s">
        <v>143</v>
      </c>
      <c r="G38" s="129" t="s">
        <v>185</v>
      </c>
      <c r="H38" s="133" t="s">
        <v>146</v>
      </c>
      <c r="I38" s="129" t="s">
        <v>665</v>
      </c>
      <c r="J38" s="137"/>
      <c r="K38" s="137"/>
      <c r="L38" s="137">
        <v>386699206</v>
      </c>
      <c r="M38" s="140"/>
      <c r="N38" s="140"/>
      <c r="O38" s="140">
        <v>782619</v>
      </c>
      <c r="P38" s="133">
        <f aca="true" t="shared" si="1" ref="P38:P59">SUM(J38:O38)</f>
        <v>387481825</v>
      </c>
      <c r="Q38" s="131">
        <f aca="true" t="shared" si="2" ref="Q38:Q59">SUM(J38:N38)</f>
        <v>386699206</v>
      </c>
      <c r="R38" s="133">
        <v>386699206</v>
      </c>
      <c r="S38" s="147" t="s">
        <v>163</v>
      </c>
      <c r="T38" s="131" t="s">
        <v>216</v>
      </c>
      <c r="U38" s="131" t="s">
        <v>517</v>
      </c>
      <c r="V38" s="150" t="s">
        <v>262</v>
      </c>
      <c r="W38" s="135" t="s">
        <v>118</v>
      </c>
      <c r="X38" s="135" t="s">
        <v>118</v>
      </c>
      <c r="Y38" s="135" t="s">
        <v>118</v>
      </c>
      <c r="Z38" s="135"/>
      <c r="AA38" s="185" t="s">
        <v>460</v>
      </c>
      <c r="IM38" s="125"/>
      <c r="IN38" s="125"/>
    </row>
    <row r="39" spans="1:248" ht="126.75" customHeight="1">
      <c r="A39" s="149"/>
      <c r="B39" s="183">
        <v>33</v>
      </c>
      <c r="C39" s="290" t="s">
        <v>123</v>
      </c>
      <c r="D39" s="129" t="s">
        <v>634</v>
      </c>
      <c r="E39" s="179" t="s">
        <v>141</v>
      </c>
      <c r="F39" s="129" t="s">
        <v>144</v>
      </c>
      <c r="G39" s="129" t="s">
        <v>185</v>
      </c>
      <c r="H39" s="133" t="s">
        <v>146</v>
      </c>
      <c r="I39" s="129" t="s">
        <v>144</v>
      </c>
      <c r="J39" s="137"/>
      <c r="K39" s="137"/>
      <c r="L39" s="137">
        <f>329645287+79292635</f>
        <v>408937922</v>
      </c>
      <c r="M39" s="140"/>
      <c r="N39" s="140"/>
      <c r="O39" s="140"/>
      <c r="P39" s="133">
        <f t="shared" si="1"/>
        <v>408937922</v>
      </c>
      <c r="Q39" s="131">
        <f t="shared" si="2"/>
        <v>408937922</v>
      </c>
      <c r="R39" s="133">
        <v>408937922</v>
      </c>
      <c r="S39" s="147" t="s">
        <v>164</v>
      </c>
      <c r="T39" s="131" t="s">
        <v>216</v>
      </c>
      <c r="U39" s="131" t="s">
        <v>517</v>
      </c>
      <c r="V39" s="150" t="s">
        <v>263</v>
      </c>
      <c r="W39" s="135" t="s">
        <v>118</v>
      </c>
      <c r="X39" s="135" t="s">
        <v>118</v>
      </c>
      <c r="Y39" s="135" t="s">
        <v>118</v>
      </c>
      <c r="Z39" s="135"/>
      <c r="AA39" s="185" t="s">
        <v>460</v>
      </c>
      <c r="IM39" s="125"/>
      <c r="IN39" s="125"/>
    </row>
    <row r="40" spans="1:248" ht="136.5" customHeight="1">
      <c r="A40" s="149"/>
      <c r="B40" s="183">
        <v>34</v>
      </c>
      <c r="C40" s="290" t="s">
        <v>124</v>
      </c>
      <c r="D40" s="129" t="s">
        <v>635</v>
      </c>
      <c r="E40" s="179" t="s">
        <v>12</v>
      </c>
      <c r="F40" s="129" t="s">
        <v>145</v>
      </c>
      <c r="G40" s="129" t="s">
        <v>195</v>
      </c>
      <c r="H40" s="133" t="s">
        <v>147</v>
      </c>
      <c r="I40" s="129" t="s">
        <v>666</v>
      </c>
      <c r="J40" s="137"/>
      <c r="K40" s="137"/>
      <c r="L40" s="137">
        <v>1527551857</v>
      </c>
      <c r="M40" s="140"/>
      <c r="N40" s="140"/>
      <c r="O40" s="140"/>
      <c r="P40" s="133">
        <f t="shared" si="1"/>
        <v>1527551857</v>
      </c>
      <c r="Q40" s="131">
        <f t="shared" si="2"/>
        <v>1527551857</v>
      </c>
      <c r="R40" s="133">
        <v>1527551857</v>
      </c>
      <c r="S40" s="147" t="s">
        <v>164</v>
      </c>
      <c r="T40" s="131" t="s">
        <v>216</v>
      </c>
      <c r="U40" s="131" t="s">
        <v>517</v>
      </c>
      <c r="V40" s="150" t="s">
        <v>264</v>
      </c>
      <c r="W40" s="135" t="s">
        <v>118</v>
      </c>
      <c r="X40" s="135" t="s">
        <v>118</v>
      </c>
      <c r="Y40" s="135" t="s">
        <v>118</v>
      </c>
      <c r="Z40" s="135"/>
      <c r="AA40" s="185" t="s">
        <v>460</v>
      </c>
      <c r="IM40" s="125"/>
      <c r="IN40" s="125"/>
    </row>
    <row r="41" spans="1:248" ht="93">
      <c r="A41" s="149"/>
      <c r="B41" s="183">
        <v>35</v>
      </c>
      <c r="C41" s="290" t="s">
        <v>125</v>
      </c>
      <c r="D41" s="129" t="s">
        <v>48</v>
      </c>
      <c r="E41" s="179" t="s">
        <v>12</v>
      </c>
      <c r="F41" s="129" t="s">
        <v>49</v>
      </c>
      <c r="G41" s="129" t="s">
        <v>186</v>
      </c>
      <c r="H41" s="133" t="s">
        <v>148</v>
      </c>
      <c r="I41" s="129" t="s">
        <v>49</v>
      </c>
      <c r="J41" s="137"/>
      <c r="K41" s="137"/>
      <c r="L41" s="137">
        <v>514623680</v>
      </c>
      <c r="M41" s="140">
        <v>304323</v>
      </c>
      <c r="N41" s="140"/>
      <c r="O41" s="140"/>
      <c r="P41" s="133">
        <f t="shared" si="1"/>
        <v>514928003</v>
      </c>
      <c r="Q41" s="131">
        <f t="shared" si="2"/>
        <v>514928003</v>
      </c>
      <c r="R41" s="133">
        <v>514928003</v>
      </c>
      <c r="S41" s="147" t="s">
        <v>165</v>
      </c>
      <c r="T41" s="131" t="s">
        <v>216</v>
      </c>
      <c r="U41" s="131" t="s">
        <v>517</v>
      </c>
      <c r="V41" s="150" t="s">
        <v>265</v>
      </c>
      <c r="W41" s="135" t="s">
        <v>118</v>
      </c>
      <c r="X41" s="135" t="s">
        <v>118</v>
      </c>
      <c r="Y41" s="135" t="s">
        <v>118</v>
      </c>
      <c r="Z41" s="135"/>
      <c r="AA41" s="185" t="s">
        <v>460</v>
      </c>
      <c r="IM41" s="125"/>
      <c r="IN41" s="125"/>
    </row>
    <row r="42" spans="1:248" ht="69.75">
      <c r="A42" s="149"/>
      <c r="B42" s="183">
        <v>36</v>
      </c>
      <c r="C42" s="290" t="s">
        <v>126</v>
      </c>
      <c r="D42" s="129" t="s">
        <v>127</v>
      </c>
      <c r="E42" s="179" t="s">
        <v>141</v>
      </c>
      <c r="F42" s="129" t="s">
        <v>47</v>
      </c>
      <c r="G42" s="129" t="s">
        <v>187</v>
      </c>
      <c r="H42" s="133" t="s">
        <v>149</v>
      </c>
      <c r="I42" s="129" t="s">
        <v>47</v>
      </c>
      <c r="J42" s="137"/>
      <c r="K42" s="137"/>
      <c r="L42" s="137">
        <v>1288121934</v>
      </c>
      <c r="M42" s="140"/>
      <c r="N42" s="140"/>
      <c r="O42" s="140">
        <v>200000000</v>
      </c>
      <c r="P42" s="133">
        <f t="shared" si="1"/>
        <v>1488121934</v>
      </c>
      <c r="Q42" s="131">
        <f t="shared" si="2"/>
        <v>1288121934</v>
      </c>
      <c r="R42" s="133">
        <v>1288121934</v>
      </c>
      <c r="S42" s="147" t="s">
        <v>165</v>
      </c>
      <c r="T42" s="131" t="s">
        <v>216</v>
      </c>
      <c r="U42" s="131" t="s">
        <v>517</v>
      </c>
      <c r="V42" s="150" t="s">
        <v>266</v>
      </c>
      <c r="W42" s="135" t="s">
        <v>118</v>
      </c>
      <c r="X42" s="135" t="s">
        <v>118</v>
      </c>
      <c r="Y42" s="135" t="s">
        <v>118</v>
      </c>
      <c r="Z42" s="135"/>
      <c r="AA42" s="185" t="s">
        <v>460</v>
      </c>
      <c r="IM42" s="125"/>
      <c r="IN42" s="125"/>
    </row>
    <row r="43" spans="1:248" ht="89.25" customHeight="1">
      <c r="A43" s="149"/>
      <c r="B43" s="183">
        <v>37</v>
      </c>
      <c r="C43" s="290" t="s">
        <v>128</v>
      </c>
      <c r="D43" s="129" t="s">
        <v>129</v>
      </c>
      <c r="E43" s="179" t="s">
        <v>142</v>
      </c>
      <c r="F43" s="129" t="s">
        <v>151</v>
      </c>
      <c r="G43" s="129" t="s">
        <v>196</v>
      </c>
      <c r="H43" s="133" t="s">
        <v>150</v>
      </c>
      <c r="I43" s="129" t="s">
        <v>151</v>
      </c>
      <c r="J43" s="137"/>
      <c r="K43" s="137"/>
      <c r="L43" s="137">
        <v>179660817</v>
      </c>
      <c r="M43" s="140"/>
      <c r="N43" s="140"/>
      <c r="O43" s="140">
        <v>2500000</v>
      </c>
      <c r="P43" s="133">
        <f t="shared" si="1"/>
        <v>182160817</v>
      </c>
      <c r="Q43" s="131">
        <f t="shared" si="2"/>
        <v>179660817</v>
      </c>
      <c r="R43" s="133">
        <v>179660817</v>
      </c>
      <c r="S43" s="147" t="s">
        <v>166</v>
      </c>
      <c r="T43" s="131" t="s">
        <v>216</v>
      </c>
      <c r="U43" s="131" t="s">
        <v>517</v>
      </c>
      <c r="V43" s="151" t="s">
        <v>267</v>
      </c>
      <c r="W43" s="135" t="s">
        <v>118</v>
      </c>
      <c r="X43" s="135" t="s">
        <v>118</v>
      </c>
      <c r="Y43" s="135" t="s">
        <v>118</v>
      </c>
      <c r="Z43" s="135"/>
      <c r="AA43" s="185" t="s">
        <v>460</v>
      </c>
      <c r="IM43" s="125"/>
      <c r="IN43" s="125"/>
    </row>
    <row r="44" spans="1:248" ht="139.5">
      <c r="A44" s="149"/>
      <c r="B44" s="183">
        <v>38</v>
      </c>
      <c r="C44" s="290" t="s">
        <v>130</v>
      </c>
      <c r="D44" s="129" t="s">
        <v>131</v>
      </c>
      <c r="E44" s="179" t="s">
        <v>15</v>
      </c>
      <c r="F44" s="129" t="s">
        <v>46</v>
      </c>
      <c r="G44" s="129" t="s">
        <v>188</v>
      </c>
      <c r="H44" s="133" t="s">
        <v>150</v>
      </c>
      <c r="I44" s="129" t="s">
        <v>46</v>
      </c>
      <c r="J44" s="137"/>
      <c r="K44" s="137"/>
      <c r="L44" s="137">
        <v>95007028</v>
      </c>
      <c r="M44" s="140"/>
      <c r="N44" s="140"/>
      <c r="O44" s="140">
        <v>2390000</v>
      </c>
      <c r="P44" s="133">
        <f t="shared" si="1"/>
        <v>97397028</v>
      </c>
      <c r="Q44" s="131">
        <f t="shared" si="2"/>
        <v>95007028</v>
      </c>
      <c r="R44" s="133">
        <v>95007028</v>
      </c>
      <c r="S44" s="147" t="s">
        <v>166</v>
      </c>
      <c r="T44" s="131" t="s">
        <v>216</v>
      </c>
      <c r="U44" s="131" t="s">
        <v>517</v>
      </c>
      <c r="V44" s="150" t="s">
        <v>268</v>
      </c>
      <c r="W44" s="135" t="s">
        <v>118</v>
      </c>
      <c r="X44" s="135" t="s">
        <v>118</v>
      </c>
      <c r="Y44" s="135" t="s">
        <v>118</v>
      </c>
      <c r="Z44" s="135"/>
      <c r="AA44" s="185" t="s">
        <v>460</v>
      </c>
      <c r="IM44" s="125"/>
      <c r="IN44" s="125"/>
    </row>
    <row r="45" spans="1:248" ht="69.75">
      <c r="A45" s="149"/>
      <c r="B45" s="183">
        <v>40</v>
      </c>
      <c r="C45" s="290" t="s">
        <v>133</v>
      </c>
      <c r="D45" s="129" t="s">
        <v>134</v>
      </c>
      <c r="E45" s="179" t="s">
        <v>12</v>
      </c>
      <c r="F45" s="129" t="s">
        <v>154</v>
      </c>
      <c r="G45" s="129" t="s">
        <v>190</v>
      </c>
      <c r="H45" s="133" t="s">
        <v>155</v>
      </c>
      <c r="I45" s="129" t="s">
        <v>154</v>
      </c>
      <c r="J45" s="137"/>
      <c r="K45" s="137"/>
      <c r="L45" s="137">
        <v>128339480</v>
      </c>
      <c r="M45" s="140"/>
      <c r="N45" s="140"/>
      <c r="O45" s="140"/>
      <c r="P45" s="133">
        <f t="shared" si="1"/>
        <v>128339480</v>
      </c>
      <c r="Q45" s="131">
        <f t="shared" si="2"/>
        <v>128339480</v>
      </c>
      <c r="R45" s="133">
        <v>128339480</v>
      </c>
      <c r="S45" s="147" t="s">
        <v>167</v>
      </c>
      <c r="T45" s="131" t="s">
        <v>216</v>
      </c>
      <c r="U45" s="131" t="s">
        <v>517</v>
      </c>
      <c r="V45" s="150" t="s">
        <v>270</v>
      </c>
      <c r="W45" s="135" t="s">
        <v>118</v>
      </c>
      <c r="X45" s="135" t="s">
        <v>118</v>
      </c>
      <c r="Y45" s="135" t="s">
        <v>118</v>
      </c>
      <c r="Z45" s="135"/>
      <c r="AA45" s="185" t="s">
        <v>460</v>
      </c>
      <c r="IM45" s="125"/>
      <c r="IN45" s="125"/>
    </row>
    <row r="46" spans="1:248" ht="116.25">
      <c r="A46" s="149"/>
      <c r="B46" s="183">
        <v>41</v>
      </c>
      <c r="C46" s="290" t="s">
        <v>135</v>
      </c>
      <c r="D46" s="129" t="s">
        <v>136</v>
      </c>
      <c r="E46" s="179" t="s">
        <v>12</v>
      </c>
      <c r="F46" s="129" t="s">
        <v>156</v>
      </c>
      <c r="G46" s="129" t="s">
        <v>190</v>
      </c>
      <c r="H46" s="133" t="s">
        <v>155</v>
      </c>
      <c r="I46" s="129" t="s">
        <v>156</v>
      </c>
      <c r="J46" s="137"/>
      <c r="K46" s="137"/>
      <c r="L46" s="137">
        <v>178941390</v>
      </c>
      <c r="M46" s="140"/>
      <c r="N46" s="140"/>
      <c r="O46" s="140"/>
      <c r="P46" s="133">
        <f t="shared" si="1"/>
        <v>178941390</v>
      </c>
      <c r="Q46" s="131">
        <f t="shared" si="2"/>
        <v>178941390</v>
      </c>
      <c r="R46" s="133">
        <v>178941390</v>
      </c>
      <c r="S46" s="147" t="s">
        <v>167</v>
      </c>
      <c r="T46" s="131" t="s">
        <v>216</v>
      </c>
      <c r="U46" s="131" t="s">
        <v>517</v>
      </c>
      <c r="V46" s="150" t="s">
        <v>271</v>
      </c>
      <c r="W46" s="135" t="s">
        <v>118</v>
      </c>
      <c r="X46" s="135" t="s">
        <v>118</v>
      </c>
      <c r="Y46" s="135" t="s">
        <v>118</v>
      </c>
      <c r="Z46" s="135"/>
      <c r="AA46" s="185" t="s">
        <v>460</v>
      </c>
      <c r="IM46" s="125"/>
      <c r="IN46" s="125"/>
    </row>
    <row r="47" spans="1:248" ht="93">
      <c r="A47" s="149"/>
      <c r="B47" s="183">
        <v>42</v>
      </c>
      <c r="C47" s="290" t="s">
        <v>137</v>
      </c>
      <c r="D47" s="129" t="s">
        <v>638</v>
      </c>
      <c r="E47" s="179" t="s">
        <v>12</v>
      </c>
      <c r="F47" s="129" t="s">
        <v>159</v>
      </c>
      <c r="G47" s="129" t="s">
        <v>191</v>
      </c>
      <c r="H47" s="133" t="s">
        <v>157</v>
      </c>
      <c r="I47" s="129" t="s">
        <v>159</v>
      </c>
      <c r="J47" s="137"/>
      <c r="K47" s="137"/>
      <c r="L47" s="137">
        <v>1507215260</v>
      </c>
      <c r="M47" s="140">
        <v>10775175</v>
      </c>
      <c r="N47" s="140"/>
      <c r="O47" s="140">
        <v>872226</v>
      </c>
      <c r="P47" s="133">
        <f t="shared" si="1"/>
        <v>1518862661</v>
      </c>
      <c r="Q47" s="131">
        <f t="shared" si="2"/>
        <v>1517990435</v>
      </c>
      <c r="R47" s="133">
        <v>1517990435</v>
      </c>
      <c r="S47" s="147" t="s">
        <v>169</v>
      </c>
      <c r="T47" s="131" t="s">
        <v>216</v>
      </c>
      <c r="U47" s="131" t="s">
        <v>517</v>
      </c>
      <c r="V47" s="150" t="s">
        <v>272</v>
      </c>
      <c r="W47" s="135" t="s">
        <v>118</v>
      </c>
      <c r="X47" s="135" t="s">
        <v>118</v>
      </c>
      <c r="Y47" s="135" t="s">
        <v>118</v>
      </c>
      <c r="Z47" s="135"/>
      <c r="AA47" s="185" t="s">
        <v>460</v>
      </c>
      <c r="IM47" s="125"/>
      <c r="IN47" s="125"/>
    </row>
    <row r="48" spans="1:248" ht="139.5">
      <c r="A48" s="149"/>
      <c r="B48" s="183">
        <v>45</v>
      </c>
      <c r="C48" s="290" t="s">
        <v>140</v>
      </c>
      <c r="D48" s="129" t="s">
        <v>637</v>
      </c>
      <c r="E48" s="176" t="s">
        <v>141</v>
      </c>
      <c r="F48" s="129" t="s">
        <v>161</v>
      </c>
      <c r="G48" s="129" t="s">
        <v>194</v>
      </c>
      <c r="H48" s="133" t="s">
        <v>162</v>
      </c>
      <c r="I48" s="129" t="s">
        <v>667</v>
      </c>
      <c r="J48" s="137"/>
      <c r="K48" s="137"/>
      <c r="L48" s="137">
        <v>2169856842</v>
      </c>
      <c r="M48" s="140"/>
      <c r="N48" s="140"/>
      <c r="O48" s="140"/>
      <c r="P48" s="133">
        <f t="shared" si="1"/>
        <v>2169856842</v>
      </c>
      <c r="Q48" s="131">
        <f t="shared" si="2"/>
        <v>2169856842</v>
      </c>
      <c r="R48" s="133">
        <v>2169856842</v>
      </c>
      <c r="S48" s="147" t="s">
        <v>170</v>
      </c>
      <c r="T48" s="131" t="s">
        <v>216</v>
      </c>
      <c r="U48" s="131" t="s">
        <v>517</v>
      </c>
      <c r="V48" s="150" t="s">
        <v>275</v>
      </c>
      <c r="W48" s="135" t="s">
        <v>118</v>
      </c>
      <c r="X48" s="135" t="s">
        <v>118</v>
      </c>
      <c r="Y48" s="135" t="s">
        <v>118</v>
      </c>
      <c r="Z48" s="135"/>
      <c r="AA48" s="185" t="s">
        <v>460</v>
      </c>
      <c r="IM48" s="125"/>
      <c r="IN48" s="125"/>
    </row>
    <row r="49" spans="1:248" ht="93">
      <c r="A49" s="149"/>
      <c r="B49" s="183">
        <v>46</v>
      </c>
      <c r="C49" s="290" t="s">
        <v>242</v>
      </c>
      <c r="D49" s="129" t="s">
        <v>636</v>
      </c>
      <c r="E49" s="176" t="s">
        <v>142</v>
      </c>
      <c r="F49" s="129" t="s">
        <v>246</v>
      </c>
      <c r="G49" s="129" t="s">
        <v>247</v>
      </c>
      <c r="H49" s="133" t="s">
        <v>244</v>
      </c>
      <c r="I49" s="129" t="s">
        <v>246</v>
      </c>
      <c r="J49" s="137"/>
      <c r="K49" s="137"/>
      <c r="L49" s="137">
        <v>602631734.9</v>
      </c>
      <c r="M49" s="140"/>
      <c r="N49" s="140"/>
      <c r="O49" s="140"/>
      <c r="P49" s="133">
        <f t="shared" si="1"/>
        <v>602631734.9</v>
      </c>
      <c r="Q49" s="131">
        <f t="shared" si="2"/>
        <v>602631734.9</v>
      </c>
      <c r="R49" s="133">
        <v>602631734.9</v>
      </c>
      <c r="S49" s="147" t="s">
        <v>170</v>
      </c>
      <c r="T49" s="131" t="s">
        <v>250</v>
      </c>
      <c r="U49" s="131" t="s">
        <v>517</v>
      </c>
      <c r="V49" s="135"/>
      <c r="W49" s="135" t="s">
        <v>118</v>
      </c>
      <c r="X49" s="135" t="s">
        <v>118</v>
      </c>
      <c r="Y49" s="135" t="s">
        <v>118</v>
      </c>
      <c r="Z49" s="135"/>
      <c r="AA49" s="185" t="s">
        <v>460</v>
      </c>
      <c r="IM49" s="125"/>
      <c r="IN49" s="125"/>
    </row>
    <row r="50" spans="1:248" ht="162.75">
      <c r="A50" s="149"/>
      <c r="B50" s="183">
        <v>47</v>
      </c>
      <c r="C50" s="290" t="s">
        <v>428</v>
      </c>
      <c r="D50" s="129" t="s">
        <v>243</v>
      </c>
      <c r="E50" s="176" t="s">
        <v>521</v>
      </c>
      <c r="F50" s="129" t="s">
        <v>245</v>
      </c>
      <c r="G50" s="129" t="s">
        <v>248</v>
      </c>
      <c r="H50" s="133" t="s">
        <v>150</v>
      </c>
      <c r="I50" s="129" t="s">
        <v>668</v>
      </c>
      <c r="J50" s="137"/>
      <c r="K50" s="137"/>
      <c r="L50" s="187">
        <v>185937057.47</v>
      </c>
      <c r="M50" s="140"/>
      <c r="N50" s="140"/>
      <c r="O50" s="140"/>
      <c r="P50" s="133">
        <f t="shared" si="1"/>
        <v>185937057.47</v>
      </c>
      <c r="Q50" s="131">
        <f t="shared" si="2"/>
        <v>185937057.47</v>
      </c>
      <c r="R50" s="133">
        <v>185937057.47</v>
      </c>
      <c r="S50" s="147" t="s">
        <v>249</v>
      </c>
      <c r="T50" s="131" t="s">
        <v>251</v>
      </c>
      <c r="U50" s="131" t="s">
        <v>517</v>
      </c>
      <c r="V50" s="135"/>
      <c r="W50" s="135" t="s">
        <v>118</v>
      </c>
      <c r="X50" s="135" t="s">
        <v>118</v>
      </c>
      <c r="Y50" s="135" t="s">
        <v>121</v>
      </c>
      <c r="Z50" s="135"/>
      <c r="AA50" s="185" t="s">
        <v>460</v>
      </c>
      <c r="IM50" s="125"/>
      <c r="IN50" s="125"/>
    </row>
    <row r="51" spans="1:248" ht="69.75">
      <c r="A51" s="149"/>
      <c r="B51" s="183">
        <v>51</v>
      </c>
      <c r="C51" s="290" t="s">
        <v>177</v>
      </c>
      <c r="D51" s="129" t="s">
        <v>639</v>
      </c>
      <c r="E51" s="180" t="s">
        <v>12</v>
      </c>
      <c r="F51" s="129" t="s">
        <v>178</v>
      </c>
      <c r="G51" s="129" t="s">
        <v>185</v>
      </c>
      <c r="H51" s="133" t="s">
        <v>146</v>
      </c>
      <c r="I51" s="129" t="s">
        <v>669</v>
      </c>
      <c r="J51" s="152"/>
      <c r="K51" s="137"/>
      <c r="L51" s="137">
        <v>371337353</v>
      </c>
      <c r="M51" s="140"/>
      <c r="N51" s="140"/>
      <c r="O51" s="140"/>
      <c r="P51" s="133">
        <f t="shared" si="1"/>
        <v>371337353</v>
      </c>
      <c r="Q51" s="131">
        <f t="shared" si="2"/>
        <v>371337353</v>
      </c>
      <c r="R51" s="133">
        <v>371337353</v>
      </c>
      <c r="S51" s="147" t="s">
        <v>170</v>
      </c>
      <c r="T51" s="133" t="s">
        <v>217</v>
      </c>
      <c r="U51" s="131" t="s">
        <v>517</v>
      </c>
      <c r="V51" s="150" t="s">
        <v>259</v>
      </c>
      <c r="W51" s="135" t="s">
        <v>118</v>
      </c>
      <c r="X51" s="135" t="s">
        <v>118</v>
      </c>
      <c r="Y51" s="135" t="s">
        <v>118</v>
      </c>
      <c r="Z51" s="135"/>
      <c r="AA51" s="185" t="s">
        <v>460</v>
      </c>
      <c r="IM51" s="125"/>
      <c r="IN51" s="125"/>
    </row>
    <row r="52" spans="1:248" ht="116.25">
      <c r="A52" s="149"/>
      <c r="B52" s="183">
        <v>39</v>
      </c>
      <c r="C52" s="290" t="s">
        <v>132</v>
      </c>
      <c r="D52" s="129" t="s">
        <v>640</v>
      </c>
      <c r="E52" s="179" t="s">
        <v>12</v>
      </c>
      <c r="F52" s="129" t="s">
        <v>153</v>
      </c>
      <c r="G52" s="129" t="s">
        <v>189</v>
      </c>
      <c r="H52" s="133" t="s">
        <v>152</v>
      </c>
      <c r="I52" s="129" t="s">
        <v>670</v>
      </c>
      <c r="J52" s="137"/>
      <c r="K52" s="137"/>
      <c r="L52" s="137">
        <v>499497514</v>
      </c>
      <c r="M52" s="140"/>
      <c r="N52" s="140"/>
      <c r="O52" s="140"/>
      <c r="P52" s="133">
        <f t="shared" si="1"/>
        <v>499497514</v>
      </c>
      <c r="Q52" s="131">
        <f t="shared" si="2"/>
        <v>499497514</v>
      </c>
      <c r="R52" s="133">
        <v>499497514</v>
      </c>
      <c r="S52" s="147" t="s">
        <v>164</v>
      </c>
      <c r="T52" s="131" t="s">
        <v>216</v>
      </c>
      <c r="U52" s="131" t="s">
        <v>517</v>
      </c>
      <c r="V52" s="150" t="s">
        <v>269</v>
      </c>
      <c r="W52" s="135" t="s">
        <v>118</v>
      </c>
      <c r="X52" s="135" t="s">
        <v>118</v>
      </c>
      <c r="Y52" s="135" t="s">
        <v>118</v>
      </c>
      <c r="Z52" s="135"/>
      <c r="AA52" s="185" t="s">
        <v>459</v>
      </c>
      <c r="IM52" s="125"/>
      <c r="IN52" s="125"/>
    </row>
    <row r="53" spans="1:248" ht="116.25">
      <c r="A53" s="149"/>
      <c r="B53" s="183">
        <v>43</v>
      </c>
      <c r="C53" s="290" t="s">
        <v>138</v>
      </c>
      <c r="D53" s="129" t="s">
        <v>641</v>
      </c>
      <c r="E53" s="178" t="s">
        <v>35</v>
      </c>
      <c r="F53" s="129" t="s">
        <v>160</v>
      </c>
      <c r="G53" s="129" t="s">
        <v>192</v>
      </c>
      <c r="H53" s="133" t="s">
        <v>158</v>
      </c>
      <c r="I53" s="129" t="s">
        <v>160</v>
      </c>
      <c r="J53" s="137"/>
      <c r="K53" s="137"/>
      <c r="L53" s="137">
        <v>742511963</v>
      </c>
      <c r="M53" s="140"/>
      <c r="N53" s="140"/>
      <c r="O53" s="140"/>
      <c r="P53" s="133">
        <f t="shared" si="1"/>
        <v>742511963</v>
      </c>
      <c r="Q53" s="131">
        <f t="shared" si="2"/>
        <v>742511963</v>
      </c>
      <c r="R53" s="133">
        <v>742511963</v>
      </c>
      <c r="S53" s="147" t="s">
        <v>168</v>
      </c>
      <c r="T53" s="131" t="s">
        <v>216</v>
      </c>
      <c r="U53" s="131" t="s">
        <v>517</v>
      </c>
      <c r="V53" s="150" t="s">
        <v>273</v>
      </c>
      <c r="W53" s="135" t="s">
        <v>118</v>
      </c>
      <c r="X53" s="135" t="s">
        <v>118</v>
      </c>
      <c r="Y53" s="135" t="s">
        <v>118</v>
      </c>
      <c r="Z53" s="135"/>
      <c r="AA53" s="185" t="s">
        <v>459</v>
      </c>
      <c r="IM53" s="125"/>
      <c r="IN53" s="125"/>
    </row>
    <row r="54" spans="1:248" ht="116.25">
      <c r="A54" s="149"/>
      <c r="B54" s="183">
        <v>44</v>
      </c>
      <c r="C54" s="290" t="s">
        <v>139</v>
      </c>
      <c r="D54" s="129" t="s">
        <v>642</v>
      </c>
      <c r="E54" s="179" t="s">
        <v>12</v>
      </c>
      <c r="F54" s="129" t="s">
        <v>45</v>
      </c>
      <c r="G54" s="129" t="s">
        <v>193</v>
      </c>
      <c r="H54" s="133" t="s">
        <v>158</v>
      </c>
      <c r="I54" s="129" t="s">
        <v>45</v>
      </c>
      <c r="J54" s="137"/>
      <c r="K54" s="137"/>
      <c r="L54" s="137">
        <v>622143232</v>
      </c>
      <c r="M54" s="140">
        <v>2580235</v>
      </c>
      <c r="N54" s="140"/>
      <c r="O54" s="137">
        <v>26637976</v>
      </c>
      <c r="P54" s="133">
        <f t="shared" si="1"/>
        <v>651361443</v>
      </c>
      <c r="Q54" s="131">
        <f t="shared" si="2"/>
        <v>624723467</v>
      </c>
      <c r="R54" s="133">
        <v>624723467</v>
      </c>
      <c r="S54" s="147" t="s">
        <v>169</v>
      </c>
      <c r="T54" s="131" t="s">
        <v>216</v>
      </c>
      <c r="U54" s="131" t="s">
        <v>517</v>
      </c>
      <c r="V54" s="150" t="s">
        <v>274</v>
      </c>
      <c r="W54" s="135" t="s">
        <v>118</v>
      </c>
      <c r="X54" s="135" t="s">
        <v>118</v>
      </c>
      <c r="Y54" s="135" t="s">
        <v>118</v>
      </c>
      <c r="Z54" s="135"/>
      <c r="AA54" s="185" t="s">
        <v>459</v>
      </c>
      <c r="IM54" s="125"/>
      <c r="IN54" s="125"/>
    </row>
    <row r="55" spans="1:248" ht="46.5">
      <c r="A55" s="149"/>
      <c r="B55" s="183">
        <v>48</v>
      </c>
      <c r="C55" s="290" t="s">
        <v>171</v>
      </c>
      <c r="D55" s="129" t="s">
        <v>643</v>
      </c>
      <c r="E55" s="180" t="s">
        <v>12</v>
      </c>
      <c r="F55" s="129" t="s">
        <v>172</v>
      </c>
      <c r="G55" s="129" t="s">
        <v>195</v>
      </c>
      <c r="H55" s="133" t="s">
        <v>147</v>
      </c>
      <c r="I55" s="129" t="s">
        <v>671</v>
      </c>
      <c r="J55" s="152"/>
      <c r="K55" s="137"/>
      <c r="L55" s="137">
        <v>687633943</v>
      </c>
      <c r="M55" s="140"/>
      <c r="N55" s="140"/>
      <c r="O55" s="140"/>
      <c r="P55" s="133">
        <f t="shared" si="1"/>
        <v>687633943</v>
      </c>
      <c r="Q55" s="131">
        <f t="shared" si="2"/>
        <v>687633943</v>
      </c>
      <c r="R55" s="133">
        <v>687633943</v>
      </c>
      <c r="S55" s="188" t="s">
        <v>170</v>
      </c>
      <c r="T55" s="133" t="s">
        <v>220</v>
      </c>
      <c r="U55" s="131" t="s">
        <v>517</v>
      </c>
      <c r="V55" s="150" t="s">
        <v>256</v>
      </c>
      <c r="W55" s="135" t="s">
        <v>118</v>
      </c>
      <c r="X55" s="135" t="s">
        <v>118</v>
      </c>
      <c r="Y55" s="135" t="s">
        <v>118</v>
      </c>
      <c r="Z55" s="135"/>
      <c r="AA55" s="185" t="s">
        <v>459</v>
      </c>
      <c r="IK55" s="125"/>
      <c r="IL55" s="125"/>
      <c r="IM55" s="125"/>
      <c r="IN55" s="125"/>
    </row>
    <row r="56" spans="1:248" ht="69.75">
      <c r="A56" s="149"/>
      <c r="B56" s="183">
        <v>49</v>
      </c>
      <c r="C56" s="290" t="s">
        <v>173</v>
      </c>
      <c r="D56" s="129" t="s">
        <v>644</v>
      </c>
      <c r="E56" s="180" t="s">
        <v>183</v>
      </c>
      <c r="F56" s="129" t="s">
        <v>174</v>
      </c>
      <c r="G56" s="129" t="s">
        <v>196</v>
      </c>
      <c r="H56" s="133" t="s">
        <v>150</v>
      </c>
      <c r="I56" s="129" t="s">
        <v>174</v>
      </c>
      <c r="J56" s="152"/>
      <c r="K56" s="137"/>
      <c r="L56" s="137">
        <v>169000020</v>
      </c>
      <c r="M56" s="140"/>
      <c r="N56" s="140"/>
      <c r="O56" s="140"/>
      <c r="P56" s="133">
        <f t="shared" si="1"/>
        <v>169000020</v>
      </c>
      <c r="Q56" s="131">
        <f t="shared" si="2"/>
        <v>169000020</v>
      </c>
      <c r="R56" s="133">
        <v>169000020</v>
      </c>
      <c r="S56" s="188" t="s">
        <v>170</v>
      </c>
      <c r="T56" s="133" t="s">
        <v>221</v>
      </c>
      <c r="U56" s="131" t="s">
        <v>517</v>
      </c>
      <c r="V56" s="150" t="s">
        <v>257</v>
      </c>
      <c r="W56" s="135" t="s">
        <v>118</v>
      </c>
      <c r="X56" s="135" t="s">
        <v>118</v>
      </c>
      <c r="Y56" s="135" t="s">
        <v>118</v>
      </c>
      <c r="Z56" s="135"/>
      <c r="AA56" s="185" t="s">
        <v>459</v>
      </c>
      <c r="IK56" s="125"/>
      <c r="IL56" s="125"/>
      <c r="IM56" s="125"/>
      <c r="IN56" s="125"/>
    </row>
    <row r="57" spans="1:248" ht="46.5">
      <c r="A57" s="149"/>
      <c r="B57" s="183">
        <v>50</v>
      </c>
      <c r="C57" s="290" t="s">
        <v>175</v>
      </c>
      <c r="D57" s="129" t="s">
        <v>645</v>
      </c>
      <c r="E57" s="180" t="s">
        <v>12</v>
      </c>
      <c r="F57" s="129" t="s">
        <v>176</v>
      </c>
      <c r="G57" s="129" t="s">
        <v>190</v>
      </c>
      <c r="H57" s="133" t="s">
        <v>155</v>
      </c>
      <c r="I57" s="129" t="s">
        <v>672</v>
      </c>
      <c r="J57" s="152"/>
      <c r="K57" s="137"/>
      <c r="L57" s="137">
        <v>139891652</v>
      </c>
      <c r="M57" s="140"/>
      <c r="N57" s="140"/>
      <c r="O57" s="140"/>
      <c r="P57" s="133">
        <f t="shared" si="1"/>
        <v>139891652</v>
      </c>
      <c r="Q57" s="131">
        <f t="shared" si="2"/>
        <v>139891652</v>
      </c>
      <c r="R57" s="133">
        <v>139891652</v>
      </c>
      <c r="S57" s="188" t="s">
        <v>170</v>
      </c>
      <c r="T57" s="133" t="s">
        <v>222</v>
      </c>
      <c r="U57" s="131" t="s">
        <v>517</v>
      </c>
      <c r="V57" s="150" t="s">
        <v>258</v>
      </c>
      <c r="W57" s="135" t="s">
        <v>118</v>
      </c>
      <c r="X57" s="135" t="s">
        <v>118</v>
      </c>
      <c r="Y57" s="135" t="s">
        <v>118</v>
      </c>
      <c r="Z57" s="135"/>
      <c r="AA57" s="185" t="s">
        <v>459</v>
      </c>
      <c r="IK57" s="125"/>
      <c r="IL57" s="125"/>
      <c r="IM57" s="125"/>
      <c r="IN57" s="125"/>
    </row>
    <row r="58" spans="1:248" ht="69.75">
      <c r="A58" s="149"/>
      <c r="B58" s="183">
        <v>52</v>
      </c>
      <c r="C58" s="290" t="s">
        <v>179</v>
      </c>
      <c r="D58" s="129" t="s">
        <v>646</v>
      </c>
      <c r="E58" s="180" t="s">
        <v>12</v>
      </c>
      <c r="F58" s="129" t="s">
        <v>180</v>
      </c>
      <c r="G58" s="129" t="s">
        <v>196</v>
      </c>
      <c r="H58" s="133" t="s">
        <v>150</v>
      </c>
      <c r="I58" s="129" t="s">
        <v>180</v>
      </c>
      <c r="J58" s="152"/>
      <c r="K58" s="137"/>
      <c r="L58" s="137">
        <v>40690670</v>
      </c>
      <c r="M58" s="140"/>
      <c r="N58" s="140"/>
      <c r="O58" s="140"/>
      <c r="P58" s="133">
        <f t="shared" si="1"/>
        <v>40690670</v>
      </c>
      <c r="Q58" s="131">
        <f t="shared" si="2"/>
        <v>40690670</v>
      </c>
      <c r="R58" s="133">
        <v>40690670</v>
      </c>
      <c r="S58" s="147" t="s">
        <v>170</v>
      </c>
      <c r="T58" s="133" t="s">
        <v>217</v>
      </c>
      <c r="U58" s="131" t="s">
        <v>517</v>
      </c>
      <c r="V58" s="150" t="s">
        <v>260</v>
      </c>
      <c r="W58" s="135" t="s">
        <v>118</v>
      </c>
      <c r="X58" s="135" t="s">
        <v>118</v>
      </c>
      <c r="Y58" s="135" t="s">
        <v>118</v>
      </c>
      <c r="Z58" s="135"/>
      <c r="AA58" s="185" t="s">
        <v>459</v>
      </c>
      <c r="IM58" s="125"/>
      <c r="IN58" s="125"/>
    </row>
    <row r="59" spans="1:248" ht="91.5" customHeight="1" thickBot="1">
      <c r="A59" s="149"/>
      <c r="B59" s="189">
        <v>53</v>
      </c>
      <c r="C59" s="293" t="s">
        <v>181</v>
      </c>
      <c r="D59" s="190" t="s">
        <v>647</v>
      </c>
      <c r="E59" s="191" t="s">
        <v>12</v>
      </c>
      <c r="F59" s="190" t="s">
        <v>182</v>
      </c>
      <c r="G59" s="190" t="s">
        <v>189</v>
      </c>
      <c r="H59" s="192" t="s">
        <v>152</v>
      </c>
      <c r="I59" s="190" t="s">
        <v>673</v>
      </c>
      <c r="J59" s="193"/>
      <c r="K59" s="194"/>
      <c r="L59" s="194">
        <v>227801795</v>
      </c>
      <c r="M59" s="195"/>
      <c r="N59" s="195"/>
      <c r="O59" s="195"/>
      <c r="P59" s="192">
        <f t="shared" si="1"/>
        <v>227801795</v>
      </c>
      <c r="Q59" s="196">
        <f t="shared" si="2"/>
        <v>227801795</v>
      </c>
      <c r="R59" s="192">
        <v>227801795</v>
      </c>
      <c r="S59" s="197" t="s">
        <v>170</v>
      </c>
      <c r="T59" s="192" t="s">
        <v>218</v>
      </c>
      <c r="U59" s="196" t="s">
        <v>517</v>
      </c>
      <c r="V59" s="198" t="s">
        <v>261</v>
      </c>
      <c r="W59" s="199" t="s">
        <v>118</v>
      </c>
      <c r="X59" s="199" t="s">
        <v>118</v>
      </c>
      <c r="Y59" s="199" t="s">
        <v>121</v>
      </c>
      <c r="Z59" s="199"/>
      <c r="AA59" s="200" t="s">
        <v>459</v>
      </c>
      <c r="IM59" s="125"/>
      <c r="IN59" s="125"/>
    </row>
    <row r="60" spans="2:256" s="123" customFormat="1" ht="53.25" customHeight="1" thickBot="1">
      <c r="B60" s="430" t="s">
        <v>593</v>
      </c>
      <c r="C60" s="430"/>
      <c r="D60" s="430"/>
      <c r="E60" s="430"/>
      <c r="F60" s="430"/>
      <c r="G60" s="430"/>
      <c r="H60" s="430"/>
      <c r="I60" s="430"/>
      <c r="J60" s="346">
        <f>SUM(J7:J59)</f>
        <v>71769514170.85498</v>
      </c>
      <c r="K60" s="346">
        <f aca="true" t="shared" si="3" ref="K60:Q60">SUM(K7:K59)</f>
        <v>48275031769.5184</v>
      </c>
      <c r="L60" s="346">
        <f t="shared" si="3"/>
        <v>16663539990.369999</v>
      </c>
      <c r="M60" s="346">
        <f t="shared" si="3"/>
        <v>18118636</v>
      </c>
      <c r="N60" s="346">
        <f t="shared" si="3"/>
        <v>19010456732</v>
      </c>
      <c r="O60" s="346">
        <f t="shared" si="3"/>
        <v>4836060524</v>
      </c>
      <c r="P60" s="346">
        <f t="shared" si="3"/>
        <v>160916811822.74338</v>
      </c>
      <c r="Q60" s="346">
        <f t="shared" si="3"/>
        <v>155736661298.74338</v>
      </c>
      <c r="R60" s="346">
        <f>SUM(R7:R59)</f>
        <v>102792030511.34999</v>
      </c>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5"/>
      <c r="IP60" s="125"/>
      <c r="IQ60" s="125"/>
      <c r="IR60" s="125"/>
      <c r="IS60" s="125"/>
      <c r="IT60" s="125"/>
      <c r="IU60" s="125"/>
      <c r="IV60" s="125"/>
    </row>
    <row r="61" spans="2:248" s="247" customFormat="1" ht="23.25">
      <c r="B61" s="245"/>
      <c r="C61" s="245"/>
      <c r="D61" s="245"/>
      <c r="E61" s="245"/>
      <c r="F61" s="245"/>
      <c r="G61" s="245"/>
      <c r="H61" s="245"/>
      <c r="I61" s="245"/>
      <c r="J61" s="245"/>
      <c r="K61" s="245"/>
      <c r="L61" s="245"/>
      <c r="M61" s="245"/>
      <c r="N61" s="245"/>
      <c r="O61" s="245"/>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46"/>
      <c r="CR61" s="246"/>
      <c r="CS61" s="246"/>
      <c r="CT61" s="246"/>
      <c r="CU61" s="246"/>
      <c r="CV61" s="246"/>
      <c r="CW61" s="246"/>
      <c r="CX61" s="246"/>
      <c r="CY61" s="246"/>
      <c r="CZ61" s="246"/>
      <c r="DA61" s="246"/>
      <c r="DB61" s="246"/>
      <c r="DC61" s="246"/>
      <c r="DD61" s="246"/>
      <c r="DE61" s="246"/>
      <c r="DF61" s="246"/>
      <c r="DG61" s="246"/>
      <c r="DH61" s="246"/>
      <c r="DI61" s="246"/>
      <c r="DJ61" s="246"/>
      <c r="DK61" s="246"/>
      <c r="DL61" s="246"/>
      <c r="DM61" s="246"/>
      <c r="DN61" s="246"/>
      <c r="DO61" s="246"/>
      <c r="DP61" s="246"/>
      <c r="DQ61" s="246"/>
      <c r="DR61" s="246"/>
      <c r="DS61" s="246"/>
      <c r="DT61" s="246"/>
      <c r="DU61" s="246"/>
      <c r="DV61" s="246"/>
      <c r="DW61" s="246"/>
      <c r="DX61" s="246"/>
      <c r="DY61" s="246"/>
      <c r="DZ61" s="246"/>
      <c r="EA61" s="246"/>
      <c r="EB61" s="246"/>
      <c r="EC61" s="246"/>
      <c r="ED61" s="246"/>
      <c r="EE61" s="246"/>
      <c r="EF61" s="246"/>
      <c r="EG61" s="246"/>
      <c r="EH61" s="246"/>
      <c r="EI61" s="246"/>
      <c r="EJ61" s="246"/>
      <c r="EK61" s="246"/>
      <c r="EL61" s="246"/>
      <c r="EM61" s="246"/>
      <c r="EN61" s="246"/>
      <c r="EO61" s="246"/>
      <c r="EP61" s="246"/>
      <c r="EQ61" s="246"/>
      <c r="ER61" s="246"/>
      <c r="ES61" s="246"/>
      <c r="ET61" s="246"/>
      <c r="EU61" s="246"/>
      <c r="EV61" s="246"/>
      <c r="EW61" s="246"/>
      <c r="EX61" s="246"/>
      <c r="EY61" s="246"/>
      <c r="EZ61" s="246"/>
      <c r="FA61" s="246"/>
      <c r="FB61" s="246"/>
      <c r="FC61" s="246"/>
      <c r="FD61" s="246"/>
      <c r="FE61" s="246"/>
      <c r="FF61" s="246"/>
      <c r="FG61" s="246"/>
      <c r="FH61" s="246"/>
      <c r="FI61" s="246"/>
      <c r="FJ61" s="246"/>
      <c r="FK61" s="246"/>
      <c r="FL61" s="246"/>
      <c r="FM61" s="246"/>
      <c r="FN61" s="246"/>
      <c r="FO61" s="246"/>
      <c r="FP61" s="246"/>
      <c r="FQ61" s="246"/>
      <c r="FR61" s="246"/>
      <c r="FS61" s="246"/>
      <c r="FT61" s="246"/>
      <c r="FU61" s="246"/>
      <c r="FV61" s="246"/>
      <c r="FW61" s="246"/>
      <c r="FX61" s="246"/>
      <c r="FY61" s="246"/>
      <c r="FZ61" s="246"/>
      <c r="GA61" s="246"/>
      <c r="GB61" s="246"/>
      <c r="GC61" s="246"/>
      <c r="GD61" s="246"/>
      <c r="GE61" s="246"/>
      <c r="GF61" s="246"/>
      <c r="GG61" s="246"/>
      <c r="GH61" s="246"/>
      <c r="GI61" s="246"/>
      <c r="GJ61" s="246"/>
      <c r="GK61" s="246"/>
      <c r="GL61" s="246"/>
      <c r="GM61" s="246"/>
      <c r="GN61" s="246"/>
      <c r="GO61" s="246"/>
      <c r="GP61" s="246"/>
      <c r="GQ61" s="246"/>
      <c r="GR61" s="246"/>
      <c r="GS61" s="246"/>
      <c r="GT61" s="246"/>
      <c r="GU61" s="246"/>
      <c r="GV61" s="246"/>
      <c r="GW61" s="246"/>
      <c r="GX61" s="246"/>
      <c r="GY61" s="246"/>
      <c r="GZ61" s="246"/>
      <c r="HA61" s="246"/>
      <c r="HB61" s="246"/>
      <c r="HC61" s="246"/>
      <c r="HD61" s="246"/>
      <c r="HE61" s="246"/>
      <c r="HF61" s="246"/>
      <c r="HG61" s="246"/>
      <c r="HH61" s="246"/>
      <c r="HI61" s="246"/>
      <c r="HJ61" s="246"/>
      <c r="HK61" s="246"/>
      <c r="HL61" s="246"/>
      <c r="HM61" s="246"/>
      <c r="HN61" s="246"/>
      <c r="HO61" s="246"/>
      <c r="HP61" s="246"/>
      <c r="HQ61" s="246"/>
      <c r="HR61" s="246"/>
      <c r="HS61" s="246"/>
      <c r="HT61" s="246"/>
      <c r="HU61" s="246"/>
      <c r="HV61" s="246"/>
      <c r="HW61" s="246"/>
      <c r="HX61" s="246"/>
      <c r="HY61" s="246"/>
      <c r="HZ61" s="246"/>
      <c r="IA61" s="246"/>
      <c r="IB61" s="246"/>
      <c r="IC61" s="246"/>
      <c r="ID61" s="246"/>
      <c r="IE61" s="246"/>
      <c r="IF61" s="246"/>
      <c r="IG61" s="246"/>
      <c r="IH61" s="246"/>
      <c r="II61" s="246"/>
      <c r="IJ61" s="246"/>
      <c r="IK61" s="246"/>
      <c r="IL61" s="246"/>
      <c r="IM61" s="246"/>
      <c r="IN61" s="246"/>
    </row>
    <row r="62" spans="2:248" s="247" customFormat="1" ht="23.25">
      <c r="B62" s="245"/>
      <c r="C62" s="245"/>
      <c r="D62" s="245"/>
      <c r="E62" s="245"/>
      <c r="F62" s="245"/>
      <c r="G62" s="245"/>
      <c r="H62" s="245"/>
      <c r="I62" s="245"/>
      <c r="J62" s="249"/>
      <c r="K62" s="249"/>
      <c r="L62" s="245"/>
      <c r="M62" s="245"/>
      <c r="N62" s="245"/>
      <c r="O62" s="245"/>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46"/>
      <c r="CR62" s="246"/>
      <c r="CS62" s="246"/>
      <c r="CT62" s="246"/>
      <c r="CU62" s="246"/>
      <c r="CV62" s="246"/>
      <c r="CW62" s="246"/>
      <c r="CX62" s="246"/>
      <c r="CY62" s="246"/>
      <c r="CZ62" s="246"/>
      <c r="DA62" s="246"/>
      <c r="DB62" s="246"/>
      <c r="DC62" s="246"/>
      <c r="DD62" s="246"/>
      <c r="DE62" s="246"/>
      <c r="DF62" s="246"/>
      <c r="DG62" s="246"/>
      <c r="DH62" s="246"/>
      <c r="DI62" s="246"/>
      <c r="DJ62" s="246"/>
      <c r="DK62" s="246"/>
      <c r="DL62" s="246"/>
      <c r="DM62" s="246"/>
      <c r="DN62" s="246"/>
      <c r="DO62" s="246"/>
      <c r="DP62" s="246"/>
      <c r="DQ62" s="246"/>
      <c r="DR62" s="246"/>
      <c r="DS62" s="246"/>
      <c r="DT62" s="246"/>
      <c r="DU62" s="246"/>
      <c r="DV62" s="246"/>
      <c r="DW62" s="246"/>
      <c r="DX62" s="246"/>
      <c r="DY62" s="246"/>
      <c r="DZ62" s="246"/>
      <c r="EA62" s="246"/>
      <c r="EB62" s="246"/>
      <c r="EC62" s="246"/>
      <c r="ED62" s="246"/>
      <c r="EE62" s="246"/>
      <c r="EF62" s="246"/>
      <c r="EG62" s="246"/>
      <c r="EH62" s="246"/>
      <c r="EI62" s="246"/>
      <c r="EJ62" s="246"/>
      <c r="EK62" s="246"/>
      <c r="EL62" s="246"/>
      <c r="EM62" s="246"/>
      <c r="EN62" s="246"/>
      <c r="EO62" s="246"/>
      <c r="EP62" s="246"/>
      <c r="EQ62" s="246"/>
      <c r="ER62" s="246"/>
      <c r="ES62" s="246"/>
      <c r="ET62" s="246"/>
      <c r="EU62" s="246"/>
      <c r="EV62" s="246"/>
      <c r="EW62" s="246"/>
      <c r="EX62" s="246"/>
      <c r="EY62" s="246"/>
      <c r="EZ62" s="246"/>
      <c r="FA62" s="246"/>
      <c r="FB62" s="246"/>
      <c r="FC62" s="246"/>
      <c r="FD62" s="246"/>
      <c r="FE62" s="246"/>
      <c r="FF62" s="246"/>
      <c r="FG62" s="246"/>
      <c r="FH62" s="246"/>
      <c r="FI62" s="246"/>
      <c r="FJ62" s="246"/>
      <c r="FK62" s="246"/>
      <c r="FL62" s="246"/>
      <c r="FM62" s="246"/>
      <c r="FN62" s="246"/>
      <c r="FO62" s="246"/>
      <c r="FP62" s="246"/>
      <c r="FQ62" s="246"/>
      <c r="FR62" s="246"/>
      <c r="FS62" s="246"/>
      <c r="FT62" s="246"/>
      <c r="FU62" s="246"/>
      <c r="FV62" s="246"/>
      <c r="FW62" s="246"/>
      <c r="FX62" s="246"/>
      <c r="FY62" s="246"/>
      <c r="FZ62" s="246"/>
      <c r="GA62" s="246"/>
      <c r="GB62" s="246"/>
      <c r="GC62" s="246"/>
      <c r="GD62" s="246"/>
      <c r="GE62" s="246"/>
      <c r="GF62" s="246"/>
      <c r="GG62" s="246"/>
      <c r="GH62" s="246"/>
      <c r="GI62" s="246"/>
      <c r="GJ62" s="246"/>
      <c r="GK62" s="246"/>
      <c r="GL62" s="246"/>
      <c r="GM62" s="246"/>
      <c r="GN62" s="246"/>
      <c r="GO62" s="246"/>
      <c r="GP62" s="246"/>
      <c r="GQ62" s="246"/>
      <c r="GR62" s="246"/>
      <c r="GS62" s="246"/>
      <c r="GT62" s="246"/>
      <c r="GU62" s="246"/>
      <c r="GV62" s="246"/>
      <c r="GW62" s="246"/>
      <c r="GX62" s="246"/>
      <c r="GY62" s="246"/>
      <c r="GZ62" s="246"/>
      <c r="HA62" s="246"/>
      <c r="HB62" s="246"/>
      <c r="HC62" s="246"/>
      <c r="HD62" s="246"/>
      <c r="HE62" s="246"/>
      <c r="HF62" s="246"/>
      <c r="HG62" s="246"/>
      <c r="HH62" s="246"/>
      <c r="HI62" s="246"/>
      <c r="HJ62" s="246"/>
      <c r="HK62" s="246"/>
      <c r="HL62" s="246"/>
      <c r="HM62" s="246"/>
      <c r="HN62" s="246"/>
      <c r="HO62" s="246"/>
      <c r="HP62" s="246"/>
      <c r="HQ62" s="246"/>
      <c r="HR62" s="246"/>
      <c r="HS62" s="246"/>
      <c r="HT62" s="246"/>
      <c r="HU62" s="246"/>
      <c r="HV62" s="246"/>
      <c r="HW62" s="246"/>
      <c r="HX62" s="246"/>
      <c r="HY62" s="246"/>
      <c r="HZ62" s="246"/>
      <c r="IA62" s="246"/>
      <c r="IB62" s="246"/>
      <c r="IC62" s="246"/>
      <c r="ID62" s="246"/>
      <c r="IE62" s="246"/>
      <c r="IF62" s="246"/>
      <c r="IG62" s="246"/>
      <c r="IH62" s="246"/>
      <c r="II62" s="246"/>
      <c r="IJ62" s="246"/>
      <c r="IK62" s="246"/>
      <c r="IL62" s="246"/>
      <c r="IM62" s="246"/>
      <c r="IN62" s="246"/>
    </row>
    <row r="63" spans="2:248" s="247" customFormat="1" ht="23.25">
      <c r="B63" s="245"/>
      <c r="C63" s="245"/>
      <c r="D63" s="245"/>
      <c r="E63" s="245"/>
      <c r="F63" s="245"/>
      <c r="G63" s="245"/>
      <c r="H63" s="245"/>
      <c r="I63" s="245"/>
      <c r="J63" s="245"/>
      <c r="K63" s="245"/>
      <c r="L63" s="245"/>
      <c r="M63" s="245"/>
      <c r="N63" s="245"/>
      <c r="O63" s="245"/>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c r="EI63" s="246"/>
      <c r="EJ63" s="246"/>
      <c r="EK63" s="246"/>
      <c r="EL63" s="246"/>
      <c r="EM63" s="246"/>
      <c r="EN63" s="246"/>
      <c r="EO63" s="246"/>
      <c r="EP63" s="246"/>
      <c r="EQ63" s="246"/>
      <c r="ER63" s="246"/>
      <c r="ES63" s="246"/>
      <c r="ET63" s="246"/>
      <c r="EU63" s="246"/>
      <c r="EV63" s="246"/>
      <c r="EW63" s="246"/>
      <c r="EX63" s="246"/>
      <c r="EY63" s="246"/>
      <c r="EZ63" s="246"/>
      <c r="FA63" s="246"/>
      <c r="FB63" s="246"/>
      <c r="FC63" s="246"/>
      <c r="FD63" s="246"/>
      <c r="FE63" s="246"/>
      <c r="FF63" s="246"/>
      <c r="FG63" s="246"/>
      <c r="FH63" s="246"/>
      <c r="FI63" s="246"/>
      <c r="FJ63" s="246"/>
      <c r="FK63" s="246"/>
      <c r="FL63" s="246"/>
      <c r="FM63" s="246"/>
      <c r="FN63" s="246"/>
      <c r="FO63" s="246"/>
      <c r="FP63" s="246"/>
      <c r="FQ63" s="246"/>
      <c r="FR63" s="246"/>
      <c r="FS63" s="246"/>
      <c r="FT63" s="246"/>
      <c r="FU63" s="246"/>
      <c r="FV63" s="246"/>
      <c r="FW63" s="246"/>
      <c r="FX63" s="246"/>
      <c r="FY63" s="246"/>
      <c r="FZ63" s="246"/>
      <c r="GA63" s="246"/>
      <c r="GB63" s="246"/>
      <c r="GC63" s="246"/>
      <c r="GD63" s="246"/>
      <c r="GE63" s="246"/>
      <c r="GF63" s="246"/>
      <c r="GG63" s="246"/>
      <c r="GH63" s="246"/>
      <c r="GI63" s="246"/>
      <c r="GJ63" s="246"/>
      <c r="GK63" s="246"/>
      <c r="GL63" s="246"/>
      <c r="GM63" s="246"/>
      <c r="GN63" s="246"/>
      <c r="GO63" s="246"/>
      <c r="GP63" s="246"/>
      <c r="GQ63" s="246"/>
      <c r="GR63" s="246"/>
      <c r="GS63" s="246"/>
      <c r="GT63" s="246"/>
      <c r="GU63" s="246"/>
      <c r="GV63" s="246"/>
      <c r="GW63" s="246"/>
      <c r="GX63" s="246"/>
      <c r="GY63" s="246"/>
      <c r="GZ63" s="246"/>
      <c r="HA63" s="246"/>
      <c r="HB63" s="246"/>
      <c r="HC63" s="246"/>
      <c r="HD63" s="246"/>
      <c r="HE63" s="246"/>
      <c r="HF63" s="246"/>
      <c r="HG63" s="246"/>
      <c r="HH63" s="246"/>
      <c r="HI63" s="246"/>
      <c r="HJ63" s="246"/>
      <c r="HK63" s="246"/>
      <c r="HL63" s="246"/>
      <c r="HM63" s="246"/>
      <c r="HN63" s="246"/>
      <c r="HO63" s="246"/>
      <c r="HP63" s="246"/>
      <c r="HQ63" s="246"/>
      <c r="HR63" s="246"/>
      <c r="HS63" s="246"/>
      <c r="HT63" s="246"/>
      <c r="HU63" s="246"/>
      <c r="HV63" s="246"/>
      <c r="HW63" s="246"/>
      <c r="HX63" s="246"/>
      <c r="HY63" s="246"/>
      <c r="HZ63" s="246"/>
      <c r="IA63" s="246"/>
      <c r="IB63" s="246"/>
      <c r="IC63" s="246"/>
      <c r="ID63" s="246"/>
      <c r="IE63" s="246"/>
      <c r="IF63" s="246"/>
      <c r="IG63" s="246"/>
      <c r="IH63" s="246"/>
      <c r="II63" s="246"/>
      <c r="IJ63" s="246"/>
      <c r="IK63" s="246"/>
      <c r="IL63" s="246"/>
      <c r="IM63" s="246"/>
      <c r="IN63" s="246"/>
    </row>
    <row r="64" spans="2:248" s="247" customFormat="1" ht="23.25">
      <c r="B64" s="245"/>
      <c r="C64" s="245"/>
      <c r="D64" s="245"/>
      <c r="E64" s="245"/>
      <c r="F64" s="245"/>
      <c r="G64" s="245"/>
      <c r="H64" s="245"/>
      <c r="I64" s="245"/>
      <c r="J64" s="245"/>
      <c r="K64" s="245"/>
      <c r="L64" s="245"/>
      <c r="M64" s="245"/>
      <c r="N64" s="245"/>
      <c r="O64" s="245"/>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6"/>
      <c r="DF64" s="246"/>
      <c r="DG64" s="246"/>
      <c r="DH64" s="246"/>
      <c r="DI64" s="246"/>
      <c r="DJ64" s="246"/>
      <c r="DK64" s="246"/>
      <c r="DL64" s="246"/>
      <c r="DM64" s="246"/>
      <c r="DN64" s="246"/>
      <c r="DO64" s="246"/>
      <c r="DP64" s="246"/>
      <c r="DQ64" s="246"/>
      <c r="DR64" s="246"/>
      <c r="DS64" s="246"/>
      <c r="DT64" s="246"/>
      <c r="DU64" s="246"/>
      <c r="DV64" s="246"/>
      <c r="DW64" s="246"/>
      <c r="DX64" s="246"/>
      <c r="DY64" s="246"/>
      <c r="DZ64" s="246"/>
      <c r="EA64" s="246"/>
      <c r="EB64" s="246"/>
      <c r="EC64" s="246"/>
      <c r="ED64" s="246"/>
      <c r="EE64" s="246"/>
      <c r="EF64" s="246"/>
      <c r="EG64" s="246"/>
      <c r="EH64" s="246"/>
      <c r="EI64" s="246"/>
      <c r="EJ64" s="246"/>
      <c r="EK64" s="246"/>
      <c r="EL64" s="246"/>
      <c r="EM64" s="246"/>
      <c r="EN64" s="246"/>
      <c r="EO64" s="246"/>
      <c r="EP64" s="246"/>
      <c r="EQ64" s="246"/>
      <c r="ER64" s="246"/>
      <c r="ES64" s="246"/>
      <c r="ET64" s="246"/>
      <c r="EU64" s="246"/>
      <c r="EV64" s="246"/>
      <c r="EW64" s="246"/>
      <c r="EX64" s="246"/>
      <c r="EY64" s="246"/>
      <c r="EZ64" s="246"/>
      <c r="FA64" s="246"/>
      <c r="FB64" s="246"/>
      <c r="FC64" s="246"/>
      <c r="FD64" s="246"/>
      <c r="FE64" s="246"/>
      <c r="FF64" s="246"/>
      <c r="FG64" s="246"/>
      <c r="FH64" s="246"/>
      <c r="FI64" s="246"/>
      <c r="FJ64" s="246"/>
      <c r="FK64" s="246"/>
      <c r="FL64" s="246"/>
      <c r="FM64" s="246"/>
      <c r="FN64" s="246"/>
      <c r="FO64" s="246"/>
      <c r="FP64" s="246"/>
      <c r="FQ64" s="246"/>
      <c r="FR64" s="246"/>
      <c r="FS64" s="246"/>
      <c r="FT64" s="246"/>
      <c r="FU64" s="246"/>
      <c r="FV64" s="246"/>
      <c r="FW64" s="246"/>
      <c r="FX64" s="246"/>
      <c r="FY64" s="246"/>
      <c r="FZ64" s="246"/>
      <c r="GA64" s="246"/>
      <c r="GB64" s="246"/>
      <c r="GC64" s="246"/>
      <c r="GD64" s="246"/>
      <c r="GE64" s="246"/>
      <c r="GF64" s="246"/>
      <c r="GG64" s="246"/>
      <c r="GH64" s="246"/>
      <c r="GI64" s="246"/>
      <c r="GJ64" s="246"/>
      <c r="GK64" s="246"/>
      <c r="GL64" s="246"/>
      <c r="GM64" s="246"/>
      <c r="GN64" s="246"/>
      <c r="GO64" s="246"/>
      <c r="GP64" s="246"/>
      <c r="GQ64" s="246"/>
      <c r="GR64" s="246"/>
      <c r="GS64" s="246"/>
      <c r="GT64" s="246"/>
      <c r="GU64" s="246"/>
      <c r="GV64" s="246"/>
      <c r="GW64" s="246"/>
      <c r="GX64" s="246"/>
      <c r="GY64" s="246"/>
      <c r="GZ64" s="246"/>
      <c r="HA64" s="246"/>
      <c r="HB64" s="246"/>
      <c r="HC64" s="246"/>
      <c r="HD64" s="246"/>
      <c r="HE64" s="246"/>
      <c r="HF64" s="246"/>
      <c r="HG64" s="246"/>
      <c r="HH64" s="246"/>
      <c r="HI64" s="246"/>
      <c r="HJ64" s="246"/>
      <c r="HK64" s="246"/>
      <c r="HL64" s="246"/>
      <c r="HM64" s="246"/>
      <c r="HN64" s="246"/>
      <c r="HO64" s="246"/>
      <c r="HP64" s="246"/>
      <c r="HQ64" s="246"/>
      <c r="HR64" s="246"/>
      <c r="HS64" s="246"/>
      <c r="HT64" s="246"/>
      <c r="HU64" s="246"/>
      <c r="HV64" s="246"/>
      <c r="HW64" s="246"/>
      <c r="HX64" s="246"/>
      <c r="HY64" s="246"/>
      <c r="HZ64" s="246"/>
      <c r="IA64" s="246"/>
      <c r="IB64" s="246"/>
      <c r="IC64" s="246"/>
      <c r="ID64" s="246"/>
      <c r="IE64" s="246"/>
      <c r="IF64" s="246"/>
      <c r="IG64" s="246"/>
      <c r="IH64" s="246"/>
      <c r="II64" s="246"/>
      <c r="IJ64" s="246"/>
      <c r="IK64" s="246"/>
      <c r="IL64" s="246"/>
      <c r="IM64" s="246"/>
      <c r="IN64" s="246"/>
    </row>
    <row r="65" spans="2:248" s="247" customFormat="1" ht="23.25">
      <c r="B65" s="245"/>
      <c r="C65" s="245"/>
      <c r="D65" s="245"/>
      <c r="E65" s="245"/>
      <c r="F65" s="245"/>
      <c r="G65" s="245"/>
      <c r="H65" s="245"/>
      <c r="I65" s="245"/>
      <c r="J65" s="245"/>
      <c r="K65" s="245"/>
      <c r="L65" s="245"/>
      <c r="M65" s="245"/>
      <c r="N65" s="245"/>
      <c r="O65" s="245"/>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c r="EI65" s="246"/>
      <c r="EJ65" s="246"/>
      <c r="EK65" s="246"/>
      <c r="EL65" s="246"/>
      <c r="EM65" s="246"/>
      <c r="EN65" s="246"/>
      <c r="EO65" s="246"/>
      <c r="EP65" s="246"/>
      <c r="EQ65" s="246"/>
      <c r="ER65" s="246"/>
      <c r="ES65" s="246"/>
      <c r="ET65" s="246"/>
      <c r="EU65" s="246"/>
      <c r="EV65" s="246"/>
      <c r="EW65" s="246"/>
      <c r="EX65" s="246"/>
      <c r="EY65" s="246"/>
      <c r="EZ65" s="246"/>
      <c r="FA65" s="246"/>
      <c r="FB65" s="246"/>
      <c r="FC65" s="246"/>
      <c r="FD65" s="246"/>
      <c r="FE65" s="246"/>
      <c r="FF65" s="246"/>
      <c r="FG65" s="246"/>
      <c r="FH65" s="246"/>
      <c r="FI65" s="246"/>
      <c r="FJ65" s="246"/>
      <c r="FK65" s="246"/>
      <c r="FL65" s="246"/>
      <c r="FM65" s="246"/>
      <c r="FN65" s="246"/>
      <c r="FO65" s="246"/>
      <c r="FP65" s="246"/>
      <c r="FQ65" s="246"/>
      <c r="FR65" s="246"/>
      <c r="FS65" s="246"/>
      <c r="FT65" s="246"/>
      <c r="FU65" s="246"/>
      <c r="FV65" s="246"/>
      <c r="FW65" s="246"/>
      <c r="FX65" s="246"/>
      <c r="FY65" s="246"/>
      <c r="FZ65" s="246"/>
      <c r="GA65" s="246"/>
      <c r="GB65" s="246"/>
      <c r="GC65" s="246"/>
      <c r="GD65" s="246"/>
      <c r="GE65" s="246"/>
      <c r="GF65" s="246"/>
      <c r="GG65" s="246"/>
      <c r="GH65" s="246"/>
      <c r="GI65" s="246"/>
      <c r="GJ65" s="246"/>
      <c r="GK65" s="246"/>
      <c r="GL65" s="246"/>
      <c r="GM65" s="246"/>
      <c r="GN65" s="246"/>
      <c r="GO65" s="246"/>
      <c r="GP65" s="246"/>
      <c r="GQ65" s="246"/>
      <c r="GR65" s="246"/>
      <c r="GS65" s="246"/>
      <c r="GT65" s="246"/>
      <c r="GU65" s="246"/>
      <c r="GV65" s="246"/>
      <c r="GW65" s="246"/>
      <c r="GX65" s="246"/>
      <c r="GY65" s="246"/>
      <c r="GZ65" s="246"/>
      <c r="HA65" s="246"/>
      <c r="HB65" s="246"/>
      <c r="HC65" s="246"/>
      <c r="HD65" s="246"/>
      <c r="HE65" s="246"/>
      <c r="HF65" s="246"/>
      <c r="HG65" s="246"/>
      <c r="HH65" s="246"/>
      <c r="HI65" s="246"/>
      <c r="HJ65" s="246"/>
      <c r="HK65" s="246"/>
      <c r="HL65" s="246"/>
      <c r="HM65" s="246"/>
      <c r="HN65" s="246"/>
      <c r="HO65" s="246"/>
      <c r="HP65" s="246"/>
      <c r="HQ65" s="246"/>
      <c r="HR65" s="246"/>
      <c r="HS65" s="246"/>
      <c r="HT65" s="246"/>
      <c r="HU65" s="246"/>
      <c r="HV65" s="246"/>
      <c r="HW65" s="246"/>
      <c r="HX65" s="246"/>
      <c r="HY65" s="246"/>
      <c r="HZ65" s="246"/>
      <c r="IA65" s="246"/>
      <c r="IB65" s="246"/>
      <c r="IC65" s="246"/>
      <c r="ID65" s="246"/>
      <c r="IE65" s="246"/>
      <c r="IF65" s="246"/>
      <c r="IG65" s="246"/>
      <c r="IH65" s="246"/>
      <c r="II65" s="246"/>
      <c r="IJ65" s="246"/>
      <c r="IK65" s="246"/>
      <c r="IL65" s="246"/>
      <c r="IM65" s="246"/>
      <c r="IN65" s="246"/>
    </row>
    <row r="66" spans="2:248" s="247" customFormat="1" ht="23.25">
      <c r="B66" s="245"/>
      <c r="C66" s="245"/>
      <c r="D66" s="245"/>
      <c r="E66" s="245"/>
      <c r="F66" s="245"/>
      <c r="G66" s="245"/>
      <c r="H66" s="245"/>
      <c r="I66" s="245"/>
      <c r="J66" s="245"/>
      <c r="K66" s="245"/>
      <c r="L66" s="245"/>
      <c r="M66" s="245"/>
      <c r="N66" s="245"/>
      <c r="O66" s="245"/>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c r="CO66" s="246"/>
      <c r="CP66" s="246"/>
      <c r="CQ66" s="246"/>
      <c r="CR66" s="246"/>
      <c r="CS66" s="246"/>
      <c r="CT66" s="246"/>
      <c r="CU66" s="246"/>
      <c r="CV66" s="246"/>
      <c r="CW66" s="246"/>
      <c r="CX66" s="246"/>
      <c r="CY66" s="246"/>
      <c r="CZ66" s="246"/>
      <c r="DA66" s="246"/>
      <c r="DB66" s="246"/>
      <c r="DC66" s="246"/>
      <c r="DD66" s="246"/>
      <c r="DE66" s="246"/>
      <c r="DF66" s="246"/>
      <c r="DG66" s="246"/>
      <c r="DH66" s="246"/>
      <c r="DI66" s="246"/>
      <c r="DJ66" s="246"/>
      <c r="DK66" s="246"/>
      <c r="DL66" s="246"/>
      <c r="DM66" s="246"/>
      <c r="DN66" s="246"/>
      <c r="DO66" s="246"/>
      <c r="DP66" s="246"/>
      <c r="DQ66" s="246"/>
      <c r="DR66" s="246"/>
      <c r="DS66" s="246"/>
      <c r="DT66" s="246"/>
      <c r="DU66" s="246"/>
      <c r="DV66" s="246"/>
      <c r="DW66" s="246"/>
      <c r="DX66" s="246"/>
      <c r="DY66" s="246"/>
      <c r="DZ66" s="246"/>
      <c r="EA66" s="246"/>
      <c r="EB66" s="246"/>
      <c r="EC66" s="246"/>
      <c r="ED66" s="246"/>
      <c r="EE66" s="246"/>
      <c r="EF66" s="246"/>
      <c r="EG66" s="246"/>
      <c r="EH66" s="246"/>
      <c r="EI66" s="246"/>
      <c r="EJ66" s="246"/>
      <c r="EK66" s="246"/>
      <c r="EL66" s="246"/>
      <c r="EM66" s="246"/>
      <c r="EN66" s="246"/>
      <c r="EO66" s="246"/>
      <c r="EP66" s="246"/>
      <c r="EQ66" s="246"/>
      <c r="ER66" s="246"/>
      <c r="ES66" s="246"/>
      <c r="ET66" s="246"/>
      <c r="EU66" s="246"/>
      <c r="EV66" s="246"/>
      <c r="EW66" s="246"/>
      <c r="EX66" s="246"/>
      <c r="EY66" s="246"/>
      <c r="EZ66" s="246"/>
      <c r="FA66" s="246"/>
      <c r="FB66" s="246"/>
      <c r="FC66" s="246"/>
      <c r="FD66" s="246"/>
      <c r="FE66" s="246"/>
      <c r="FF66" s="246"/>
      <c r="FG66" s="246"/>
      <c r="FH66" s="246"/>
      <c r="FI66" s="246"/>
      <c r="FJ66" s="246"/>
      <c r="FK66" s="246"/>
      <c r="FL66" s="246"/>
      <c r="FM66" s="246"/>
      <c r="FN66" s="246"/>
      <c r="FO66" s="246"/>
      <c r="FP66" s="246"/>
      <c r="FQ66" s="246"/>
      <c r="FR66" s="246"/>
      <c r="FS66" s="246"/>
      <c r="FT66" s="246"/>
      <c r="FU66" s="246"/>
      <c r="FV66" s="246"/>
      <c r="FW66" s="246"/>
      <c r="FX66" s="246"/>
      <c r="FY66" s="246"/>
      <c r="FZ66" s="246"/>
      <c r="GA66" s="246"/>
      <c r="GB66" s="246"/>
      <c r="GC66" s="246"/>
      <c r="GD66" s="246"/>
      <c r="GE66" s="246"/>
      <c r="GF66" s="246"/>
      <c r="GG66" s="246"/>
      <c r="GH66" s="246"/>
      <c r="GI66" s="246"/>
      <c r="GJ66" s="246"/>
      <c r="GK66" s="246"/>
      <c r="GL66" s="246"/>
      <c r="GM66" s="246"/>
      <c r="GN66" s="246"/>
      <c r="GO66" s="246"/>
      <c r="GP66" s="246"/>
      <c r="GQ66" s="246"/>
      <c r="GR66" s="246"/>
      <c r="GS66" s="246"/>
      <c r="GT66" s="246"/>
      <c r="GU66" s="246"/>
      <c r="GV66" s="246"/>
      <c r="GW66" s="246"/>
      <c r="GX66" s="246"/>
      <c r="GY66" s="246"/>
      <c r="GZ66" s="246"/>
      <c r="HA66" s="246"/>
      <c r="HB66" s="246"/>
      <c r="HC66" s="246"/>
      <c r="HD66" s="246"/>
      <c r="HE66" s="246"/>
      <c r="HF66" s="246"/>
      <c r="HG66" s="246"/>
      <c r="HH66" s="246"/>
      <c r="HI66" s="246"/>
      <c r="HJ66" s="246"/>
      <c r="HK66" s="246"/>
      <c r="HL66" s="246"/>
      <c r="HM66" s="246"/>
      <c r="HN66" s="246"/>
      <c r="HO66" s="246"/>
      <c r="HP66" s="246"/>
      <c r="HQ66" s="246"/>
      <c r="HR66" s="246"/>
      <c r="HS66" s="246"/>
      <c r="HT66" s="246"/>
      <c r="HU66" s="246"/>
      <c r="HV66" s="246"/>
      <c r="HW66" s="246"/>
      <c r="HX66" s="246"/>
      <c r="HY66" s="246"/>
      <c r="HZ66" s="246"/>
      <c r="IA66" s="246"/>
      <c r="IB66" s="246"/>
      <c r="IC66" s="246"/>
      <c r="ID66" s="246"/>
      <c r="IE66" s="246"/>
      <c r="IF66" s="246"/>
      <c r="IG66" s="246"/>
      <c r="IH66" s="246"/>
      <c r="II66" s="246"/>
      <c r="IJ66" s="246"/>
      <c r="IK66" s="246"/>
      <c r="IL66" s="246"/>
      <c r="IM66" s="246"/>
      <c r="IN66" s="246"/>
    </row>
    <row r="67" spans="2:248" s="247" customFormat="1" ht="23.25">
      <c r="B67" s="245"/>
      <c r="C67" s="245"/>
      <c r="D67" s="245"/>
      <c r="E67" s="245"/>
      <c r="F67" s="245"/>
      <c r="G67" s="245"/>
      <c r="H67" s="245"/>
      <c r="I67" s="245"/>
      <c r="J67" s="245"/>
      <c r="K67" s="245"/>
      <c r="L67" s="245"/>
      <c r="M67" s="245"/>
      <c r="N67" s="245"/>
      <c r="O67" s="245"/>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246"/>
      <c r="CS67" s="246"/>
      <c r="CT67" s="246"/>
      <c r="CU67" s="246"/>
      <c r="CV67" s="246"/>
      <c r="CW67" s="246"/>
      <c r="CX67" s="246"/>
      <c r="CY67" s="246"/>
      <c r="CZ67" s="246"/>
      <c r="DA67" s="246"/>
      <c r="DB67" s="246"/>
      <c r="DC67" s="246"/>
      <c r="DD67" s="246"/>
      <c r="DE67" s="246"/>
      <c r="DF67" s="246"/>
      <c r="DG67" s="246"/>
      <c r="DH67" s="246"/>
      <c r="DI67" s="246"/>
      <c r="DJ67" s="246"/>
      <c r="DK67" s="246"/>
      <c r="DL67" s="246"/>
      <c r="DM67" s="246"/>
      <c r="DN67" s="246"/>
      <c r="DO67" s="246"/>
      <c r="DP67" s="246"/>
      <c r="DQ67" s="246"/>
      <c r="DR67" s="246"/>
      <c r="DS67" s="246"/>
      <c r="DT67" s="246"/>
      <c r="DU67" s="246"/>
      <c r="DV67" s="246"/>
      <c r="DW67" s="246"/>
      <c r="DX67" s="246"/>
      <c r="DY67" s="246"/>
      <c r="DZ67" s="246"/>
      <c r="EA67" s="246"/>
      <c r="EB67" s="246"/>
      <c r="EC67" s="246"/>
      <c r="ED67" s="246"/>
      <c r="EE67" s="246"/>
      <c r="EF67" s="246"/>
      <c r="EG67" s="246"/>
      <c r="EH67" s="246"/>
      <c r="EI67" s="246"/>
      <c r="EJ67" s="246"/>
      <c r="EK67" s="246"/>
      <c r="EL67" s="246"/>
      <c r="EM67" s="246"/>
      <c r="EN67" s="246"/>
      <c r="EO67" s="246"/>
      <c r="EP67" s="246"/>
      <c r="EQ67" s="246"/>
      <c r="ER67" s="246"/>
      <c r="ES67" s="246"/>
      <c r="ET67" s="246"/>
      <c r="EU67" s="246"/>
      <c r="EV67" s="246"/>
      <c r="EW67" s="246"/>
      <c r="EX67" s="246"/>
      <c r="EY67" s="246"/>
      <c r="EZ67" s="246"/>
      <c r="FA67" s="246"/>
      <c r="FB67" s="246"/>
      <c r="FC67" s="246"/>
      <c r="FD67" s="246"/>
      <c r="FE67" s="246"/>
      <c r="FF67" s="246"/>
      <c r="FG67" s="246"/>
      <c r="FH67" s="246"/>
      <c r="FI67" s="246"/>
      <c r="FJ67" s="246"/>
      <c r="FK67" s="246"/>
      <c r="FL67" s="246"/>
      <c r="FM67" s="246"/>
      <c r="FN67" s="246"/>
      <c r="FO67" s="246"/>
      <c r="FP67" s="246"/>
      <c r="FQ67" s="246"/>
      <c r="FR67" s="246"/>
      <c r="FS67" s="246"/>
      <c r="FT67" s="246"/>
      <c r="FU67" s="246"/>
      <c r="FV67" s="246"/>
      <c r="FW67" s="246"/>
      <c r="FX67" s="246"/>
      <c r="FY67" s="246"/>
      <c r="FZ67" s="246"/>
      <c r="GA67" s="246"/>
      <c r="GB67" s="246"/>
      <c r="GC67" s="246"/>
      <c r="GD67" s="246"/>
      <c r="GE67" s="246"/>
      <c r="GF67" s="246"/>
      <c r="GG67" s="246"/>
      <c r="GH67" s="246"/>
      <c r="GI67" s="246"/>
      <c r="GJ67" s="246"/>
      <c r="GK67" s="246"/>
      <c r="GL67" s="246"/>
      <c r="GM67" s="246"/>
      <c r="GN67" s="246"/>
      <c r="GO67" s="246"/>
      <c r="GP67" s="246"/>
      <c r="GQ67" s="246"/>
      <c r="GR67" s="246"/>
      <c r="GS67" s="246"/>
      <c r="GT67" s="246"/>
      <c r="GU67" s="246"/>
      <c r="GV67" s="246"/>
      <c r="GW67" s="246"/>
      <c r="GX67" s="246"/>
      <c r="GY67" s="246"/>
      <c r="GZ67" s="246"/>
      <c r="HA67" s="246"/>
      <c r="HB67" s="246"/>
      <c r="HC67" s="246"/>
      <c r="HD67" s="246"/>
      <c r="HE67" s="246"/>
      <c r="HF67" s="246"/>
      <c r="HG67" s="246"/>
      <c r="HH67" s="246"/>
      <c r="HI67" s="246"/>
      <c r="HJ67" s="246"/>
      <c r="HK67" s="246"/>
      <c r="HL67" s="246"/>
      <c r="HM67" s="246"/>
      <c r="HN67" s="246"/>
      <c r="HO67" s="246"/>
      <c r="HP67" s="246"/>
      <c r="HQ67" s="246"/>
      <c r="HR67" s="246"/>
      <c r="HS67" s="246"/>
      <c r="HT67" s="246"/>
      <c r="HU67" s="246"/>
      <c r="HV67" s="246"/>
      <c r="HW67" s="246"/>
      <c r="HX67" s="246"/>
      <c r="HY67" s="246"/>
      <c r="HZ67" s="246"/>
      <c r="IA67" s="246"/>
      <c r="IB67" s="246"/>
      <c r="IC67" s="246"/>
      <c r="ID67" s="246"/>
      <c r="IE67" s="246"/>
      <c r="IF67" s="246"/>
      <c r="IG67" s="246"/>
      <c r="IH67" s="246"/>
      <c r="II67" s="246"/>
      <c r="IJ67" s="246"/>
      <c r="IK67" s="246"/>
      <c r="IL67" s="246"/>
      <c r="IM67" s="246"/>
      <c r="IN67" s="246"/>
    </row>
    <row r="68" spans="2:248" s="247" customFormat="1" ht="23.25">
      <c r="B68" s="245"/>
      <c r="C68" s="245"/>
      <c r="D68" s="245"/>
      <c r="E68" s="245"/>
      <c r="F68" s="245"/>
      <c r="G68" s="245"/>
      <c r="H68" s="245"/>
      <c r="I68" s="245"/>
      <c r="J68" s="245"/>
      <c r="K68" s="245"/>
      <c r="L68" s="245"/>
      <c r="M68" s="245"/>
      <c r="N68" s="245"/>
      <c r="O68" s="245"/>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c r="EI68" s="246"/>
      <c r="EJ68" s="246"/>
      <c r="EK68" s="246"/>
      <c r="EL68" s="246"/>
      <c r="EM68" s="246"/>
      <c r="EN68" s="246"/>
      <c r="EO68" s="246"/>
      <c r="EP68" s="246"/>
      <c r="EQ68" s="246"/>
      <c r="ER68" s="246"/>
      <c r="ES68" s="246"/>
      <c r="ET68" s="246"/>
      <c r="EU68" s="246"/>
      <c r="EV68" s="246"/>
      <c r="EW68" s="246"/>
      <c r="EX68" s="246"/>
      <c r="EY68" s="246"/>
      <c r="EZ68" s="246"/>
      <c r="FA68" s="246"/>
      <c r="FB68" s="246"/>
      <c r="FC68" s="246"/>
      <c r="FD68" s="246"/>
      <c r="FE68" s="246"/>
      <c r="FF68" s="246"/>
      <c r="FG68" s="246"/>
      <c r="FH68" s="246"/>
      <c r="FI68" s="246"/>
      <c r="FJ68" s="246"/>
      <c r="FK68" s="246"/>
      <c r="FL68" s="246"/>
      <c r="FM68" s="246"/>
      <c r="FN68" s="246"/>
      <c r="FO68" s="246"/>
      <c r="FP68" s="246"/>
      <c r="FQ68" s="246"/>
      <c r="FR68" s="246"/>
      <c r="FS68" s="246"/>
      <c r="FT68" s="246"/>
      <c r="FU68" s="246"/>
      <c r="FV68" s="246"/>
      <c r="FW68" s="246"/>
      <c r="FX68" s="246"/>
      <c r="FY68" s="246"/>
      <c r="FZ68" s="246"/>
      <c r="GA68" s="246"/>
      <c r="GB68" s="246"/>
      <c r="GC68" s="246"/>
      <c r="GD68" s="246"/>
      <c r="GE68" s="246"/>
      <c r="GF68" s="246"/>
      <c r="GG68" s="246"/>
      <c r="GH68" s="246"/>
      <c r="GI68" s="246"/>
      <c r="GJ68" s="246"/>
      <c r="GK68" s="246"/>
      <c r="GL68" s="246"/>
      <c r="GM68" s="246"/>
      <c r="GN68" s="246"/>
      <c r="GO68" s="246"/>
      <c r="GP68" s="246"/>
      <c r="GQ68" s="246"/>
      <c r="GR68" s="246"/>
      <c r="GS68" s="246"/>
      <c r="GT68" s="246"/>
      <c r="GU68" s="246"/>
      <c r="GV68" s="246"/>
      <c r="GW68" s="246"/>
      <c r="GX68" s="246"/>
      <c r="GY68" s="246"/>
      <c r="GZ68" s="246"/>
      <c r="HA68" s="246"/>
      <c r="HB68" s="246"/>
      <c r="HC68" s="246"/>
      <c r="HD68" s="246"/>
      <c r="HE68" s="246"/>
      <c r="HF68" s="246"/>
      <c r="HG68" s="246"/>
      <c r="HH68" s="246"/>
      <c r="HI68" s="246"/>
      <c r="HJ68" s="246"/>
      <c r="HK68" s="246"/>
      <c r="HL68" s="246"/>
      <c r="HM68" s="246"/>
      <c r="HN68" s="246"/>
      <c r="HO68" s="246"/>
      <c r="HP68" s="246"/>
      <c r="HQ68" s="246"/>
      <c r="HR68" s="246"/>
      <c r="HS68" s="246"/>
      <c r="HT68" s="246"/>
      <c r="HU68" s="246"/>
      <c r="HV68" s="246"/>
      <c r="HW68" s="246"/>
      <c r="HX68" s="246"/>
      <c r="HY68" s="246"/>
      <c r="HZ68" s="246"/>
      <c r="IA68" s="246"/>
      <c r="IB68" s="246"/>
      <c r="IC68" s="246"/>
      <c r="ID68" s="246"/>
      <c r="IE68" s="246"/>
      <c r="IF68" s="246"/>
      <c r="IG68" s="246"/>
      <c r="IH68" s="246"/>
      <c r="II68" s="246"/>
      <c r="IJ68" s="246"/>
      <c r="IK68" s="246"/>
      <c r="IL68" s="246"/>
      <c r="IM68" s="246"/>
      <c r="IN68" s="246"/>
    </row>
    <row r="69" spans="2:248" s="247" customFormat="1" ht="23.25">
      <c r="B69" s="245"/>
      <c r="C69" s="245"/>
      <c r="D69" s="245"/>
      <c r="E69" s="245"/>
      <c r="F69" s="245"/>
      <c r="G69" s="245"/>
      <c r="H69" s="245"/>
      <c r="I69" s="245"/>
      <c r="J69" s="245"/>
      <c r="K69" s="245"/>
      <c r="L69" s="245"/>
      <c r="M69" s="245"/>
      <c r="N69" s="245"/>
      <c r="O69" s="245"/>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c r="EI69" s="246"/>
      <c r="EJ69" s="246"/>
      <c r="EK69" s="246"/>
      <c r="EL69" s="246"/>
      <c r="EM69" s="246"/>
      <c r="EN69" s="246"/>
      <c r="EO69" s="246"/>
      <c r="EP69" s="246"/>
      <c r="EQ69" s="246"/>
      <c r="ER69" s="246"/>
      <c r="ES69" s="246"/>
      <c r="ET69" s="246"/>
      <c r="EU69" s="246"/>
      <c r="EV69" s="246"/>
      <c r="EW69" s="246"/>
      <c r="EX69" s="246"/>
      <c r="EY69" s="246"/>
      <c r="EZ69" s="246"/>
      <c r="FA69" s="246"/>
      <c r="FB69" s="246"/>
      <c r="FC69" s="246"/>
      <c r="FD69" s="246"/>
      <c r="FE69" s="246"/>
      <c r="FF69" s="246"/>
      <c r="FG69" s="246"/>
      <c r="FH69" s="246"/>
      <c r="FI69" s="246"/>
      <c r="FJ69" s="246"/>
      <c r="FK69" s="246"/>
      <c r="FL69" s="246"/>
      <c r="FM69" s="246"/>
      <c r="FN69" s="246"/>
      <c r="FO69" s="246"/>
      <c r="FP69" s="246"/>
      <c r="FQ69" s="246"/>
      <c r="FR69" s="246"/>
      <c r="FS69" s="246"/>
      <c r="FT69" s="246"/>
      <c r="FU69" s="246"/>
      <c r="FV69" s="246"/>
      <c r="FW69" s="246"/>
      <c r="FX69" s="246"/>
      <c r="FY69" s="246"/>
      <c r="FZ69" s="246"/>
      <c r="GA69" s="246"/>
      <c r="GB69" s="246"/>
      <c r="GC69" s="246"/>
      <c r="GD69" s="246"/>
      <c r="GE69" s="246"/>
      <c r="GF69" s="246"/>
      <c r="GG69" s="246"/>
      <c r="GH69" s="246"/>
      <c r="GI69" s="246"/>
      <c r="GJ69" s="246"/>
      <c r="GK69" s="246"/>
      <c r="GL69" s="246"/>
      <c r="GM69" s="246"/>
      <c r="GN69" s="246"/>
      <c r="GO69" s="246"/>
      <c r="GP69" s="246"/>
      <c r="GQ69" s="246"/>
      <c r="GR69" s="246"/>
      <c r="GS69" s="246"/>
      <c r="GT69" s="246"/>
      <c r="GU69" s="246"/>
      <c r="GV69" s="246"/>
      <c r="GW69" s="246"/>
      <c r="GX69" s="246"/>
      <c r="GY69" s="246"/>
      <c r="GZ69" s="246"/>
      <c r="HA69" s="246"/>
      <c r="HB69" s="246"/>
      <c r="HC69" s="246"/>
      <c r="HD69" s="246"/>
      <c r="HE69" s="246"/>
      <c r="HF69" s="246"/>
      <c r="HG69" s="246"/>
      <c r="HH69" s="246"/>
      <c r="HI69" s="246"/>
      <c r="HJ69" s="246"/>
      <c r="HK69" s="246"/>
      <c r="HL69" s="246"/>
      <c r="HM69" s="246"/>
      <c r="HN69" s="246"/>
      <c r="HO69" s="246"/>
      <c r="HP69" s="246"/>
      <c r="HQ69" s="246"/>
      <c r="HR69" s="246"/>
      <c r="HS69" s="246"/>
      <c r="HT69" s="246"/>
      <c r="HU69" s="246"/>
      <c r="HV69" s="246"/>
      <c r="HW69" s="246"/>
      <c r="HX69" s="246"/>
      <c r="HY69" s="246"/>
      <c r="HZ69" s="246"/>
      <c r="IA69" s="246"/>
      <c r="IB69" s="246"/>
      <c r="IC69" s="246"/>
      <c r="ID69" s="246"/>
      <c r="IE69" s="246"/>
      <c r="IF69" s="246"/>
      <c r="IG69" s="246"/>
      <c r="IH69" s="246"/>
      <c r="II69" s="246"/>
      <c r="IJ69" s="246"/>
      <c r="IK69" s="246"/>
      <c r="IL69" s="246"/>
      <c r="IM69" s="246"/>
      <c r="IN69" s="246"/>
    </row>
    <row r="70" spans="2:248" s="247" customFormat="1" ht="23.25">
      <c r="B70" s="245"/>
      <c r="C70" s="245"/>
      <c r="D70" s="245"/>
      <c r="E70" s="245"/>
      <c r="F70" s="245"/>
      <c r="G70" s="245"/>
      <c r="H70" s="245"/>
      <c r="I70" s="245"/>
      <c r="J70" s="245"/>
      <c r="K70" s="245"/>
      <c r="L70" s="245"/>
      <c r="M70" s="245"/>
      <c r="N70" s="245"/>
      <c r="O70" s="245"/>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c r="EI70" s="246"/>
      <c r="EJ70" s="246"/>
      <c r="EK70" s="246"/>
      <c r="EL70" s="246"/>
      <c r="EM70" s="246"/>
      <c r="EN70" s="246"/>
      <c r="EO70" s="246"/>
      <c r="EP70" s="246"/>
      <c r="EQ70" s="246"/>
      <c r="ER70" s="246"/>
      <c r="ES70" s="246"/>
      <c r="ET70" s="246"/>
      <c r="EU70" s="246"/>
      <c r="EV70" s="246"/>
      <c r="EW70" s="246"/>
      <c r="EX70" s="246"/>
      <c r="EY70" s="246"/>
      <c r="EZ70" s="246"/>
      <c r="FA70" s="246"/>
      <c r="FB70" s="246"/>
      <c r="FC70" s="246"/>
      <c r="FD70" s="246"/>
      <c r="FE70" s="246"/>
      <c r="FF70" s="246"/>
      <c r="FG70" s="246"/>
      <c r="FH70" s="246"/>
      <c r="FI70" s="246"/>
      <c r="FJ70" s="246"/>
      <c r="FK70" s="246"/>
      <c r="FL70" s="246"/>
      <c r="FM70" s="246"/>
      <c r="FN70" s="246"/>
      <c r="FO70" s="246"/>
      <c r="FP70" s="246"/>
      <c r="FQ70" s="246"/>
      <c r="FR70" s="246"/>
      <c r="FS70" s="246"/>
      <c r="FT70" s="246"/>
      <c r="FU70" s="246"/>
      <c r="FV70" s="246"/>
      <c r="FW70" s="246"/>
      <c r="FX70" s="246"/>
      <c r="FY70" s="246"/>
      <c r="FZ70" s="246"/>
      <c r="GA70" s="246"/>
      <c r="GB70" s="246"/>
      <c r="GC70" s="246"/>
      <c r="GD70" s="246"/>
      <c r="GE70" s="246"/>
      <c r="GF70" s="246"/>
      <c r="GG70" s="246"/>
      <c r="GH70" s="246"/>
      <c r="GI70" s="246"/>
      <c r="GJ70" s="246"/>
      <c r="GK70" s="246"/>
      <c r="GL70" s="246"/>
      <c r="GM70" s="246"/>
      <c r="GN70" s="246"/>
      <c r="GO70" s="246"/>
      <c r="GP70" s="246"/>
      <c r="GQ70" s="246"/>
      <c r="GR70" s="246"/>
      <c r="GS70" s="246"/>
      <c r="GT70" s="246"/>
      <c r="GU70" s="246"/>
      <c r="GV70" s="246"/>
      <c r="GW70" s="246"/>
      <c r="GX70" s="246"/>
      <c r="GY70" s="246"/>
      <c r="GZ70" s="246"/>
      <c r="HA70" s="246"/>
      <c r="HB70" s="246"/>
      <c r="HC70" s="246"/>
      <c r="HD70" s="246"/>
      <c r="HE70" s="246"/>
      <c r="HF70" s="246"/>
      <c r="HG70" s="246"/>
      <c r="HH70" s="246"/>
      <c r="HI70" s="246"/>
      <c r="HJ70" s="246"/>
      <c r="HK70" s="246"/>
      <c r="HL70" s="246"/>
      <c r="HM70" s="246"/>
      <c r="HN70" s="246"/>
      <c r="HO70" s="246"/>
      <c r="HP70" s="246"/>
      <c r="HQ70" s="246"/>
      <c r="HR70" s="246"/>
      <c r="HS70" s="246"/>
      <c r="HT70" s="246"/>
      <c r="HU70" s="246"/>
      <c r="HV70" s="246"/>
      <c r="HW70" s="246"/>
      <c r="HX70" s="246"/>
      <c r="HY70" s="246"/>
      <c r="HZ70" s="246"/>
      <c r="IA70" s="246"/>
      <c r="IB70" s="246"/>
      <c r="IC70" s="246"/>
      <c r="ID70" s="246"/>
      <c r="IE70" s="246"/>
      <c r="IF70" s="246"/>
      <c r="IG70" s="246"/>
      <c r="IH70" s="246"/>
      <c r="II70" s="246"/>
      <c r="IJ70" s="246"/>
      <c r="IK70" s="246"/>
      <c r="IL70" s="246"/>
      <c r="IM70" s="246"/>
      <c r="IN70" s="246"/>
    </row>
    <row r="71" spans="2:248" s="247" customFormat="1" ht="23.25">
      <c r="B71" s="245"/>
      <c r="C71" s="245"/>
      <c r="D71" s="245"/>
      <c r="E71" s="245"/>
      <c r="F71" s="245"/>
      <c r="G71" s="245"/>
      <c r="H71" s="245"/>
      <c r="I71" s="245"/>
      <c r="J71" s="245"/>
      <c r="K71" s="245"/>
      <c r="L71" s="245"/>
      <c r="M71" s="245"/>
      <c r="N71" s="245"/>
      <c r="O71" s="245"/>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E71" s="246"/>
      <c r="EF71" s="246"/>
      <c r="EG71" s="246"/>
      <c r="EH71" s="246"/>
      <c r="EI71" s="246"/>
      <c r="EJ71" s="246"/>
      <c r="EK71" s="246"/>
      <c r="EL71" s="246"/>
      <c r="EM71" s="246"/>
      <c r="EN71" s="246"/>
      <c r="EO71" s="246"/>
      <c r="EP71" s="246"/>
      <c r="EQ71" s="246"/>
      <c r="ER71" s="246"/>
      <c r="ES71" s="246"/>
      <c r="ET71" s="246"/>
      <c r="EU71" s="246"/>
      <c r="EV71" s="246"/>
      <c r="EW71" s="246"/>
      <c r="EX71" s="246"/>
      <c r="EY71" s="246"/>
      <c r="EZ71" s="246"/>
      <c r="FA71" s="246"/>
      <c r="FB71" s="246"/>
      <c r="FC71" s="246"/>
      <c r="FD71" s="246"/>
      <c r="FE71" s="246"/>
      <c r="FF71" s="246"/>
      <c r="FG71" s="246"/>
      <c r="FH71" s="246"/>
      <c r="FI71" s="246"/>
      <c r="FJ71" s="246"/>
      <c r="FK71" s="246"/>
      <c r="FL71" s="246"/>
      <c r="FM71" s="246"/>
      <c r="FN71" s="246"/>
      <c r="FO71" s="246"/>
      <c r="FP71" s="246"/>
      <c r="FQ71" s="246"/>
      <c r="FR71" s="246"/>
      <c r="FS71" s="246"/>
      <c r="FT71" s="246"/>
      <c r="FU71" s="246"/>
      <c r="FV71" s="246"/>
      <c r="FW71" s="246"/>
      <c r="FX71" s="246"/>
      <c r="FY71" s="246"/>
      <c r="FZ71" s="246"/>
      <c r="GA71" s="246"/>
      <c r="GB71" s="246"/>
      <c r="GC71" s="246"/>
      <c r="GD71" s="246"/>
      <c r="GE71" s="246"/>
      <c r="GF71" s="246"/>
      <c r="GG71" s="246"/>
      <c r="GH71" s="246"/>
      <c r="GI71" s="246"/>
      <c r="GJ71" s="246"/>
      <c r="GK71" s="246"/>
      <c r="GL71" s="246"/>
      <c r="GM71" s="246"/>
      <c r="GN71" s="246"/>
      <c r="GO71" s="246"/>
      <c r="GP71" s="246"/>
      <c r="GQ71" s="246"/>
      <c r="GR71" s="246"/>
      <c r="GS71" s="246"/>
      <c r="GT71" s="246"/>
      <c r="GU71" s="246"/>
      <c r="GV71" s="246"/>
      <c r="GW71" s="246"/>
      <c r="GX71" s="246"/>
      <c r="GY71" s="246"/>
      <c r="GZ71" s="246"/>
      <c r="HA71" s="246"/>
      <c r="HB71" s="246"/>
      <c r="HC71" s="246"/>
      <c r="HD71" s="246"/>
      <c r="HE71" s="246"/>
      <c r="HF71" s="246"/>
      <c r="HG71" s="246"/>
      <c r="HH71" s="246"/>
      <c r="HI71" s="246"/>
      <c r="HJ71" s="246"/>
      <c r="HK71" s="246"/>
      <c r="HL71" s="246"/>
      <c r="HM71" s="246"/>
      <c r="HN71" s="246"/>
      <c r="HO71" s="246"/>
      <c r="HP71" s="246"/>
      <c r="HQ71" s="246"/>
      <c r="HR71" s="246"/>
      <c r="HS71" s="246"/>
      <c r="HT71" s="246"/>
      <c r="HU71" s="246"/>
      <c r="HV71" s="246"/>
      <c r="HW71" s="246"/>
      <c r="HX71" s="246"/>
      <c r="HY71" s="246"/>
      <c r="HZ71" s="246"/>
      <c r="IA71" s="246"/>
      <c r="IB71" s="246"/>
      <c r="IC71" s="246"/>
      <c r="ID71" s="246"/>
      <c r="IE71" s="246"/>
      <c r="IF71" s="246"/>
      <c r="IG71" s="246"/>
      <c r="IH71" s="246"/>
      <c r="II71" s="246"/>
      <c r="IJ71" s="246"/>
      <c r="IK71" s="246"/>
      <c r="IL71" s="246"/>
      <c r="IM71" s="246"/>
      <c r="IN71" s="246"/>
    </row>
    <row r="72" spans="2:248" s="247" customFormat="1" ht="23.25">
      <c r="B72" s="245"/>
      <c r="C72" s="245"/>
      <c r="D72" s="245"/>
      <c r="E72" s="245"/>
      <c r="F72" s="245"/>
      <c r="G72" s="245"/>
      <c r="H72" s="245"/>
      <c r="I72" s="245"/>
      <c r="J72" s="245"/>
      <c r="K72" s="245"/>
      <c r="L72" s="245"/>
      <c r="M72" s="245"/>
      <c r="N72" s="245"/>
      <c r="O72" s="245"/>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c r="CO72" s="246"/>
      <c r="CP72" s="246"/>
      <c r="CQ72" s="246"/>
      <c r="CR72" s="246"/>
      <c r="CS72" s="246"/>
      <c r="CT72" s="246"/>
      <c r="CU72" s="246"/>
      <c r="CV72" s="246"/>
      <c r="CW72" s="246"/>
      <c r="CX72" s="246"/>
      <c r="CY72" s="246"/>
      <c r="CZ72" s="246"/>
      <c r="DA72" s="246"/>
      <c r="DB72" s="246"/>
      <c r="DC72" s="246"/>
      <c r="DD72" s="246"/>
      <c r="DE72" s="246"/>
      <c r="DF72" s="246"/>
      <c r="DG72" s="246"/>
      <c r="DH72" s="246"/>
      <c r="DI72" s="246"/>
      <c r="DJ72" s="246"/>
      <c r="DK72" s="246"/>
      <c r="DL72" s="246"/>
      <c r="DM72" s="246"/>
      <c r="DN72" s="246"/>
      <c r="DO72" s="246"/>
      <c r="DP72" s="246"/>
      <c r="DQ72" s="246"/>
      <c r="DR72" s="246"/>
      <c r="DS72" s="246"/>
      <c r="DT72" s="246"/>
      <c r="DU72" s="246"/>
      <c r="DV72" s="246"/>
      <c r="DW72" s="246"/>
      <c r="DX72" s="246"/>
      <c r="DY72" s="246"/>
      <c r="DZ72" s="246"/>
      <c r="EA72" s="246"/>
      <c r="EB72" s="246"/>
      <c r="EC72" s="246"/>
      <c r="ED72" s="246"/>
      <c r="EE72" s="246"/>
      <c r="EF72" s="246"/>
      <c r="EG72" s="246"/>
      <c r="EH72" s="246"/>
      <c r="EI72" s="246"/>
      <c r="EJ72" s="246"/>
      <c r="EK72" s="246"/>
      <c r="EL72" s="246"/>
      <c r="EM72" s="246"/>
      <c r="EN72" s="246"/>
      <c r="EO72" s="246"/>
      <c r="EP72" s="246"/>
      <c r="EQ72" s="246"/>
      <c r="ER72" s="246"/>
      <c r="ES72" s="246"/>
      <c r="ET72" s="246"/>
      <c r="EU72" s="246"/>
      <c r="EV72" s="246"/>
      <c r="EW72" s="246"/>
      <c r="EX72" s="246"/>
      <c r="EY72" s="246"/>
      <c r="EZ72" s="246"/>
      <c r="FA72" s="246"/>
      <c r="FB72" s="246"/>
      <c r="FC72" s="246"/>
      <c r="FD72" s="246"/>
      <c r="FE72" s="246"/>
      <c r="FF72" s="246"/>
      <c r="FG72" s="246"/>
      <c r="FH72" s="246"/>
      <c r="FI72" s="246"/>
      <c r="FJ72" s="246"/>
      <c r="FK72" s="246"/>
      <c r="FL72" s="246"/>
      <c r="FM72" s="246"/>
      <c r="FN72" s="246"/>
      <c r="FO72" s="246"/>
      <c r="FP72" s="246"/>
      <c r="FQ72" s="246"/>
      <c r="FR72" s="246"/>
      <c r="FS72" s="246"/>
      <c r="FT72" s="246"/>
      <c r="FU72" s="246"/>
      <c r="FV72" s="246"/>
      <c r="FW72" s="246"/>
      <c r="FX72" s="246"/>
      <c r="FY72" s="246"/>
      <c r="FZ72" s="246"/>
      <c r="GA72" s="246"/>
      <c r="GB72" s="246"/>
      <c r="GC72" s="246"/>
      <c r="GD72" s="246"/>
      <c r="GE72" s="246"/>
      <c r="GF72" s="246"/>
      <c r="GG72" s="246"/>
      <c r="GH72" s="246"/>
      <c r="GI72" s="246"/>
      <c r="GJ72" s="246"/>
      <c r="GK72" s="246"/>
      <c r="GL72" s="246"/>
      <c r="GM72" s="246"/>
      <c r="GN72" s="246"/>
      <c r="GO72" s="246"/>
      <c r="GP72" s="246"/>
      <c r="GQ72" s="246"/>
      <c r="GR72" s="246"/>
      <c r="GS72" s="246"/>
      <c r="GT72" s="246"/>
      <c r="GU72" s="246"/>
      <c r="GV72" s="246"/>
      <c r="GW72" s="246"/>
      <c r="GX72" s="246"/>
      <c r="GY72" s="246"/>
      <c r="GZ72" s="246"/>
      <c r="HA72" s="246"/>
      <c r="HB72" s="246"/>
      <c r="HC72" s="246"/>
      <c r="HD72" s="246"/>
      <c r="HE72" s="246"/>
      <c r="HF72" s="246"/>
      <c r="HG72" s="246"/>
      <c r="HH72" s="246"/>
      <c r="HI72" s="246"/>
      <c r="HJ72" s="246"/>
      <c r="HK72" s="246"/>
      <c r="HL72" s="246"/>
      <c r="HM72" s="246"/>
      <c r="HN72" s="246"/>
      <c r="HO72" s="246"/>
      <c r="HP72" s="246"/>
      <c r="HQ72" s="246"/>
      <c r="HR72" s="246"/>
      <c r="HS72" s="246"/>
      <c r="HT72" s="246"/>
      <c r="HU72" s="246"/>
      <c r="HV72" s="246"/>
      <c r="HW72" s="246"/>
      <c r="HX72" s="246"/>
      <c r="HY72" s="246"/>
      <c r="HZ72" s="246"/>
      <c r="IA72" s="246"/>
      <c r="IB72" s="246"/>
      <c r="IC72" s="246"/>
      <c r="ID72" s="246"/>
      <c r="IE72" s="246"/>
      <c r="IF72" s="246"/>
      <c r="IG72" s="246"/>
      <c r="IH72" s="246"/>
      <c r="II72" s="246"/>
      <c r="IJ72" s="246"/>
      <c r="IK72" s="246"/>
      <c r="IL72" s="246"/>
      <c r="IM72" s="246"/>
      <c r="IN72" s="246"/>
    </row>
    <row r="73" spans="2:248" s="247" customFormat="1" ht="23.25">
      <c r="B73" s="245"/>
      <c r="C73" s="245"/>
      <c r="D73" s="245"/>
      <c r="E73" s="245"/>
      <c r="F73" s="245"/>
      <c r="G73" s="245"/>
      <c r="H73" s="245"/>
      <c r="I73" s="245"/>
      <c r="J73" s="245"/>
      <c r="K73" s="245"/>
      <c r="L73" s="245"/>
      <c r="M73" s="245"/>
      <c r="N73" s="245"/>
      <c r="O73" s="245"/>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246"/>
      <c r="CK73" s="246"/>
      <c r="CL73" s="246"/>
      <c r="CM73" s="246"/>
      <c r="CN73" s="246"/>
      <c r="CO73" s="246"/>
      <c r="CP73" s="246"/>
      <c r="CQ73" s="246"/>
      <c r="CR73" s="246"/>
      <c r="CS73" s="246"/>
      <c r="CT73" s="246"/>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c r="EI73" s="246"/>
      <c r="EJ73" s="246"/>
      <c r="EK73" s="246"/>
      <c r="EL73" s="246"/>
      <c r="EM73" s="246"/>
      <c r="EN73" s="246"/>
      <c r="EO73" s="246"/>
      <c r="EP73" s="246"/>
      <c r="EQ73" s="246"/>
      <c r="ER73" s="246"/>
      <c r="ES73" s="246"/>
      <c r="ET73" s="246"/>
      <c r="EU73" s="246"/>
      <c r="EV73" s="246"/>
      <c r="EW73" s="246"/>
      <c r="EX73" s="246"/>
      <c r="EY73" s="246"/>
      <c r="EZ73" s="246"/>
      <c r="FA73" s="246"/>
      <c r="FB73" s="246"/>
      <c r="FC73" s="246"/>
      <c r="FD73" s="246"/>
      <c r="FE73" s="246"/>
      <c r="FF73" s="246"/>
      <c r="FG73" s="246"/>
      <c r="FH73" s="246"/>
      <c r="FI73" s="246"/>
      <c r="FJ73" s="246"/>
      <c r="FK73" s="246"/>
      <c r="FL73" s="246"/>
      <c r="FM73" s="246"/>
      <c r="FN73" s="246"/>
      <c r="FO73" s="246"/>
      <c r="FP73" s="246"/>
      <c r="FQ73" s="246"/>
      <c r="FR73" s="246"/>
      <c r="FS73" s="246"/>
      <c r="FT73" s="246"/>
      <c r="FU73" s="246"/>
      <c r="FV73" s="246"/>
      <c r="FW73" s="246"/>
      <c r="FX73" s="246"/>
      <c r="FY73" s="246"/>
      <c r="FZ73" s="246"/>
      <c r="GA73" s="246"/>
      <c r="GB73" s="246"/>
      <c r="GC73" s="246"/>
      <c r="GD73" s="246"/>
      <c r="GE73" s="246"/>
      <c r="GF73" s="246"/>
      <c r="GG73" s="246"/>
      <c r="GH73" s="246"/>
      <c r="GI73" s="246"/>
      <c r="GJ73" s="246"/>
      <c r="GK73" s="246"/>
      <c r="GL73" s="246"/>
      <c r="GM73" s="246"/>
      <c r="GN73" s="246"/>
      <c r="GO73" s="246"/>
      <c r="GP73" s="246"/>
      <c r="GQ73" s="246"/>
      <c r="GR73" s="246"/>
      <c r="GS73" s="246"/>
      <c r="GT73" s="246"/>
      <c r="GU73" s="246"/>
      <c r="GV73" s="246"/>
      <c r="GW73" s="246"/>
      <c r="GX73" s="246"/>
      <c r="GY73" s="246"/>
      <c r="GZ73" s="246"/>
      <c r="HA73" s="246"/>
      <c r="HB73" s="246"/>
      <c r="HC73" s="246"/>
      <c r="HD73" s="246"/>
      <c r="HE73" s="246"/>
      <c r="HF73" s="246"/>
      <c r="HG73" s="246"/>
      <c r="HH73" s="246"/>
      <c r="HI73" s="246"/>
      <c r="HJ73" s="246"/>
      <c r="HK73" s="246"/>
      <c r="HL73" s="246"/>
      <c r="HM73" s="246"/>
      <c r="HN73" s="246"/>
      <c r="HO73" s="246"/>
      <c r="HP73" s="246"/>
      <c r="HQ73" s="246"/>
      <c r="HR73" s="246"/>
      <c r="HS73" s="246"/>
      <c r="HT73" s="246"/>
      <c r="HU73" s="246"/>
      <c r="HV73" s="246"/>
      <c r="HW73" s="246"/>
      <c r="HX73" s="246"/>
      <c r="HY73" s="246"/>
      <c r="HZ73" s="246"/>
      <c r="IA73" s="246"/>
      <c r="IB73" s="246"/>
      <c r="IC73" s="246"/>
      <c r="ID73" s="246"/>
      <c r="IE73" s="246"/>
      <c r="IF73" s="246"/>
      <c r="IG73" s="246"/>
      <c r="IH73" s="246"/>
      <c r="II73" s="246"/>
      <c r="IJ73" s="246"/>
      <c r="IK73" s="246"/>
      <c r="IL73" s="246"/>
      <c r="IM73" s="246"/>
      <c r="IN73" s="246"/>
    </row>
    <row r="74" spans="2:248" s="247" customFormat="1" ht="23.25">
      <c r="B74" s="245"/>
      <c r="C74" s="245"/>
      <c r="D74" s="245"/>
      <c r="E74" s="245"/>
      <c r="F74" s="245"/>
      <c r="G74" s="245"/>
      <c r="H74" s="245"/>
      <c r="I74" s="245"/>
      <c r="J74" s="245"/>
      <c r="K74" s="245"/>
      <c r="L74" s="245"/>
      <c r="M74" s="245"/>
      <c r="N74" s="245"/>
      <c r="O74" s="245"/>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c r="CO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c r="EI74" s="246"/>
      <c r="EJ74" s="246"/>
      <c r="EK74" s="246"/>
      <c r="EL74" s="246"/>
      <c r="EM74" s="246"/>
      <c r="EN74" s="246"/>
      <c r="EO74" s="246"/>
      <c r="EP74" s="246"/>
      <c r="EQ74" s="246"/>
      <c r="ER74" s="246"/>
      <c r="ES74" s="246"/>
      <c r="ET74" s="246"/>
      <c r="EU74" s="246"/>
      <c r="EV74" s="246"/>
      <c r="EW74" s="246"/>
      <c r="EX74" s="246"/>
      <c r="EY74" s="246"/>
      <c r="EZ74" s="246"/>
      <c r="FA74" s="246"/>
      <c r="FB74" s="246"/>
      <c r="FC74" s="246"/>
      <c r="FD74" s="246"/>
      <c r="FE74" s="246"/>
      <c r="FF74" s="246"/>
      <c r="FG74" s="246"/>
      <c r="FH74" s="246"/>
      <c r="FI74" s="246"/>
      <c r="FJ74" s="246"/>
      <c r="FK74" s="246"/>
      <c r="FL74" s="246"/>
      <c r="FM74" s="246"/>
      <c r="FN74" s="246"/>
      <c r="FO74" s="246"/>
      <c r="FP74" s="246"/>
      <c r="FQ74" s="246"/>
      <c r="FR74" s="246"/>
      <c r="FS74" s="246"/>
      <c r="FT74" s="246"/>
      <c r="FU74" s="246"/>
      <c r="FV74" s="246"/>
      <c r="FW74" s="246"/>
      <c r="FX74" s="246"/>
      <c r="FY74" s="246"/>
      <c r="FZ74" s="246"/>
      <c r="GA74" s="246"/>
      <c r="GB74" s="246"/>
      <c r="GC74" s="246"/>
      <c r="GD74" s="246"/>
      <c r="GE74" s="246"/>
      <c r="GF74" s="246"/>
      <c r="GG74" s="246"/>
      <c r="GH74" s="246"/>
      <c r="GI74" s="246"/>
      <c r="GJ74" s="246"/>
      <c r="GK74" s="246"/>
      <c r="GL74" s="246"/>
      <c r="GM74" s="246"/>
      <c r="GN74" s="246"/>
      <c r="GO74" s="246"/>
      <c r="GP74" s="246"/>
      <c r="GQ74" s="246"/>
      <c r="GR74" s="246"/>
      <c r="GS74" s="246"/>
      <c r="GT74" s="246"/>
      <c r="GU74" s="246"/>
      <c r="GV74" s="246"/>
      <c r="GW74" s="246"/>
      <c r="GX74" s="246"/>
      <c r="GY74" s="246"/>
      <c r="GZ74" s="246"/>
      <c r="HA74" s="246"/>
      <c r="HB74" s="246"/>
      <c r="HC74" s="246"/>
      <c r="HD74" s="246"/>
      <c r="HE74" s="246"/>
      <c r="HF74" s="246"/>
      <c r="HG74" s="246"/>
      <c r="HH74" s="246"/>
      <c r="HI74" s="246"/>
      <c r="HJ74" s="246"/>
      <c r="HK74" s="246"/>
      <c r="HL74" s="246"/>
      <c r="HM74" s="246"/>
      <c r="HN74" s="246"/>
      <c r="HO74" s="246"/>
      <c r="HP74" s="246"/>
      <c r="HQ74" s="246"/>
      <c r="HR74" s="246"/>
      <c r="HS74" s="246"/>
      <c r="HT74" s="246"/>
      <c r="HU74" s="246"/>
      <c r="HV74" s="246"/>
      <c r="HW74" s="246"/>
      <c r="HX74" s="246"/>
      <c r="HY74" s="246"/>
      <c r="HZ74" s="246"/>
      <c r="IA74" s="246"/>
      <c r="IB74" s="246"/>
      <c r="IC74" s="246"/>
      <c r="ID74" s="246"/>
      <c r="IE74" s="246"/>
      <c r="IF74" s="246"/>
      <c r="IG74" s="246"/>
      <c r="IH74" s="246"/>
      <c r="II74" s="246"/>
      <c r="IJ74" s="246"/>
      <c r="IK74" s="246"/>
      <c r="IL74" s="246"/>
      <c r="IM74" s="246"/>
      <c r="IN74" s="246"/>
    </row>
  </sheetData>
  <sheetProtection selectLockedCells="1" sort="0" selectUnlockedCells="1"/>
  <mergeCells count="3">
    <mergeCell ref="B3:AA3"/>
    <mergeCell ref="B60:I60"/>
    <mergeCell ref="B2:AB2"/>
  </mergeCells>
  <printOptions horizontalCentered="1"/>
  <pageMargins left="0.3937007874015748" right="0.15748031496062992" top="0.4724409448818898" bottom="0.7480314960629921" header="0.31496062992125984" footer="0.31496062992125984"/>
  <pageSetup fitToHeight="5" horizontalDpi="600" verticalDpi="600" orientation="landscape" paperSize="123" scale="20" r:id="rId2"/>
  <rowBreaks count="1" manualBreakCount="1">
    <brk id="16" max="27" man="1"/>
  </rowBreaks>
  <colBreaks count="2" manualBreakCount="2">
    <brk id="14" max="73" man="1"/>
    <brk id="28" max="65535" man="1"/>
  </colBreaks>
  <ignoredErrors>
    <ignoredError sqref="C7:C59" numberStoredAsText="1"/>
    <ignoredError sqref="P9" formula="1"/>
  </ignoredErrors>
  <drawing r:id="rId1"/>
</worksheet>
</file>

<file path=xl/worksheets/sheet7.xml><?xml version="1.0" encoding="utf-8"?>
<worksheet xmlns="http://schemas.openxmlformats.org/spreadsheetml/2006/main" xmlns:r="http://schemas.openxmlformats.org/officeDocument/2006/relationships">
  <dimension ref="A2:IV20"/>
  <sheetViews>
    <sheetView showGridLines="0" showRowColHeaders="0" tabSelected="1" zoomScale="40" zoomScaleNormal="40" zoomScalePageLayoutView="0" workbookViewId="0" topLeftCell="A1">
      <selection activeCell="E20" sqref="E20"/>
    </sheetView>
  </sheetViews>
  <sheetFormatPr defaultColWidth="0" defaultRowHeight="15" zeroHeight="1"/>
  <cols>
    <col min="1" max="1" width="69.421875" style="0" customWidth="1"/>
    <col min="2" max="2" width="75.8515625" style="0" customWidth="1"/>
    <col min="3" max="3" width="51.7109375" style="0" customWidth="1"/>
    <col min="4" max="4" width="47.140625" style="0" customWidth="1"/>
    <col min="5" max="5" width="110.57421875" style="0" customWidth="1"/>
    <col min="6" max="6" width="46.8515625" style="0" customWidth="1"/>
    <col min="7" max="7" width="27.57421875" style="0" customWidth="1"/>
    <col min="8" max="8" width="27.57421875" style="0" hidden="1" customWidth="1"/>
    <col min="9" max="16384" width="0" style="0" hidden="1" customWidth="1"/>
  </cols>
  <sheetData>
    <row r="1" s="255" customFormat="1" ht="202.5" customHeight="1" thickBot="1"/>
    <row r="2" spans="2:5" s="255" customFormat="1" ht="24" customHeight="1" thickBot="1">
      <c r="B2" s="420" t="s">
        <v>700</v>
      </c>
      <c r="C2" s="421"/>
      <c r="D2" s="421"/>
      <c r="E2" s="422"/>
    </row>
    <row r="3" spans="1:247" s="247" customFormat="1" ht="33.75">
      <c r="A3" s="245"/>
      <c r="B3" s="434" t="s">
        <v>701</v>
      </c>
      <c r="C3" s="435"/>
      <c r="D3" s="435"/>
      <c r="E3" s="436"/>
      <c r="F3" s="245"/>
      <c r="G3" s="245"/>
      <c r="H3" s="245"/>
      <c r="I3" s="245"/>
      <c r="J3" s="245"/>
      <c r="K3" s="246"/>
      <c r="L3" s="246"/>
      <c r="M3" s="246"/>
      <c r="N3" s="25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c r="HZ3" s="246"/>
      <c r="IA3" s="246"/>
      <c r="IB3" s="246"/>
      <c r="IC3" s="246"/>
      <c r="ID3" s="246"/>
      <c r="IE3" s="246"/>
      <c r="IF3" s="246"/>
      <c r="IG3" s="246"/>
      <c r="IH3" s="246"/>
      <c r="II3" s="246"/>
      <c r="IJ3" s="246"/>
      <c r="IK3" s="246"/>
      <c r="IL3" s="246"/>
      <c r="IM3" s="246"/>
    </row>
    <row r="4" spans="1:249" s="247" customFormat="1" ht="26.25">
      <c r="A4" s="245"/>
      <c r="B4" s="347" t="s">
        <v>573</v>
      </c>
      <c r="C4" s="348" t="s">
        <v>574</v>
      </c>
      <c r="D4" s="348" t="s">
        <v>575</v>
      </c>
      <c r="E4" s="349" t="s">
        <v>576</v>
      </c>
      <c r="F4" s="245"/>
      <c r="G4" s="245"/>
      <c r="H4" s="245"/>
      <c r="I4" s="245"/>
      <c r="J4" s="245"/>
      <c r="K4" s="245"/>
      <c r="L4" s="245"/>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c r="HB4" s="246"/>
      <c r="HC4" s="246"/>
      <c r="HD4" s="246"/>
      <c r="HE4" s="246"/>
      <c r="HF4" s="246"/>
      <c r="HG4" s="246"/>
      <c r="HH4" s="246"/>
      <c r="HI4" s="246"/>
      <c r="HJ4" s="246"/>
      <c r="HK4" s="246"/>
      <c r="HL4" s="246"/>
      <c r="HM4" s="246"/>
      <c r="HN4" s="246"/>
      <c r="HO4" s="246"/>
      <c r="HP4" s="246"/>
      <c r="HQ4" s="246"/>
      <c r="HR4" s="246"/>
      <c r="HS4" s="246"/>
      <c r="HT4" s="246"/>
      <c r="HU4" s="246"/>
      <c r="HV4" s="246"/>
      <c r="HW4" s="246"/>
      <c r="HX4" s="246"/>
      <c r="HY4" s="246"/>
      <c r="HZ4" s="246"/>
      <c r="IA4" s="246"/>
      <c r="IB4" s="246"/>
      <c r="IC4" s="246"/>
      <c r="ID4" s="246"/>
      <c r="IE4" s="246"/>
      <c r="IF4" s="246"/>
      <c r="IG4" s="246"/>
      <c r="IH4" s="246"/>
      <c r="II4" s="246"/>
      <c r="IJ4" s="246"/>
      <c r="IK4" s="246"/>
      <c r="IL4" s="246"/>
      <c r="IM4" s="246"/>
      <c r="IN4" s="246"/>
      <c r="IO4" s="246"/>
    </row>
    <row r="5" spans="1:249" s="247" customFormat="1" ht="78.75" customHeight="1">
      <c r="A5" s="245"/>
      <c r="B5" s="350" t="s">
        <v>675</v>
      </c>
      <c r="C5" s="351">
        <v>45075290020.71498</v>
      </c>
      <c r="D5" s="352">
        <f aca="true" t="shared" si="0" ref="D5:D19">C5/$C$20</f>
        <v>0.28943274913444345</v>
      </c>
      <c r="E5" s="361" t="s">
        <v>577</v>
      </c>
      <c r="F5" s="245"/>
      <c r="G5" s="245"/>
      <c r="H5" s="245"/>
      <c r="I5" s="245"/>
      <c r="J5" s="245"/>
      <c r="K5" s="245"/>
      <c r="L5" s="245"/>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c r="HZ5" s="246"/>
      <c r="IA5" s="246"/>
      <c r="IB5" s="246"/>
      <c r="IC5" s="246"/>
      <c r="ID5" s="246"/>
      <c r="IE5" s="246"/>
      <c r="IF5" s="246"/>
      <c r="IG5" s="246"/>
      <c r="IH5" s="246"/>
      <c r="II5" s="246"/>
      <c r="IJ5" s="246"/>
      <c r="IK5" s="246"/>
      <c r="IL5" s="246"/>
      <c r="IM5" s="246"/>
      <c r="IN5" s="246"/>
      <c r="IO5" s="246"/>
    </row>
    <row r="6" spans="1:249" s="125" customFormat="1" ht="78.75" customHeight="1">
      <c r="A6" s="123"/>
      <c r="B6" s="353" t="s">
        <v>676</v>
      </c>
      <c r="C6" s="351">
        <v>23775594504.09</v>
      </c>
      <c r="D6" s="352">
        <f t="shared" si="0"/>
        <v>0.15266536668897912</v>
      </c>
      <c r="E6" s="362" t="s">
        <v>578</v>
      </c>
      <c r="F6" s="123"/>
      <c r="G6" s="123"/>
      <c r="H6" s="123"/>
      <c r="I6" s="123"/>
      <c r="J6" s="123"/>
      <c r="K6" s="123"/>
      <c r="L6" s="123"/>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row>
    <row r="7" spans="1:249" s="125" customFormat="1" ht="78.75" customHeight="1">
      <c r="A7" s="123"/>
      <c r="B7" s="353" t="s">
        <v>5</v>
      </c>
      <c r="C7" s="351">
        <v>19010456732</v>
      </c>
      <c r="D7" s="352">
        <f t="shared" si="0"/>
        <v>0.12206796122033851</v>
      </c>
      <c r="E7" s="362" t="s">
        <v>586</v>
      </c>
      <c r="F7" s="123"/>
      <c r="G7" s="123"/>
      <c r="H7" s="123"/>
      <c r="I7" s="123"/>
      <c r="J7" s="123"/>
      <c r="K7" s="123"/>
      <c r="L7" s="123"/>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row>
    <row r="8" spans="2:256" s="123" customFormat="1" ht="78.75" customHeight="1">
      <c r="B8" s="353" t="s">
        <v>677</v>
      </c>
      <c r="C8" s="351">
        <v>13297820065.05</v>
      </c>
      <c r="D8" s="352">
        <f t="shared" si="0"/>
        <v>0.0853865747098644</v>
      </c>
      <c r="E8" s="362" t="s">
        <v>580</v>
      </c>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5"/>
      <c r="IQ8" s="125"/>
      <c r="IR8" s="125"/>
      <c r="IS8" s="125"/>
      <c r="IT8" s="125"/>
      <c r="IU8" s="125"/>
      <c r="IV8" s="125"/>
    </row>
    <row r="9" spans="2:256" s="123" customFormat="1" ht="78.75" customHeight="1">
      <c r="B9" s="353" t="s">
        <v>678</v>
      </c>
      <c r="C9" s="351">
        <v>10313376122.5184</v>
      </c>
      <c r="D9" s="352">
        <f t="shared" si="0"/>
        <v>0.06622317466235304</v>
      </c>
      <c r="E9" s="362" t="s">
        <v>582</v>
      </c>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5"/>
      <c r="IQ9" s="125"/>
      <c r="IR9" s="125"/>
      <c r="IS9" s="125"/>
      <c r="IT9" s="125"/>
      <c r="IU9" s="125"/>
      <c r="IV9" s="125"/>
    </row>
    <row r="10" spans="2:256" s="123" customFormat="1" ht="78.75" customHeight="1">
      <c r="B10" s="353" t="s">
        <v>584</v>
      </c>
      <c r="C10" s="351">
        <v>9000000000</v>
      </c>
      <c r="D10" s="352">
        <f t="shared" si="0"/>
        <v>0.05778986094183477</v>
      </c>
      <c r="E10" s="362" t="s">
        <v>585</v>
      </c>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5"/>
      <c r="IQ10" s="125"/>
      <c r="IR10" s="125"/>
      <c r="IS10" s="125"/>
      <c r="IT10" s="125"/>
      <c r="IU10" s="125"/>
      <c r="IV10" s="125"/>
    </row>
    <row r="11" spans="1:249" s="125" customFormat="1" ht="78.75" customHeight="1">
      <c r="A11" s="123"/>
      <c r="B11" s="353" t="s">
        <v>679</v>
      </c>
      <c r="C11" s="351">
        <v>7921687057.47</v>
      </c>
      <c r="D11" s="352">
        <f t="shared" si="0"/>
        <v>0.05086591038621373</v>
      </c>
      <c r="E11" s="362" t="s">
        <v>579</v>
      </c>
      <c r="F11" s="123"/>
      <c r="G11" s="123"/>
      <c r="H11" s="123"/>
      <c r="I11" s="123"/>
      <c r="J11" s="123"/>
      <c r="K11" s="123"/>
      <c r="L11" s="123"/>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row>
    <row r="12" spans="2:256" s="123" customFormat="1" ht="78.75" customHeight="1">
      <c r="B12" s="353" t="s">
        <v>680</v>
      </c>
      <c r="C12" s="351">
        <v>7640366980</v>
      </c>
      <c r="D12" s="352">
        <f t="shared" si="0"/>
        <v>0.04905952725764289</v>
      </c>
      <c r="E12" s="362" t="s">
        <v>590</v>
      </c>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5"/>
      <c r="IQ12" s="125"/>
      <c r="IR12" s="125"/>
      <c r="IS12" s="125"/>
      <c r="IT12" s="125"/>
      <c r="IU12" s="125"/>
      <c r="IV12" s="125"/>
    </row>
    <row r="13" spans="1:249" s="125" customFormat="1" ht="78.75" customHeight="1">
      <c r="A13" s="123"/>
      <c r="B13" s="353" t="s">
        <v>681</v>
      </c>
      <c r="C13" s="351">
        <v>7327870746</v>
      </c>
      <c r="D13" s="352">
        <f t="shared" si="0"/>
        <v>0.04705295904567544</v>
      </c>
      <c r="E13" s="362" t="s">
        <v>581</v>
      </c>
      <c r="F13" s="123"/>
      <c r="G13" s="123"/>
      <c r="H13" s="123"/>
      <c r="I13" s="123"/>
      <c r="J13" s="123"/>
      <c r="K13" s="123"/>
      <c r="L13" s="123"/>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row>
    <row r="14" spans="1:249" s="125" customFormat="1" ht="78.75" customHeight="1">
      <c r="A14" s="123"/>
      <c r="B14" s="353" t="s">
        <v>682</v>
      </c>
      <c r="C14" s="351">
        <v>6754101005</v>
      </c>
      <c r="D14" s="352">
        <f t="shared" si="0"/>
        <v>0.04336872865178405</v>
      </c>
      <c r="E14" s="362" t="s">
        <v>587</v>
      </c>
      <c r="F14" s="123"/>
      <c r="G14" s="123"/>
      <c r="H14" s="123"/>
      <c r="I14" s="123"/>
      <c r="J14" s="123"/>
      <c r="K14" s="123"/>
      <c r="L14" s="123"/>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row>
    <row r="15" spans="1:249" s="125" customFormat="1" ht="78.75" customHeight="1">
      <c r="A15" s="123"/>
      <c r="B15" s="353" t="s">
        <v>683</v>
      </c>
      <c r="C15" s="351">
        <v>2830855494</v>
      </c>
      <c r="D15" s="352">
        <f t="shared" si="0"/>
        <v>0.01817719392718766</v>
      </c>
      <c r="E15" s="362" t="s">
        <v>588</v>
      </c>
      <c r="F15" s="123"/>
      <c r="G15" s="123"/>
      <c r="H15" s="123"/>
      <c r="I15" s="123"/>
      <c r="J15" s="123"/>
      <c r="K15" s="123"/>
      <c r="L15" s="123"/>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row>
    <row r="16" spans="1:249" s="125" customFormat="1" ht="78.75" customHeight="1">
      <c r="A16" s="123"/>
      <c r="B16" s="353" t="s">
        <v>684</v>
      </c>
      <c r="C16" s="351">
        <v>1000500000</v>
      </c>
      <c r="D16" s="352">
        <f t="shared" si="0"/>
        <v>0.0064243062080339645</v>
      </c>
      <c r="E16" s="362" t="s">
        <v>583</v>
      </c>
      <c r="F16" s="123"/>
      <c r="G16" s="123"/>
      <c r="H16" s="123"/>
      <c r="I16" s="123"/>
      <c r="J16" s="123"/>
      <c r="K16" s="123"/>
      <c r="L16" s="123"/>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row>
    <row r="17" spans="1:249" s="125" customFormat="1" ht="78.75" customHeight="1">
      <c r="A17" s="123"/>
      <c r="B17" s="353" t="s">
        <v>685</v>
      </c>
      <c r="C17" s="351">
        <v>837450000</v>
      </c>
      <c r="D17" s="352">
        <f t="shared" si="0"/>
        <v>0.005377346560637725</v>
      </c>
      <c r="E17" s="362" t="s">
        <v>592</v>
      </c>
      <c r="F17" s="123"/>
      <c r="G17" s="123"/>
      <c r="H17" s="123"/>
      <c r="I17" s="123"/>
      <c r="J17" s="123"/>
      <c r="K17" s="123"/>
      <c r="L17" s="123"/>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row>
    <row r="18" spans="1:249" s="125" customFormat="1" ht="78.75" customHeight="1">
      <c r="A18" s="123"/>
      <c r="B18" s="353" t="s">
        <v>686</v>
      </c>
      <c r="C18" s="351">
        <v>782292551.9</v>
      </c>
      <c r="D18" s="352">
        <f t="shared" si="0"/>
        <v>0.005023175310014895</v>
      </c>
      <c r="E18" s="362" t="s">
        <v>591</v>
      </c>
      <c r="F18" s="123"/>
      <c r="G18" s="123"/>
      <c r="H18" s="123"/>
      <c r="I18" s="123"/>
      <c r="J18" s="123"/>
      <c r="K18" s="123"/>
      <c r="L18" s="123"/>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row>
    <row r="19" spans="1:249" s="125" customFormat="1" ht="78.75" customHeight="1" thickBot="1">
      <c r="A19" s="123"/>
      <c r="B19" s="354" t="s">
        <v>687</v>
      </c>
      <c r="C19" s="355">
        <v>169000020</v>
      </c>
      <c r="D19" s="356">
        <f t="shared" si="0"/>
        <v>0.001085165294996366</v>
      </c>
      <c r="E19" s="363" t="s">
        <v>589</v>
      </c>
      <c r="F19" s="123"/>
      <c r="G19" s="123"/>
      <c r="H19" s="123"/>
      <c r="I19" s="123"/>
      <c r="J19" s="123"/>
      <c r="K19" s="123"/>
      <c r="L19" s="123"/>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row>
    <row r="20" spans="1:249" s="125" customFormat="1" ht="78.75" customHeight="1" thickBot="1">
      <c r="A20" s="123"/>
      <c r="B20" s="357" t="s">
        <v>593</v>
      </c>
      <c r="C20" s="358">
        <f>SUM(C5:C19)</f>
        <v>155736661298.74338</v>
      </c>
      <c r="D20" s="359">
        <f>SUM(D5:D19)</f>
        <v>1</v>
      </c>
      <c r="E20" s="360"/>
      <c r="F20" s="123"/>
      <c r="G20" s="123"/>
      <c r="H20" s="123"/>
      <c r="I20" s="123"/>
      <c r="J20" s="123"/>
      <c r="K20" s="123"/>
      <c r="L20" s="123"/>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sheetProtection sort="0"/>
  <mergeCells count="2">
    <mergeCell ref="B3:E3"/>
    <mergeCell ref="B2:E2"/>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JOFPLANP03</dc:creator>
  <cp:keywords/>
  <dc:description/>
  <cp:lastModifiedBy>DIRPLANEACION01</cp:lastModifiedBy>
  <cp:lastPrinted>2015-05-15T17:26:59Z</cp:lastPrinted>
  <dcterms:created xsi:type="dcterms:W3CDTF">2013-08-15T00:52:59Z</dcterms:created>
  <dcterms:modified xsi:type="dcterms:W3CDTF">2015-05-27T16:38:13Z</dcterms:modified>
  <cp:category/>
  <cp:version/>
  <cp:contentType/>
  <cp:contentStatus/>
</cp:coreProperties>
</file>