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6605" windowHeight="9435" tabRatio="997" firstSheet="2" activeTab="3"/>
  </bookViews>
  <sheets>
    <sheet name="HACIENDA" sheetId="1" r:id="rId1"/>
    <sheet name="PLANEACION" sheetId="2" r:id="rId2"/>
    <sheet name="PRIVADA" sheetId="3" r:id="rId3"/>
    <sheet name="SALUD " sheetId="4" r:id="rId4"/>
    <sheet name="AGRICULTURA" sheetId="5" r:id="rId5"/>
    <sheet name="JURIDICA" sheetId="6" r:id="rId6"/>
    <sheet name="TURISMO INDUSTRIA Y COMERCIO" sheetId="7" r:id="rId7"/>
    <sheet name="FAMILIA" sheetId="8" r:id="rId8"/>
    <sheet name="CULTURA " sheetId="9" r:id="rId9"/>
    <sheet name="REP. JUDICIAL Y DEF." sheetId="10" r:id="rId10"/>
    <sheet name="ADMINISTRATIVA" sheetId="11" r:id="rId11"/>
    <sheet name="PROMOTORA" sheetId="12" r:id="rId12"/>
    <sheet name="INFRAESTRUCTURA" sheetId="13" r:id="rId13"/>
    <sheet name="EDUCACIÓN" sheetId="14" r:id="rId14"/>
    <sheet name="INDEPORTES" sheetId="15" r:id="rId15"/>
    <sheet name="INTERIOR" sheetId="16" r:id="rId16"/>
  </sheets>
  <externalReferences>
    <externalReference r:id="rId19"/>
    <externalReference r:id="rId20"/>
    <externalReference r:id="rId21"/>
    <externalReference r:id="rId22"/>
    <externalReference r:id="rId23"/>
    <externalReference r:id="rId24"/>
  </externalReferences>
  <definedNames>
    <definedName name="_xlnm.Print_Titles" localSheetId="10">'ADMINISTRATIVA'!$2:$7</definedName>
    <definedName name="_xlnm.Print_Titles" localSheetId="4">'AGRICULTURA'!$2:$7</definedName>
    <definedName name="_xlnm.Print_Titles" localSheetId="8">'CULTURA '!$2:$7</definedName>
    <definedName name="_xlnm.Print_Titles" localSheetId="13">'EDUCACIÓN'!$2:$7</definedName>
    <definedName name="_xlnm.Print_Titles" localSheetId="7">'FAMILIA'!$2:$7</definedName>
    <definedName name="_xlnm.Print_Titles" localSheetId="14">'INDEPORTES'!$2:$7</definedName>
    <definedName name="_xlnm.Print_Titles" localSheetId="12">'INFRAESTRUCTURA'!$2:$7</definedName>
    <definedName name="_xlnm.Print_Titles" localSheetId="15">'INTERIOR'!$2:$7</definedName>
    <definedName name="_xlnm.Print_Titles" localSheetId="5">'JURIDICA'!$2:$7</definedName>
    <definedName name="_xlnm.Print_Titles" localSheetId="1">'PLANEACION'!$2:$7</definedName>
    <definedName name="_xlnm.Print_Titles" localSheetId="2">'PRIVADA'!$2:$7</definedName>
    <definedName name="_xlnm.Print_Titles" localSheetId="11">'PROMOTORA'!$2:$7</definedName>
    <definedName name="_xlnm.Print_Titles" localSheetId="9">'REP. JUDICIAL Y DEF.'!$2:$7</definedName>
    <definedName name="_xlnm.Print_Titles" localSheetId="3">'SALUD '!$2:$7</definedName>
    <definedName name="_xlnm.Print_Titles" localSheetId="6">'TURISMO INDUSTRIA Y COMERCIO'!$2:$7</definedName>
  </definedNames>
  <calcPr fullCalcOnLoad="1"/>
</workbook>
</file>

<file path=xl/comments1.xml><?xml version="1.0" encoding="utf-8"?>
<comments xmlns="http://schemas.openxmlformats.org/spreadsheetml/2006/main">
  <authors>
    <author>User</author>
    <author>Maria Aleyda</author>
  </authors>
  <commentList>
    <comment ref="A5" authorId="0">
      <text>
        <r>
          <rPr>
            <sz val="9"/>
            <rFont val="Tahoma"/>
            <family val="2"/>
          </rPr>
          <t>Información del Plan de Desarrollo</t>
        </r>
      </text>
    </comment>
    <comment ref="G5" authorId="0">
      <text>
        <r>
          <rPr>
            <sz val="9"/>
            <rFont val="Tahoma"/>
            <family val="2"/>
          </rPr>
          <t>Informacion del Proyecto con el que se lograran los propositos del Plan de Desarrollo</t>
        </r>
      </text>
    </comment>
    <comment ref="S6" authorId="0">
      <text>
        <r>
          <rPr>
            <b/>
            <sz val="9"/>
            <rFont val="Tahoma"/>
            <family val="2"/>
          </rPr>
          <t>Si es INVERSION</t>
        </r>
        <r>
          <rPr>
            <sz val="9"/>
            <rFont val="Tahoma"/>
            <family val="2"/>
          </rPr>
          <t xml:space="preserve">. Escriba el nombre del contratista que ejecuta el contrato. 
</t>
        </r>
        <r>
          <rPr>
            <b/>
            <i/>
            <sz val="9"/>
            <rFont val="Tahoma"/>
            <family val="2"/>
          </rPr>
          <t>Si es Funcionamiento</t>
        </r>
        <r>
          <rPr>
            <i/>
            <sz val="9"/>
            <rFont val="Tahoma"/>
            <family val="2"/>
          </rPr>
          <t>. Escriba el nombre del funcionario que realiza las funciones.</t>
        </r>
      </text>
    </comment>
    <comment ref="D6" authorId="0">
      <text>
        <r>
          <rPr>
            <b/>
            <sz val="9"/>
            <rFont val="Tahoma"/>
            <family val="2"/>
          </rPr>
          <t>INVERSIÓN:</t>
        </r>
        <r>
          <rPr>
            <sz val="9"/>
            <rFont val="Tahoma"/>
            <family val="2"/>
          </rPr>
          <t xml:space="preserve"> Registre la programación de las METAS, según la distribución que para las mismas, registra el PLAN INDICATIVO, para la vigencia que se va a medir.</t>
        </r>
      </text>
    </comment>
    <comment ref="E6" authorId="1">
      <text>
        <r>
          <rPr>
            <sz val="9"/>
            <rFont val="Tahoma"/>
            <family val="2"/>
          </rPr>
          <t>Registrar el AVANCE DE LA META, a la fecha de corte de la medidión y seguimiento.</t>
        </r>
      </text>
    </comment>
    <comment ref="F6" authorId="1">
      <text>
        <r>
          <rPr>
            <sz val="9"/>
            <rFont val="Tahoma"/>
            <family val="2"/>
          </rPr>
          <t xml:space="preserve">Registre en forma porcentual el AVANCE que en valores nominales, fueron reportados en la columna anterior, para el corde de medición que se informa.
</t>
        </r>
      </text>
    </comment>
    <comment ref="G6" authorId="0">
      <text>
        <r>
          <rPr>
            <b/>
            <sz val="9"/>
            <rFont val="Tahoma"/>
            <family val="2"/>
          </rPr>
          <t>Si es Inversión:</t>
        </r>
        <r>
          <rPr>
            <sz val="9"/>
            <rFont val="Tahoma"/>
            <family val="2"/>
          </rPr>
          <t xml:space="preserve"> Escriba el numero y el nombre del proyecto que aparece en el POAI</t>
        </r>
      </text>
    </comment>
    <comment ref="H6" authorId="1">
      <text>
        <r>
          <rPr>
            <sz val="9"/>
            <rFont val="Tahoma"/>
            <family val="2"/>
          </rPr>
          <t xml:space="preserve">Relacione en esta columna, para cada uno de los PROYECTOS DE INVERSION, cada una de las actividades registradas en el BPPID.
</t>
        </r>
      </text>
    </comment>
    <comment ref="I6" authorId="0">
      <text>
        <r>
          <rPr>
            <sz val="9"/>
            <rFont val="Tahoma"/>
            <family val="2"/>
          </rPr>
          <t xml:space="preserve">Se registra el valor programado para cada uno de los PROYECTOS en el POAI., (PCT SRIA. DE HACIENDA).
 El valor debe expresarse  en miles de $. Es decir: que para millones se suprimen 3 ceros . Ejemplo: para describir diez millones, se escribe 10.000, para treinta millones, se escribe 30.000, para quinientos mil, se escribe 500. </t>
        </r>
      </text>
    </comment>
    <comment ref="J6" authorId="1">
      <text>
        <r>
          <rPr>
            <sz val="9"/>
            <rFont val="Tahoma"/>
            <family val="2"/>
          </rPr>
          <t>Se registra el VALOR EJECUTADO, para cada uno de los PROYECTOS en el POAI., (PCT SRIA. DE HACIENDA).
El valor EJECUTADO, corresponde a las OBLIGACIONES, que en POAI permitan evidenciar que los bienes y /o servicios fueron recibidos a satisfacción.</t>
        </r>
      </text>
    </comment>
    <comment ref="K6" authorId="1">
      <text>
        <r>
          <rPr>
            <sz val="9"/>
            <rFont val="Tahoma"/>
            <family val="2"/>
          </rPr>
          <t xml:space="preserve">Informe el porcentaje de ejecución, de acuerdo a los valores nominales, que informa el POAI. (PCT SRIA. DE HACIENDA).
</t>
        </r>
      </text>
    </comment>
    <comment ref="L6" authorId="0">
      <text>
        <r>
          <rPr>
            <b/>
            <sz val="9"/>
            <rFont val="Tahoma"/>
            <family val="2"/>
          </rPr>
          <t>Inversión</t>
        </r>
        <r>
          <rPr>
            <sz val="9"/>
            <rFont val="Tahoma"/>
            <family val="2"/>
          </rPr>
          <t xml:space="preserve">. Escriba  el OBJETIVO GENERAL que se espera alcanzar, de acuerdo a la información contenida en el PROYECTO radicado en el BPPID, el cual debe ser coherente con las METAS DE PRODUCTO, ya informadas. </t>
        </r>
      </text>
    </comment>
    <comment ref="N6" authorId="1">
      <text>
        <r>
          <rPr>
            <sz val="9"/>
            <rFont val="Tahoma"/>
            <family val="2"/>
          </rPr>
          <t xml:space="preserve">Informar el númro de CONTRATOS, cualquiera sea su modalidad y/o clase, que a la fecha del corte de medición se han suscrito, con el  fin de materializar los PROYECTOS, APROBADOS EN EL POAI.  (COVI)
</t>
        </r>
      </text>
    </comment>
    <comment ref="O6" authorId="1">
      <text>
        <r>
          <rPr>
            <b/>
            <sz val="9"/>
            <rFont val="Tahoma"/>
            <family val="2"/>
          </rPr>
          <t>INVERSION:</t>
        </r>
        <r>
          <rPr>
            <sz val="9"/>
            <rFont val="Tahoma"/>
            <family val="2"/>
          </rPr>
          <t xml:space="preserve"> Informear el valor total de los CONTRATOS SUSCRITOS, cualquiera sea su modalidad y /o clase.
Este valor corresponde al informado en el POAI, en la columna COMPROMISOS. (PCT, SRIA. DE HACIENDA).
</t>
        </r>
      </text>
    </comment>
    <comment ref="P6" authorId="0">
      <text>
        <r>
          <rPr>
            <b/>
            <sz val="9"/>
            <rFont val="Arial"/>
            <family val="2"/>
          </rPr>
          <t>INVERSIÓN</t>
        </r>
        <r>
          <rPr>
            <sz val="9"/>
            <rFont val="Arial"/>
            <family val="2"/>
          </rPr>
          <t>, Escriba el valor  EJECUTADO DE LOS CONTRATOS, cualquiera sera su modalidad y / o clase,.
El valor EJECUTADO, corresponde a las OBLIGACIONES, que en POAI permitan evidenciar que los bienes y /o servicios fueron recibidos a satisfacción.</t>
        </r>
        <r>
          <rPr>
            <sz val="9"/>
            <rFont val="Tahoma"/>
            <family val="2"/>
          </rPr>
          <t xml:space="preserve">
</t>
        </r>
        <r>
          <rPr>
            <b/>
            <sz val="9"/>
            <rFont val="Tahoma"/>
            <family val="2"/>
          </rPr>
          <t xml:space="preserve">
</t>
        </r>
      </text>
    </comment>
  </commentList>
</comments>
</file>

<file path=xl/comments10.xml><?xml version="1.0" encoding="utf-8"?>
<comments xmlns="http://schemas.openxmlformats.org/spreadsheetml/2006/main">
  <authors>
    <author>User</author>
    <author>Maria Aleyda</author>
  </authors>
  <commentList>
    <comment ref="D6" authorId="0">
      <text>
        <r>
          <rPr>
            <b/>
            <sz val="9"/>
            <rFont val="Tahoma"/>
            <family val="2"/>
          </rPr>
          <t>INVERSIÓN:</t>
        </r>
        <r>
          <rPr>
            <sz val="9"/>
            <rFont val="Tahoma"/>
            <family val="2"/>
          </rPr>
          <t xml:space="preserve"> Registre la programación de las METAS, según la distribución que para las mismas, registra el PLAN INDICATIVO, para la vigencia que se va a medir.</t>
        </r>
      </text>
    </comment>
    <comment ref="E6" authorId="1">
      <text>
        <r>
          <rPr>
            <sz val="9"/>
            <rFont val="Tahoma"/>
            <family val="2"/>
          </rPr>
          <t>Registrar el AVANCE DE LA META, a la fecha de corte de la medidión y seguimiento.</t>
        </r>
      </text>
    </comment>
    <comment ref="F6" authorId="1">
      <text>
        <r>
          <rPr>
            <sz val="9"/>
            <rFont val="Tahoma"/>
            <family val="2"/>
          </rPr>
          <t xml:space="preserve">Registre en forma porcentual el AVANCE que en valores nominales, fueron reportados en la columna anterior, para el corde de medición que se informa.
</t>
        </r>
      </text>
    </comment>
    <comment ref="G6" authorId="0">
      <text>
        <r>
          <rPr>
            <b/>
            <sz val="9"/>
            <rFont val="Tahoma"/>
            <family val="2"/>
          </rPr>
          <t>Si es Inversión:</t>
        </r>
        <r>
          <rPr>
            <sz val="9"/>
            <rFont val="Tahoma"/>
            <family val="2"/>
          </rPr>
          <t xml:space="preserve"> Escriba el numero y el nombre del proyecto que aparece en el POAI</t>
        </r>
      </text>
    </comment>
    <comment ref="H6" authorId="1">
      <text>
        <r>
          <rPr>
            <sz val="9"/>
            <rFont val="Tahoma"/>
            <family val="2"/>
          </rPr>
          <t xml:space="preserve">Relacione en esta columna, para cada uno de los PROYECTOS DE INVERSION, cada una de las actividades registradas en el BPPID.
</t>
        </r>
      </text>
    </comment>
    <comment ref="I6" authorId="0">
      <text>
        <r>
          <rPr>
            <sz val="9"/>
            <rFont val="Tahoma"/>
            <family val="2"/>
          </rPr>
          <t xml:space="preserve">Se registra el valor programado para cada uno de los PROYECTOS en el POAI., (PCT SRIA. DE HACIENDA).
 El valor debe expresarse  en miles de $. Es decir: que para millones se suprimen 3 ceros . Ejemplo: para describir diez millones, se escribe 10.000, para treinta millones, se escribe 30.000, para quinientos mil, se escribe 500. </t>
        </r>
      </text>
    </comment>
    <comment ref="J6" authorId="1">
      <text>
        <r>
          <rPr>
            <sz val="9"/>
            <rFont val="Tahoma"/>
            <family val="2"/>
          </rPr>
          <t>Se registra el VALOR EJECUTADO, para cada uno de los PROYECTOS en el POAI., (PCT SRIA. DE HACIENDA).
El valor EJECUTADO, corresponde a las OBLIGACIONES, que en POAI permitan evidenciar que los bienes y /o servicios fueron recibidos a satisfacción.</t>
        </r>
      </text>
    </comment>
    <comment ref="K6" authorId="1">
      <text>
        <r>
          <rPr>
            <sz val="9"/>
            <rFont val="Tahoma"/>
            <family val="2"/>
          </rPr>
          <t xml:space="preserve">Informe el porcentaje de ejecución, de acuerdo a los valores nominales, que informa el POAI. (PCT SRIA. DE HACIENDA).
</t>
        </r>
      </text>
    </comment>
    <comment ref="L6" authorId="0">
      <text>
        <r>
          <rPr>
            <b/>
            <sz val="9"/>
            <rFont val="Tahoma"/>
            <family val="2"/>
          </rPr>
          <t>Inversión</t>
        </r>
        <r>
          <rPr>
            <sz val="9"/>
            <rFont val="Tahoma"/>
            <family val="2"/>
          </rPr>
          <t xml:space="preserve">. Escriba  el OBJETIVO GENERAL que se espera alcanzar, de acuerdo a la información contenida en el PROYECTO radicado en el BPPID, el cual debe ser coherente con las METAS DE PRODUCTO, ya informadas. </t>
        </r>
      </text>
    </comment>
    <comment ref="N6" authorId="1">
      <text>
        <r>
          <rPr>
            <sz val="9"/>
            <rFont val="Tahoma"/>
            <family val="2"/>
          </rPr>
          <t xml:space="preserve">Informar el númro de CONTRATOS, cualquiera sea su modalidad y/o clase, que a la fecha del corte de medición se han suscrito, con el  fin de materializar los PROYECTOS, APROBADOS EN EL POAI.  (COVI)
</t>
        </r>
      </text>
    </comment>
    <comment ref="O6" authorId="1">
      <text>
        <r>
          <rPr>
            <b/>
            <sz val="9"/>
            <rFont val="Tahoma"/>
            <family val="2"/>
          </rPr>
          <t>INVERSION:</t>
        </r>
        <r>
          <rPr>
            <sz val="9"/>
            <rFont val="Tahoma"/>
            <family val="2"/>
          </rPr>
          <t xml:space="preserve"> Informear el valor total de los CONTRATOS SUSCRITOS, cualquiera sea su modalidad y /o clase.
Este valor corresponde al informado en el POAI, en la columna COMPROMISOS. (PCT, SRIA. DE HACIENDA).
</t>
        </r>
      </text>
    </comment>
    <comment ref="P6" authorId="0">
      <text>
        <r>
          <rPr>
            <b/>
            <sz val="9"/>
            <rFont val="Arial"/>
            <family val="2"/>
          </rPr>
          <t>INVERSIÓN</t>
        </r>
        <r>
          <rPr>
            <sz val="9"/>
            <rFont val="Arial"/>
            <family val="2"/>
          </rPr>
          <t>, Escriba el valor  EJECUTADO DE LOS CONTRATOS, cualquiera sera su modalidad y / o clase,.
El valor EJECUTADO, corresponde a las OBLIGACIONES, que en POAI permitan evidenciar que los bienes y /o servicios fueron recibidos a satisfacción.</t>
        </r>
        <r>
          <rPr>
            <sz val="9"/>
            <rFont val="Tahoma"/>
            <family val="2"/>
          </rPr>
          <t xml:space="preserve">
</t>
        </r>
        <r>
          <rPr>
            <b/>
            <sz val="9"/>
            <rFont val="Tahoma"/>
            <family val="2"/>
          </rPr>
          <t xml:space="preserve">
</t>
        </r>
      </text>
    </comment>
  </commentList>
</comments>
</file>

<file path=xl/comments11.xml><?xml version="1.0" encoding="utf-8"?>
<comments xmlns="http://schemas.openxmlformats.org/spreadsheetml/2006/main">
  <authors>
    <author>User</author>
    <author>Maria Aleyda</author>
  </authors>
  <commentList>
    <comment ref="D6" authorId="0">
      <text>
        <r>
          <rPr>
            <b/>
            <sz val="9"/>
            <rFont val="Tahoma"/>
            <family val="2"/>
          </rPr>
          <t>INVERSIÓN:</t>
        </r>
        <r>
          <rPr>
            <sz val="9"/>
            <rFont val="Tahoma"/>
            <family val="2"/>
          </rPr>
          <t xml:space="preserve"> Registre la programación de las METAS, según la distribución que para las mismas, registra el PLAN INDICATIVO, para la vigencia que se va a medir.</t>
        </r>
      </text>
    </comment>
    <comment ref="E6" authorId="1">
      <text>
        <r>
          <rPr>
            <sz val="9"/>
            <rFont val="Tahoma"/>
            <family val="2"/>
          </rPr>
          <t>Registrar el AVANCE DE LA META, a la fecha de corte de la medidión y seguimiento.</t>
        </r>
      </text>
    </comment>
    <comment ref="F6" authorId="1">
      <text>
        <r>
          <rPr>
            <sz val="9"/>
            <rFont val="Tahoma"/>
            <family val="2"/>
          </rPr>
          <t xml:space="preserve">Registre en forma porcentual el AVANCE que en valores nominales, fueron reportados en la columna anterior, para el corde de medición que se informa.
</t>
        </r>
      </text>
    </comment>
    <comment ref="G6" authorId="0">
      <text>
        <r>
          <rPr>
            <b/>
            <sz val="9"/>
            <rFont val="Tahoma"/>
            <family val="2"/>
          </rPr>
          <t>Si es Inversión:</t>
        </r>
        <r>
          <rPr>
            <sz val="9"/>
            <rFont val="Tahoma"/>
            <family val="2"/>
          </rPr>
          <t xml:space="preserve"> Escriba el numero y el nombre del proyecto que aparece en el POAI</t>
        </r>
      </text>
    </comment>
    <comment ref="H6" authorId="1">
      <text>
        <r>
          <rPr>
            <sz val="9"/>
            <rFont val="Tahoma"/>
            <family val="2"/>
          </rPr>
          <t xml:space="preserve">Relacione en esta columna, para cada uno de los PROYECTOS DE INVERSION, cada una de las actividades registradas en el BPPID.
</t>
        </r>
      </text>
    </comment>
    <comment ref="I6" authorId="0">
      <text>
        <r>
          <rPr>
            <sz val="9"/>
            <rFont val="Tahoma"/>
            <family val="2"/>
          </rPr>
          <t xml:space="preserve">Se registra el valor programado para cada uno de los PROYECTOS en el POAI., (PCT SRIA. DE HACIENDA).
 El valor debe expresarse  en miles de $. Es decir: que para millones se suprimen 3 ceros . Ejemplo: para describir diez millones, se escribe 10.000, para treinta millones, se escribe 30.000, para quinientos mil, se escribe 500. </t>
        </r>
      </text>
    </comment>
    <comment ref="J6" authorId="1">
      <text>
        <r>
          <rPr>
            <sz val="9"/>
            <rFont val="Tahoma"/>
            <family val="2"/>
          </rPr>
          <t>Se registra el VALOR EJECUTADO, para cada uno de los PROYECTOS en el POAI., (PCT SRIA. DE HACIENDA).
El valor EJECUTADO, corresponde a las OBLIGACIONES, que en POAI permitan evidenciar que los bienes y /o servicios fueron recibidos a satisfacción.</t>
        </r>
      </text>
    </comment>
    <comment ref="K6" authorId="1">
      <text>
        <r>
          <rPr>
            <sz val="9"/>
            <rFont val="Tahoma"/>
            <family val="2"/>
          </rPr>
          <t xml:space="preserve">Informe el porcentaje de ejecución, de acuerdo a los valores nominales, que informa el POAI. (PCT SRIA. DE HACIENDA).
</t>
        </r>
      </text>
    </comment>
    <comment ref="L6" authorId="0">
      <text>
        <r>
          <rPr>
            <b/>
            <sz val="9"/>
            <rFont val="Tahoma"/>
            <family val="2"/>
          </rPr>
          <t>Inversión</t>
        </r>
        <r>
          <rPr>
            <sz val="9"/>
            <rFont val="Tahoma"/>
            <family val="2"/>
          </rPr>
          <t xml:space="preserve">. Escriba  el OBJETIVO GENERAL que se espera alcanzar, de acuerdo a la información contenida en el PROYECTO radicado en el BPPID, el cual debe ser coherente con las METAS DE PRODUCTO, ya informadas. </t>
        </r>
      </text>
    </comment>
    <comment ref="N6" authorId="1">
      <text>
        <r>
          <rPr>
            <sz val="9"/>
            <rFont val="Tahoma"/>
            <family val="2"/>
          </rPr>
          <t xml:space="preserve">Informar el númro de CONTRATOS, cualquiera sea su modalidad y/o clase, que a la fecha del corte de medición se han suscrito, con el  fin de materializar los PROYECTOS, APROBADOS EN EL POAI.  (COVI)
</t>
        </r>
      </text>
    </comment>
    <comment ref="O6" authorId="1">
      <text>
        <r>
          <rPr>
            <b/>
            <sz val="9"/>
            <rFont val="Tahoma"/>
            <family val="2"/>
          </rPr>
          <t>INVERSION:</t>
        </r>
        <r>
          <rPr>
            <sz val="9"/>
            <rFont val="Tahoma"/>
            <family val="2"/>
          </rPr>
          <t xml:space="preserve"> Informear el valor total de los CONTRATOS SUSCRITOS, cualquiera sea su modalidad y /o clase.
Este valor corresponde al informado en el POAI, en la columna COMPROMISOS. (PCT, SRIA. DE HACIENDA).
</t>
        </r>
      </text>
    </comment>
    <comment ref="P6" authorId="0">
      <text>
        <r>
          <rPr>
            <b/>
            <sz val="9"/>
            <rFont val="Arial"/>
            <family val="2"/>
          </rPr>
          <t>INVERSIÓN</t>
        </r>
        <r>
          <rPr>
            <sz val="9"/>
            <rFont val="Arial"/>
            <family val="2"/>
          </rPr>
          <t>, Escriba el valor  EJECUTADO DE LOS CONTRATOS, cualquiera sera su modalidad y / o clase,.
El valor EJECUTADO, corresponde a las OBLIGACIONES, que en POAI permitan evidenciar que los bienes y /o servicios fueron recibidos a satisfacción.</t>
        </r>
        <r>
          <rPr>
            <sz val="9"/>
            <rFont val="Tahoma"/>
            <family val="2"/>
          </rPr>
          <t xml:space="preserve">
</t>
        </r>
        <r>
          <rPr>
            <b/>
            <sz val="9"/>
            <rFont val="Tahoma"/>
            <family val="2"/>
          </rPr>
          <t xml:space="preserve">
</t>
        </r>
      </text>
    </comment>
  </commentList>
</comments>
</file>

<file path=xl/comments12.xml><?xml version="1.0" encoding="utf-8"?>
<comments xmlns="http://schemas.openxmlformats.org/spreadsheetml/2006/main">
  <authors>
    <author>User</author>
    <author>Maria Aleyda</author>
  </authors>
  <commentList>
    <comment ref="D6" authorId="0">
      <text>
        <r>
          <rPr>
            <b/>
            <sz val="9"/>
            <rFont val="Tahoma"/>
            <family val="2"/>
          </rPr>
          <t>INVERSIÓN:</t>
        </r>
        <r>
          <rPr>
            <sz val="9"/>
            <rFont val="Tahoma"/>
            <family val="2"/>
          </rPr>
          <t xml:space="preserve"> Registre la programación de las METAS, según la distribución que para las mismas, registra el PLAN INDICATIVO, para la vigencia que se va a medir.</t>
        </r>
      </text>
    </comment>
    <comment ref="E6" authorId="1">
      <text>
        <r>
          <rPr>
            <sz val="9"/>
            <rFont val="Tahoma"/>
            <family val="2"/>
          </rPr>
          <t>Registrar el AVANCE DE LA META, a la fecha de corte de la medidión y seguimiento.</t>
        </r>
      </text>
    </comment>
    <comment ref="F6" authorId="1">
      <text>
        <r>
          <rPr>
            <sz val="9"/>
            <rFont val="Tahoma"/>
            <family val="2"/>
          </rPr>
          <t xml:space="preserve">Registre en forma porcentual el AVANCE que en valores nominales, fueron reportados en la columna anterior, para el corde de medición que se informa.
</t>
        </r>
      </text>
    </comment>
    <comment ref="G6" authorId="0">
      <text>
        <r>
          <rPr>
            <b/>
            <sz val="9"/>
            <rFont val="Tahoma"/>
            <family val="2"/>
          </rPr>
          <t>Si es Inversión:</t>
        </r>
        <r>
          <rPr>
            <sz val="9"/>
            <rFont val="Tahoma"/>
            <family val="2"/>
          </rPr>
          <t xml:space="preserve"> Escriba el numero y el nombre del proyecto que aparece en el POAI</t>
        </r>
      </text>
    </comment>
    <comment ref="H6" authorId="1">
      <text>
        <r>
          <rPr>
            <sz val="9"/>
            <rFont val="Tahoma"/>
            <family val="2"/>
          </rPr>
          <t xml:space="preserve">Relacione en esta columna, para cada uno de los PROYECTOS DE INVERSION, cada una de las actividades registradas en el BPPID.
</t>
        </r>
      </text>
    </comment>
    <comment ref="I6" authorId="0">
      <text>
        <r>
          <rPr>
            <sz val="9"/>
            <rFont val="Tahoma"/>
            <family val="2"/>
          </rPr>
          <t xml:space="preserve">Se registra el valor programado para cada uno de los PROYECTOS en el POAI., (PCT SRIA. DE HACIENDA).
 El valor debe expresarse  en miles de $. Es decir: que para millones se suprimen 3 ceros . Ejemplo: para describir diez millones, se escribe 10.000, para treinta millones, se escribe 30.000, para quinientos mil, se escribe 500. </t>
        </r>
      </text>
    </comment>
    <comment ref="J6" authorId="1">
      <text>
        <r>
          <rPr>
            <sz val="9"/>
            <rFont val="Tahoma"/>
            <family val="2"/>
          </rPr>
          <t>Se registra el VALOR EJECUTADO, para cada uno de los PROYECTOS en el POAI., (PCT SRIA. DE HACIENDA).
El valor EJECUTADO, corresponde a las OBLIGACIONES, que en POAI permitan evidenciar que los bienes y /o servicios fueron recibidos a satisfacción.</t>
        </r>
      </text>
    </comment>
    <comment ref="K6" authorId="1">
      <text>
        <r>
          <rPr>
            <sz val="9"/>
            <rFont val="Tahoma"/>
            <family val="2"/>
          </rPr>
          <t xml:space="preserve">Informe el porcentaje de ejecución, de acuerdo a los valores nominales, que informa el POAI. (PCT SRIA. DE HACIENDA).
</t>
        </r>
      </text>
    </comment>
    <comment ref="L6" authorId="0">
      <text>
        <r>
          <rPr>
            <b/>
            <sz val="9"/>
            <rFont val="Tahoma"/>
            <family val="2"/>
          </rPr>
          <t>Inversión</t>
        </r>
        <r>
          <rPr>
            <sz val="9"/>
            <rFont val="Tahoma"/>
            <family val="2"/>
          </rPr>
          <t xml:space="preserve">. Escriba  el OBJETIVO GENERAL que se espera alcanzar, de acuerdo a la información contenida en el PROYECTO radicado en el BPPID, el cual debe ser coherente con las METAS DE PRODUCTO, ya informadas. </t>
        </r>
      </text>
    </comment>
    <comment ref="N6" authorId="1">
      <text>
        <r>
          <rPr>
            <sz val="9"/>
            <rFont val="Tahoma"/>
            <family val="2"/>
          </rPr>
          <t xml:space="preserve">Informar el númro de CONTRATOS, cualquiera sea su modalidad y/o clase, que a la fecha del corte de medición se han suscrito, con el  fin de materializar los PROYECTOS, APROBADOS EN EL POAI.  (COVI)
</t>
        </r>
      </text>
    </comment>
    <comment ref="O6" authorId="1">
      <text>
        <r>
          <rPr>
            <b/>
            <sz val="9"/>
            <rFont val="Tahoma"/>
            <family val="2"/>
          </rPr>
          <t>INVERSION:</t>
        </r>
        <r>
          <rPr>
            <sz val="9"/>
            <rFont val="Tahoma"/>
            <family val="2"/>
          </rPr>
          <t xml:space="preserve"> Informear el valor total de los CONTRATOS SUSCRITOS, cualquiera sea su modalidad y /o clase.
Este valor corresponde al informado en el POAI, en la columna COMPROMISOS. (PCT, SRIA. DE HACIENDA).
</t>
        </r>
      </text>
    </comment>
    <comment ref="P6" authorId="0">
      <text>
        <r>
          <rPr>
            <b/>
            <sz val="9"/>
            <rFont val="Arial"/>
            <family val="2"/>
          </rPr>
          <t>INVERSIÓN</t>
        </r>
        <r>
          <rPr>
            <sz val="9"/>
            <rFont val="Arial"/>
            <family val="2"/>
          </rPr>
          <t>, Escriba el valor  EJECUTADO DE LOS CONTRATOS, cualquiera sera su modalidad y / o clase,.
El valor EJECUTADO, corresponde a las OBLIGACIONES, que en POAI permitan evidenciar que los bienes y /o servicios fueron recibidos a satisfacción.</t>
        </r>
        <r>
          <rPr>
            <sz val="9"/>
            <rFont val="Tahoma"/>
            <family val="2"/>
          </rPr>
          <t xml:space="preserve">
</t>
        </r>
        <r>
          <rPr>
            <b/>
            <sz val="9"/>
            <rFont val="Tahoma"/>
            <family val="2"/>
          </rPr>
          <t xml:space="preserve">
</t>
        </r>
      </text>
    </comment>
  </commentList>
</comments>
</file>

<file path=xl/comments13.xml><?xml version="1.0" encoding="utf-8"?>
<comments xmlns="http://schemas.openxmlformats.org/spreadsheetml/2006/main">
  <authors>
    <author>User</author>
    <author>Maria Aleyda</author>
  </authors>
  <commentList>
    <comment ref="D6" authorId="0">
      <text>
        <r>
          <rPr>
            <b/>
            <sz val="9"/>
            <rFont val="Tahoma"/>
            <family val="2"/>
          </rPr>
          <t>INVERSIÓN:</t>
        </r>
        <r>
          <rPr>
            <sz val="9"/>
            <rFont val="Tahoma"/>
            <family val="2"/>
          </rPr>
          <t xml:space="preserve"> Registre la programación de las METAS, según la distribución que para las mismas, registra el PLAN INDICATIVO, para la vigencia que se va a medir.</t>
        </r>
      </text>
    </comment>
    <comment ref="E6" authorId="1">
      <text>
        <r>
          <rPr>
            <sz val="9"/>
            <rFont val="Tahoma"/>
            <family val="2"/>
          </rPr>
          <t>Registrar el AVANCE DE LA META, a la fecha de corte de la medidión y seguimiento.</t>
        </r>
      </text>
    </comment>
    <comment ref="F6" authorId="1">
      <text>
        <r>
          <rPr>
            <sz val="9"/>
            <rFont val="Tahoma"/>
            <family val="2"/>
          </rPr>
          <t xml:space="preserve">Registre en forma porcentual el AVANCE que en valores nominales, fueron reportados en la columna anterior, para el corde de medición que se informa.
</t>
        </r>
      </text>
    </comment>
    <comment ref="G6" authorId="0">
      <text>
        <r>
          <rPr>
            <b/>
            <sz val="9"/>
            <rFont val="Tahoma"/>
            <family val="2"/>
          </rPr>
          <t>Si es Inversión:</t>
        </r>
        <r>
          <rPr>
            <sz val="9"/>
            <rFont val="Tahoma"/>
            <family val="2"/>
          </rPr>
          <t xml:space="preserve"> Escriba el numero y el nombre del proyecto que aparece en el POAI</t>
        </r>
      </text>
    </comment>
    <comment ref="H6" authorId="1">
      <text>
        <r>
          <rPr>
            <sz val="9"/>
            <rFont val="Tahoma"/>
            <family val="2"/>
          </rPr>
          <t xml:space="preserve">Relacione en esta columna, para cada uno de los PROYECTOS DE INVERSION, cada una de las actividades registradas en el BPPID.
</t>
        </r>
      </text>
    </comment>
    <comment ref="I6" authorId="0">
      <text>
        <r>
          <rPr>
            <sz val="9"/>
            <rFont val="Tahoma"/>
            <family val="2"/>
          </rPr>
          <t xml:space="preserve">Se registra el valor programado para cada uno de los PROYECTOS en el POAI., (PCT SRIA. DE HACIENDA).
 El valor debe expresarse  en miles de $. Es decir: que para millones se suprimen 3 ceros . Ejemplo: para describir diez millones, se escribe 10.000, para treinta millones, se escribe 30.000, para quinientos mil, se escribe 500. </t>
        </r>
      </text>
    </comment>
    <comment ref="J6" authorId="1">
      <text>
        <r>
          <rPr>
            <sz val="9"/>
            <rFont val="Tahoma"/>
            <family val="2"/>
          </rPr>
          <t>Se registra el VALOR EJECUTADO, para cada uno de los PROYECTOS en el POAI., (PCT SRIA. DE HACIENDA).
El valor EJECUTADO, corresponde a las OBLIGACIONES, que en POAI permitan evidenciar que los bienes y /o servicios fueron recibidos a satisfacción.</t>
        </r>
      </text>
    </comment>
    <comment ref="K6" authorId="1">
      <text>
        <r>
          <rPr>
            <sz val="9"/>
            <rFont val="Tahoma"/>
            <family val="2"/>
          </rPr>
          <t xml:space="preserve">Informe el porcentaje de ejecución, de acuerdo a los valores nominales, que informa el POAI. (PCT SRIA. DE HACIENDA).
</t>
        </r>
      </text>
    </comment>
    <comment ref="L6" authorId="0">
      <text>
        <r>
          <rPr>
            <b/>
            <sz val="9"/>
            <rFont val="Tahoma"/>
            <family val="2"/>
          </rPr>
          <t>Inversión</t>
        </r>
        <r>
          <rPr>
            <sz val="9"/>
            <rFont val="Tahoma"/>
            <family val="2"/>
          </rPr>
          <t xml:space="preserve">. Escriba  el OBJETIVO GENERAL que se espera alcanzar, de acuerdo a la información contenida en el PROYECTO radicado en el BPPID, el cual debe ser coherente con las METAS DE PRODUCTO, ya informadas. </t>
        </r>
      </text>
    </comment>
    <comment ref="M6" authorId="0">
      <text>
        <r>
          <rPr>
            <b/>
            <sz val="9"/>
            <rFont val="Tahoma"/>
            <family val="2"/>
          </rPr>
          <t>Si es INVERSIÓN</t>
        </r>
        <r>
          <rPr>
            <sz val="9"/>
            <rFont val="Tahoma"/>
            <family val="2"/>
          </rPr>
          <t xml:space="preserve"> describa el resultado final del contrato, que debe estar articulado a los requerimientos del proyecto y la meta.
</t>
        </r>
        <r>
          <rPr>
            <b/>
            <sz val="9"/>
            <rFont val="Tahoma"/>
            <family val="2"/>
          </rPr>
          <t xml:space="preserve">
</t>
        </r>
      </text>
    </comment>
    <comment ref="N6" authorId="1">
      <text>
        <r>
          <rPr>
            <sz val="9"/>
            <rFont val="Tahoma"/>
            <family val="2"/>
          </rPr>
          <t xml:space="preserve">Informar el númro de CONTRATOS, cualquiera sea su modalidad y/o clase, que a la fecha del corte de medición se han suscrito, con el  fin de materializar los PROYECTOS, APROBADOS EN EL POAI.  (COVI)
</t>
        </r>
      </text>
    </comment>
    <comment ref="O6" authorId="1">
      <text>
        <r>
          <rPr>
            <b/>
            <sz val="9"/>
            <rFont val="Tahoma"/>
            <family val="2"/>
          </rPr>
          <t>INVERSION:</t>
        </r>
        <r>
          <rPr>
            <sz val="9"/>
            <rFont val="Tahoma"/>
            <family val="2"/>
          </rPr>
          <t xml:space="preserve"> Informear el valor total de los CONTRATOS SUSCRITOS, cualquiera sea su modalidad y /o clase.
Este valor corresponde al informado en el POAI, en la columna COMPROMISOS. (PCT, SRIA. DE HACIENDA).
</t>
        </r>
      </text>
    </comment>
    <comment ref="P6" authorId="0">
      <text>
        <r>
          <rPr>
            <b/>
            <sz val="9"/>
            <rFont val="Arial"/>
            <family val="2"/>
          </rPr>
          <t>INVERSIÓN</t>
        </r>
        <r>
          <rPr>
            <sz val="9"/>
            <rFont val="Arial"/>
            <family val="2"/>
          </rPr>
          <t>, Escriba el valor  EJECUTADO DE LOS CONTRATOS, cualquiera sera su modalidad y / o clase,.
El valor EJECUTADO, corresponde a las OBLIGACIONES, que en POAI permitan evidenciar que los bienes y /o servicios fueron recibidos a satisfacción.</t>
        </r>
        <r>
          <rPr>
            <sz val="9"/>
            <rFont val="Tahoma"/>
            <family val="2"/>
          </rPr>
          <t xml:space="preserve">
</t>
        </r>
        <r>
          <rPr>
            <b/>
            <sz val="9"/>
            <rFont val="Tahoma"/>
            <family val="2"/>
          </rPr>
          <t xml:space="preserve">
</t>
        </r>
      </text>
    </comment>
  </commentList>
</comments>
</file>

<file path=xl/comments14.xml><?xml version="1.0" encoding="utf-8"?>
<comments xmlns="http://schemas.openxmlformats.org/spreadsheetml/2006/main">
  <authors>
    <author>User</author>
    <author>Maria Aleyda</author>
  </authors>
  <commentList>
    <comment ref="D6" authorId="0">
      <text>
        <r>
          <rPr>
            <b/>
            <sz val="9"/>
            <rFont val="Tahoma"/>
            <family val="2"/>
          </rPr>
          <t>INVERSIÓN:</t>
        </r>
        <r>
          <rPr>
            <sz val="9"/>
            <rFont val="Tahoma"/>
            <family val="2"/>
          </rPr>
          <t xml:space="preserve"> Registre la programación de las METAS, según la distribución que para las mismas, registra el PLAN INDICATIVO, para la vigencia que se va a medir.</t>
        </r>
      </text>
    </comment>
    <comment ref="E6" authorId="1">
      <text>
        <r>
          <rPr>
            <sz val="9"/>
            <rFont val="Tahoma"/>
            <family val="2"/>
          </rPr>
          <t>Registrar el AVANCE DE LA META, a la fecha de corte de la medidión y seguimiento.</t>
        </r>
      </text>
    </comment>
    <comment ref="F6" authorId="1">
      <text>
        <r>
          <rPr>
            <sz val="9"/>
            <rFont val="Tahoma"/>
            <family val="2"/>
          </rPr>
          <t xml:space="preserve">Registre en forma porcentual el AVANCE que en valores nominales, fueron reportados en la columna anterior, para el corde de medición que se informa.
</t>
        </r>
      </text>
    </comment>
    <comment ref="G6" authorId="0">
      <text>
        <r>
          <rPr>
            <b/>
            <sz val="9"/>
            <rFont val="Tahoma"/>
            <family val="2"/>
          </rPr>
          <t>Si es Inversión:</t>
        </r>
        <r>
          <rPr>
            <sz val="9"/>
            <rFont val="Tahoma"/>
            <family val="2"/>
          </rPr>
          <t xml:space="preserve"> Escriba el numero y el nombre del proyecto que aparece en el POAI</t>
        </r>
      </text>
    </comment>
    <comment ref="H6" authorId="1">
      <text>
        <r>
          <rPr>
            <sz val="9"/>
            <rFont val="Tahoma"/>
            <family val="2"/>
          </rPr>
          <t xml:space="preserve">Relacione en esta columna, para cada uno de los PROYECTOS DE INVERSION, cada una de las actividades registradas en el BPPID.
</t>
        </r>
      </text>
    </comment>
    <comment ref="I6" authorId="0">
      <text>
        <r>
          <rPr>
            <sz val="9"/>
            <rFont val="Tahoma"/>
            <family val="2"/>
          </rPr>
          <t xml:space="preserve">Se registra el valor programado para cada uno de los PROYECTOS en el POAI., (PCT SRIA. DE HACIENDA).
 El valor debe expresarse  en miles de $. Es decir: que para millones se suprimen 3 ceros . Ejemplo: para describir diez millones, se escribe 10.000, para treinta millones, se escribe 30.000, para quinientos mil, se escribe 500. </t>
        </r>
      </text>
    </comment>
    <comment ref="J6" authorId="1">
      <text>
        <r>
          <rPr>
            <sz val="9"/>
            <rFont val="Tahoma"/>
            <family val="2"/>
          </rPr>
          <t>Se registra el VALOR EJECUTADO, para cada uno de los PROYECTOS en el POAI., (PCT SRIA. DE HACIENDA).
El valor EJECUTADO, corresponde a las OBLIGACIONES, que en POAI permitan evidenciar que los bienes y /o servicios fueron recibidos a satisfacción.</t>
        </r>
      </text>
    </comment>
    <comment ref="K6" authorId="1">
      <text>
        <r>
          <rPr>
            <sz val="9"/>
            <rFont val="Tahoma"/>
            <family val="2"/>
          </rPr>
          <t xml:space="preserve">Informe el porcentaje de ejecución, de acuerdo a los valores nominales, que informa el POAI. (PCT SRIA. DE HACIENDA).
</t>
        </r>
      </text>
    </comment>
    <comment ref="L6" authorId="0">
      <text>
        <r>
          <rPr>
            <b/>
            <sz val="9"/>
            <rFont val="Tahoma"/>
            <family val="2"/>
          </rPr>
          <t>Inversión</t>
        </r>
        <r>
          <rPr>
            <sz val="9"/>
            <rFont val="Tahoma"/>
            <family val="2"/>
          </rPr>
          <t xml:space="preserve">. Escriba  el OBJETIVO GENERAL que se espera alcanzar, de acuerdo a la información contenida en el PROYECTO radicado en el BPPID, el cual debe ser coherente con las METAS DE PRODUCTO, ya informadas. </t>
        </r>
      </text>
    </comment>
    <comment ref="M6" authorId="0">
      <text>
        <r>
          <rPr>
            <b/>
            <sz val="9"/>
            <rFont val="Tahoma"/>
            <family val="2"/>
          </rPr>
          <t>Si es INVERSIÓN</t>
        </r>
        <r>
          <rPr>
            <sz val="9"/>
            <rFont val="Tahoma"/>
            <family val="2"/>
          </rPr>
          <t xml:space="preserve"> describa el resultado final alcanzado con el Proyecto ejecutado. </t>
        </r>
      </text>
    </comment>
    <comment ref="N6" authorId="1">
      <text>
        <r>
          <rPr>
            <sz val="9"/>
            <rFont val="Tahoma"/>
            <family val="2"/>
          </rPr>
          <t xml:space="preserve">Informar el númro de CONTRATOS, cualquiera sea su modalidad y/o clase, que a la fecha del corte de medición se han suscrito, con el  fin de materializar los PROYECTOS, APROBADOS EN EL POAI.  (COVI)
</t>
        </r>
      </text>
    </comment>
    <comment ref="O6" authorId="1">
      <text>
        <r>
          <rPr>
            <b/>
            <sz val="9"/>
            <rFont val="Tahoma"/>
            <family val="2"/>
          </rPr>
          <t>INVERSION:</t>
        </r>
        <r>
          <rPr>
            <sz val="9"/>
            <rFont val="Tahoma"/>
            <family val="2"/>
          </rPr>
          <t xml:space="preserve"> Informear el valor total de los CONTRATOS SUSCRITOS, cualquiera sea su modalidad y /o clase.
Este valor corresponde al informado en el POAI, en la columna COMPROMISOS. (PCT, SRIA. DE HACIENDA).
</t>
        </r>
      </text>
    </comment>
    <comment ref="P6" authorId="0">
      <text>
        <r>
          <rPr>
            <b/>
            <sz val="9"/>
            <rFont val="Arial"/>
            <family val="2"/>
          </rPr>
          <t>INVERSIÓN</t>
        </r>
        <r>
          <rPr>
            <sz val="9"/>
            <rFont val="Arial"/>
            <family val="2"/>
          </rPr>
          <t>, Escriba el valor  EJECUTADO DE LOS CONTRATOS, cualquiera sera su modalidad y / o clase,.
El valor EJECUTADO, corresponde a las OBLIGACIONES, que en POAI permitan evidenciar que los bienes y /o servicios fueron recibidos a satisfacción.</t>
        </r>
        <r>
          <rPr>
            <sz val="9"/>
            <rFont val="Tahoma"/>
            <family val="2"/>
          </rPr>
          <t xml:space="preserve">
</t>
        </r>
        <r>
          <rPr>
            <b/>
            <sz val="9"/>
            <rFont val="Tahoma"/>
            <family val="2"/>
          </rPr>
          <t xml:space="preserve">
</t>
        </r>
      </text>
    </comment>
    <comment ref="Q6" authorId="1">
      <text>
        <r>
          <rPr>
            <sz val="9"/>
            <rFont val="Tahoma"/>
            <family val="2"/>
          </rPr>
          <t xml:space="preserve">Este valor corresponde al informado en la columna OBLIGACIONES del POAI 2013.  (PCT, SRIA. DE HACIENDA).
</t>
        </r>
      </text>
    </comment>
  </commentList>
</comments>
</file>

<file path=xl/comments15.xml><?xml version="1.0" encoding="utf-8"?>
<comments xmlns="http://schemas.openxmlformats.org/spreadsheetml/2006/main">
  <authors>
    <author>User</author>
    <author>Maria Aleyda</author>
  </authors>
  <commentList>
    <comment ref="G6" authorId="0">
      <text>
        <r>
          <rPr>
            <b/>
            <sz val="9"/>
            <rFont val="Tahoma"/>
            <family val="2"/>
          </rPr>
          <t>Si es Inversión:</t>
        </r>
        <r>
          <rPr>
            <sz val="9"/>
            <rFont val="Tahoma"/>
            <family val="2"/>
          </rPr>
          <t xml:space="preserve"> Escriba el numero y el nombre del proyecto que aparece en el POAI</t>
        </r>
      </text>
    </comment>
    <comment ref="A6" authorId="0">
      <text>
        <r>
          <rPr>
            <b/>
            <sz val="10"/>
            <rFont val="Arial"/>
            <family val="2"/>
          </rPr>
          <t>Inversión:</t>
        </r>
        <r>
          <rPr>
            <sz val="10"/>
            <rFont val="Arial"/>
            <family val="2"/>
          </rPr>
          <t xml:space="preserve"> Escriba el rubro asignado en el PLAN INDICATIVO,  el número que identifica la Política, el Programa, el Subprograma, la meta y su respectiva clasificación; si se trata de una META de Mantenimiento, de Incremento o de Reducción.
</t>
        </r>
      </text>
    </comment>
    <comment ref="B6" authorId="0">
      <text>
        <r>
          <rPr>
            <b/>
            <sz val="9"/>
            <rFont val="Tahoma"/>
            <family val="2"/>
          </rPr>
          <t>Si es INVERSIÓN</t>
        </r>
        <r>
          <rPr>
            <sz val="9"/>
            <rFont val="Tahoma"/>
            <family val="2"/>
          </rPr>
          <t xml:space="preserve">, Escriba el nombre de la META del Plan de Desarrollo, que se pretenden lograr total ó parcialmente con el proyecto que se va ha ejecutar.
</t>
        </r>
      </text>
    </comment>
    <comment ref="C6" authorId="0">
      <text>
        <r>
          <rPr>
            <b/>
            <sz val="9"/>
            <rFont val="Tahoma"/>
            <family val="2"/>
          </rPr>
          <t>Si es INVERSIÓN</t>
        </r>
        <r>
          <rPr>
            <sz val="9"/>
            <rFont val="Tahoma"/>
            <family val="2"/>
          </rPr>
          <t xml:space="preserve">, Escriba el indicador asignado en el PLAN DE DESARROLLO y PLAN INDICATIVO 2012-2015, par la Meta  descrita en la columna anterior.  
</t>
        </r>
        <r>
          <rPr>
            <b/>
            <sz val="9"/>
            <rFont val="Tahoma"/>
            <family val="2"/>
          </rPr>
          <t xml:space="preserve">FUNCIONAMIENTO: </t>
        </r>
        <r>
          <rPr>
            <sz val="9"/>
            <rFont val="Tahoma"/>
            <family val="2"/>
          </rPr>
          <t>Noaplica.</t>
        </r>
      </text>
    </comment>
    <comment ref="D6" authorId="0">
      <text>
        <r>
          <rPr>
            <b/>
            <sz val="9"/>
            <rFont val="Tahoma"/>
            <family val="2"/>
          </rPr>
          <t>INVERSIÓN:</t>
        </r>
        <r>
          <rPr>
            <sz val="9"/>
            <rFont val="Tahoma"/>
            <family val="2"/>
          </rPr>
          <t xml:space="preserve"> Registre la programación de las METAS, según la distribución que para las mismas, registra el PLAN INDICATIVO, para la vigencia que se va a medir.</t>
        </r>
      </text>
    </comment>
    <comment ref="E6" authorId="1">
      <text>
        <r>
          <rPr>
            <sz val="9"/>
            <rFont val="Tahoma"/>
            <family val="2"/>
          </rPr>
          <t>Registrar el AVANCE DE LA META, a la fecha de corte de la medidión y seguimiento.</t>
        </r>
      </text>
    </comment>
    <comment ref="F6" authorId="1">
      <text>
        <r>
          <rPr>
            <sz val="9"/>
            <rFont val="Tahoma"/>
            <family val="2"/>
          </rPr>
          <t xml:space="preserve">Registre en forma porcentual el AVANCE que en valores nominales, fueron reportados en la columna anterior, para el corde de medición que se informa.
</t>
        </r>
      </text>
    </comment>
    <comment ref="H6" authorId="1">
      <text>
        <r>
          <rPr>
            <sz val="9"/>
            <rFont val="Tahoma"/>
            <family val="2"/>
          </rPr>
          <t xml:space="preserve">Relacione en esta columna, para cada uno de los PROYECTOS DE INVERSION, cada una de las actividades registradas en el BPPID.
</t>
        </r>
      </text>
    </comment>
    <comment ref="I6" authorId="0">
      <text>
        <r>
          <rPr>
            <sz val="9"/>
            <rFont val="Tahoma"/>
            <family val="2"/>
          </rPr>
          <t xml:space="preserve">Se registra el valor programado para cada uno de los PROYECTOS en el POAI., (PCT SRIA. DE HACIENDA).
 El valor debe expresarse  en miles de $. Es decir: que para millones se suprimen 3 ceros . Ejemplo: para describir diez millones, se escribe 10.000, para treinta millones, se escribe 30.000, para quinientos mil, se escribe 500. </t>
        </r>
      </text>
    </comment>
    <comment ref="J6" authorId="1">
      <text>
        <r>
          <rPr>
            <sz val="9"/>
            <rFont val="Tahoma"/>
            <family val="2"/>
          </rPr>
          <t>Se registra el VALOR EJECUTADO, para cada uno de los PROYECTOS en el POAI., (PCT SRIA. DE HACIENDA).
El valor EJECUTADO, corresponde a las OBLIGACIONES, que en POAI permitan evidenciar que los bienes y /o servicios fueron recibidos a satisfacción.</t>
        </r>
      </text>
    </comment>
    <comment ref="K6" authorId="1">
      <text>
        <r>
          <rPr>
            <sz val="9"/>
            <rFont val="Tahoma"/>
            <family val="2"/>
          </rPr>
          <t xml:space="preserve">Informe el porcentaje de ejecución, de acuerdo a los valores nominales, que informa el POAI. (PCT SRIA. DE HACIENDA).
</t>
        </r>
      </text>
    </comment>
    <comment ref="L6" authorId="0">
      <text>
        <r>
          <rPr>
            <b/>
            <sz val="9"/>
            <rFont val="Tahoma"/>
            <family val="2"/>
          </rPr>
          <t>Inversión</t>
        </r>
        <r>
          <rPr>
            <sz val="9"/>
            <rFont val="Tahoma"/>
            <family val="2"/>
          </rPr>
          <t xml:space="preserve">. Escriba  el OBJETIVO GENERAL que se espera alcanzar, de acuerdo a la información contenida en el PROYECTO radicado en el BPPID, el cual debe ser coherente con las METAS DE PRODUCTO, ya informadas. </t>
        </r>
      </text>
    </comment>
    <comment ref="M6" authorId="0">
      <text>
        <r>
          <rPr>
            <b/>
            <sz val="9"/>
            <rFont val="Tahoma"/>
            <family val="2"/>
          </rPr>
          <t>Si es INVERSIÓN</t>
        </r>
        <r>
          <rPr>
            <sz val="9"/>
            <rFont val="Tahoma"/>
            <family val="2"/>
          </rPr>
          <t xml:space="preserve"> describa el resultado final del contrato, que debe estar articulado a los requerimientos del proyecto y la meta.
</t>
        </r>
        <r>
          <rPr>
            <b/>
            <sz val="9"/>
            <rFont val="Tahoma"/>
            <family val="2"/>
          </rPr>
          <t xml:space="preserve">
</t>
        </r>
      </text>
    </comment>
    <comment ref="N6" authorId="1">
      <text>
        <r>
          <rPr>
            <sz val="9"/>
            <rFont val="Tahoma"/>
            <family val="2"/>
          </rPr>
          <t xml:space="preserve">Informar el númro de CONTRATOS, cualquiera sea su modalidad y/o clase, que a la fecha del corte de medición se han suscrito, con el  fin de materializar los PROYECTOS, APROBADOS EN EL POAI.  (COVI)
</t>
        </r>
      </text>
    </comment>
    <comment ref="O6" authorId="1">
      <text>
        <r>
          <rPr>
            <b/>
            <sz val="9"/>
            <rFont val="Tahoma"/>
            <family val="2"/>
          </rPr>
          <t>INVERSION:</t>
        </r>
        <r>
          <rPr>
            <sz val="9"/>
            <rFont val="Tahoma"/>
            <family val="2"/>
          </rPr>
          <t xml:space="preserve"> Informear el valor total de los CONTRATOS SUSCRITOS, cualquiera sea su modalidad y /o clase.
Este valor corresponde al informado en el POAI, en la columna COMPROMISOS. (PCT, SRIA. DE HACIENDA).
</t>
        </r>
      </text>
    </comment>
    <comment ref="P6" authorId="0">
      <text>
        <r>
          <rPr>
            <b/>
            <sz val="9"/>
            <rFont val="Arial"/>
            <family val="2"/>
          </rPr>
          <t>INVERSIÓN</t>
        </r>
        <r>
          <rPr>
            <sz val="9"/>
            <rFont val="Arial"/>
            <family val="2"/>
          </rPr>
          <t>, Escriba el valor  EJECUTADO DE LOS CONTRATOS, cualquiera sera su modalidad y / o clase,.
El valor EJECUTADO, corresponde a las OBLIGACIONES, que en POAI permitan evidenciar que los bienes y /o servicios fueron recibidos a satisfacción.</t>
        </r>
        <r>
          <rPr>
            <sz val="9"/>
            <rFont val="Tahoma"/>
            <family val="2"/>
          </rPr>
          <t xml:space="preserve">
</t>
        </r>
        <r>
          <rPr>
            <b/>
            <sz val="9"/>
            <rFont val="Tahoma"/>
            <family val="2"/>
          </rPr>
          <t xml:space="preserve">
</t>
        </r>
      </text>
    </comment>
  </commentList>
</comments>
</file>

<file path=xl/comments16.xml><?xml version="1.0" encoding="utf-8"?>
<comments xmlns="http://schemas.openxmlformats.org/spreadsheetml/2006/main">
  <authors>
    <author>User</author>
    <author>Maria Aleyda</author>
  </authors>
  <commentList>
    <comment ref="P6" authorId="0">
      <text>
        <r>
          <rPr>
            <b/>
            <sz val="9"/>
            <rFont val="Arial"/>
            <family val="2"/>
          </rPr>
          <t>INVERSIÓN</t>
        </r>
        <r>
          <rPr>
            <sz val="9"/>
            <rFont val="Arial"/>
            <family val="2"/>
          </rPr>
          <t>, Escriba el valor  EJECUTADO DE LOS CONTRATOS, cualquiera sera su modalidad y / o clase,.
El valor EJECUTADO, corresponde a las OBLIGACIONES, que en POAI permitan evidenciar que los bienes y /o servicios fueron recibidos a satisfacción.</t>
        </r>
        <r>
          <rPr>
            <sz val="9"/>
            <rFont val="Tahoma"/>
            <family val="2"/>
          </rPr>
          <t xml:space="preserve">
</t>
        </r>
        <r>
          <rPr>
            <b/>
            <sz val="9"/>
            <rFont val="Tahoma"/>
            <family val="2"/>
          </rPr>
          <t xml:space="preserve">
</t>
        </r>
      </text>
    </comment>
    <comment ref="A6" authorId="0">
      <text>
        <r>
          <rPr>
            <b/>
            <sz val="10"/>
            <rFont val="Arial"/>
            <family val="2"/>
          </rPr>
          <t>Inversión:</t>
        </r>
        <r>
          <rPr>
            <sz val="10"/>
            <rFont val="Arial"/>
            <family val="2"/>
          </rPr>
          <t xml:space="preserve"> Escriba el rubro asignado en el PLAN INDICATIVO,  el número que identifica la Política, el Programa, el Subprograma, la meta y su respectiva clasificación; si se trata de una META de Mantenimiento, de Incremento o de Reducción.
</t>
        </r>
      </text>
    </comment>
    <comment ref="B6" authorId="0">
      <text>
        <r>
          <rPr>
            <b/>
            <sz val="9"/>
            <rFont val="Tahoma"/>
            <family val="2"/>
          </rPr>
          <t>Si es INVERSIÓN</t>
        </r>
        <r>
          <rPr>
            <sz val="9"/>
            <rFont val="Tahoma"/>
            <family val="2"/>
          </rPr>
          <t xml:space="preserve">, Escriba el nombre de la META del Plan de Desarrollo, que se pretenden lograr total ó parcialmente con el proyecto que se va ha ejecutar.
</t>
        </r>
      </text>
    </comment>
    <comment ref="C6" authorId="0">
      <text>
        <r>
          <rPr>
            <b/>
            <sz val="9"/>
            <rFont val="Tahoma"/>
            <family val="2"/>
          </rPr>
          <t>Si es INVERSIÓN</t>
        </r>
        <r>
          <rPr>
            <sz val="9"/>
            <rFont val="Tahoma"/>
            <family val="2"/>
          </rPr>
          <t xml:space="preserve">, Escriba el indicador asignado en el PLAN DE DESARROLLO y PLAN INDICATIVO 2012-2015, par la Meta  descrita en la columna anterior.  
</t>
        </r>
        <r>
          <rPr>
            <b/>
            <sz val="9"/>
            <rFont val="Tahoma"/>
            <family val="2"/>
          </rPr>
          <t xml:space="preserve">FUNCIONAMIENTO: </t>
        </r>
        <r>
          <rPr>
            <sz val="9"/>
            <rFont val="Tahoma"/>
            <family val="2"/>
          </rPr>
          <t>Noaplica.</t>
        </r>
      </text>
    </comment>
    <comment ref="G6" authorId="0">
      <text>
        <r>
          <rPr>
            <b/>
            <sz val="9"/>
            <rFont val="Tahoma"/>
            <family val="2"/>
          </rPr>
          <t>Si es Inversión:</t>
        </r>
        <r>
          <rPr>
            <sz val="9"/>
            <rFont val="Tahoma"/>
            <family val="2"/>
          </rPr>
          <t xml:space="preserve"> Escriba el numero y el nombre del proyecto que aparece en el POAI</t>
        </r>
      </text>
    </comment>
    <comment ref="I6" authorId="0">
      <text>
        <r>
          <rPr>
            <sz val="9"/>
            <rFont val="Tahoma"/>
            <family val="2"/>
          </rPr>
          <t xml:space="preserve">Se registra el valor programado para cada uno de los PROYECTOS en el POAI., (PCT SRIA. DE HACIENDA).
 El valor debe expresarse  en miles de $. Es decir: que para millones se suprimen 3 ceros . Ejemplo: para describir diez millones, se escribe 10.000, para treinta millones, se escribe 30.000, para quinientos mil, se escribe 500. </t>
        </r>
      </text>
    </comment>
    <comment ref="L6" authorId="0">
      <text>
        <r>
          <rPr>
            <b/>
            <sz val="9"/>
            <rFont val="Tahoma"/>
            <family val="2"/>
          </rPr>
          <t>Inversión</t>
        </r>
        <r>
          <rPr>
            <sz val="9"/>
            <rFont val="Tahoma"/>
            <family val="2"/>
          </rPr>
          <t xml:space="preserve">. Escriba  el OBJETIVO GENERAL que se espera alcanzar, de acuerdo a la información contenida en el PROYECTO radicado en el BPPID, el cual debe ser coherente con las METAS DE PRODUCTO, ya informadas. </t>
        </r>
      </text>
    </comment>
    <comment ref="M6" authorId="0">
      <text>
        <r>
          <rPr>
            <b/>
            <sz val="9"/>
            <rFont val="Tahoma"/>
            <family val="2"/>
          </rPr>
          <t>Si es INVERSIÓN</t>
        </r>
        <r>
          <rPr>
            <sz val="9"/>
            <rFont val="Tahoma"/>
            <family val="2"/>
          </rPr>
          <t xml:space="preserve"> describa el resultado final del contrato, que debe estar articulado a los requerimientos del proyecto y la meta.
</t>
        </r>
        <r>
          <rPr>
            <b/>
            <sz val="9"/>
            <rFont val="Tahoma"/>
            <family val="2"/>
          </rPr>
          <t xml:space="preserve">
</t>
        </r>
      </text>
    </comment>
    <comment ref="D6" authorId="0">
      <text>
        <r>
          <rPr>
            <b/>
            <sz val="9"/>
            <rFont val="Tahoma"/>
            <family val="2"/>
          </rPr>
          <t>INVERSIÓN:</t>
        </r>
        <r>
          <rPr>
            <sz val="9"/>
            <rFont val="Tahoma"/>
            <family val="2"/>
          </rPr>
          <t xml:space="preserve"> Registre la programación de las METAS, según la distribución que para las mismas, registra el PLAN INDICATIVO, para la vigencia que se va a medir.</t>
        </r>
      </text>
    </comment>
    <comment ref="E6" authorId="1">
      <text>
        <r>
          <rPr>
            <sz val="9"/>
            <rFont val="Tahoma"/>
            <family val="2"/>
          </rPr>
          <t>Registrar el AVANCE DE LA META, a la fecha de corte de la medidión y seguimiento.</t>
        </r>
      </text>
    </comment>
    <comment ref="F6" authorId="1">
      <text>
        <r>
          <rPr>
            <sz val="9"/>
            <rFont val="Tahoma"/>
            <family val="2"/>
          </rPr>
          <t xml:space="preserve">Registre en forma porcentual el AVANCE que en valores nominales, fueron reportados en la columna anterior, para el corde de medición que se informa.
</t>
        </r>
      </text>
    </comment>
    <comment ref="H6" authorId="1">
      <text>
        <r>
          <rPr>
            <sz val="9"/>
            <rFont val="Tahoma"/>
            <family val="2"/>
          </rPr>
          <t xml:space="preserve">Relacione en esta columna, para cada uno de los PROYECTOS DE INVERSION, cada una de las actividades registradas en el BPPID.
</t>
        </r>
      </text>
    </comment>
    <comment ref="J6" authorId="1">
      <text>
        <r>
          <rPr>
            <sz val="9"/>
            <rFont val="Tahoma"/>
            <family val="2"/>
          </rPr>
          <t>Se registra el VALOR EJECUTADO, para cada uno de los PROYECTOS en el POAI., (PCT SRIA. DE HACIENDA).
El valor EJECUTADO, corresponde a las OBLIGACIONES, que en POAI permitan evidenciar que los bienes y /o servicios fueron recibidos a satisfacción.</t>
        </r>
      </text>
    </comment>
    <comment ref="K6" authorId="1">
      <text>
        <r>
          <rPr>
            <sz val="9"/>
            <rFont val="Tahoma"/>
            <family val="2"/>
          </rPr>
          <t xml:space="preserve">Informe el porcentaje de ejecución, de acuerdo a los valores nominales, que informa el POAI. (PCT SRIA. DE HACIENDA).
</t>
        </r>
      </text>
    </comment>
    <comment ref="N6" authorId="1">
      <text>
        <r>
          <rPr>
            <sz val="9"/>
            <rFont val="Tahoma"/>
            <family val="2"/>
          </rPr>
          <t xml:space="preserve">Informar el númro de CONTRATOS, cualquiera sea su modalidad y/o clase, que a la fecha del corte de medición se han suscrito, con el  fin de materializar los PROYECTOS, APROBADOS EN EL POAI.  (COVI)
</t>
        </r>
      </text>
    </comment>
    <comment ref="O6" authorId="1">
      <text>
        <r>
          <rPr>
            <b/>
            <sz val="9"/>
            <rFont val="Tahoma"/>
            <family val="2"/>
          </rPr>
          <t>INVERSION:</t>
        </r>
        <r>
          <rPr>
            <sz val="9"/>
            <rFont val="Tahoma"/>
            <family val="2"/>
          </rPr>
          <t xml:space="preserve"> Informear el valor total de los CONTRATOS SUSCRITOS, cualquiera sea su modalidad y /o clase.
Este valor corresponde al informado en el POAI, en la columna COMPROMISOS. (PCT, SRIA. DE HACIENDA).
</t>
        </r>
      </text>
    </comment>
  </commentList>
</comments>
</file>

<file path=xl/comments2.xml><?xml version="1.0" encoding="utf-8"?>
<comments xmlns="http://schemas.openxmlformats.org/spreadsheetml/2006/main">
  <authors>
    <author>User</author>
    <author>Maria Aleyda</author>
  </authors>
  <commentList>
    <comment ref="A5" authorId="0">
      <text>
        <r>
          <rPr>
            <sz val="9"/>
            <rFont val="Tahoma"/>
            <family val="2"/>
          </rPr>
          <t>Información del Plan de Desarrollo</t>
        </r>
      </text>
    </comment>
    <comment ref="G5" authorId="0">
      <text>
        <r>
          <rPr>
            <sz val="9"/>
            <rFont val="Tahoma"/>
            <family val="2"/>
          </rPr>
          <t>Informacion del Proyecto con el que se lograran los propositos del Plan de Desarrollo</t>
        </r>
      </text>
    </comment>
    <comment ref="S6" authorId="0">
      <text>
        <r>
          <rPr>
            <b/>
            <sz val="9"/>
            <rFont val="Tahoma"/>
            <family val="2"/>
          </rPr>
          <t>Si es INVERSION</t>
        </r>
        <r>
          <rPr>
            <sz val="9"/>
            <rFont val="Tahoma"/>
            <family val="2"/>
          </rPr>
          <t xml:space="preserve">. Escriba el nombre del contratista que ejecuta el contrato. 
</t>
        </r>
        <r>
          <rPr>
            <b/>
            <i/>
            <sz val="9"/>
            <rFont val="Tahoma"/>
            <family val="2"/>
          </rPr>
          <t>Si es Funcionamiento</t>
        </r>
        <r>
          <rPr>
            <i/>
            <sz val="9"/>
            <rFont val="Tahoma"/>
            <family val="2"/>
          </rPr>
          <t>. Escriba el nombre del funcionario que realiza las funciones.</t>
        </r>
      </text>
    </comment>
    <comment ref="D6" authorId="0">
      <text>
        <r>
          <rPr>
            <b/>
            <sz val="9"/>
            <rFont val="Tahoma"/>
            <family val="2"/>
          </rPr>
          <t>INVERSIÓN:</t>
        </r>
        <r>
          <rPr>
            <sz val="9"/>
            <rFont val="Tahoma"/>
            <family val="2"/>
          </rPr>
          <t xml:space="preserve"> Registre la programación de las METAS, según la distribución que para las mismas, registra el PLAN INDICATIVO, para la vigencia que se va a medir.</t>
        </r>
      </text>
    </comment>
    <comment ref="E6" authorId="1">
      <text>
        <r>
          <rPr>
            <sz val="9"/>
            <rFont val="Tahoma"/>
            <family val="2"/>
          </rPr>
          <t>Registrar el AVANCE DE LA META, a la fecha de corte de la medidión y seguimiento.</t>
        </r>
      </text>
    </comment>
    <comment ref="F6" authorId="1">
      <text>
        <r>
          <rPr>
            <sz val="9"/>
            <rFont val="Tahoma"/>
            <family val="2"/>
          </rPr>
          <t xml:space="preserve">Registre en forma porcentual el AVANCE que en valores nominales, fueron reportados en la columna anterior, para el corde de medición que se informa.
</t>
        </r>
      </text>
    </comment>
    <comment ref="G6" authorId="0">
      <text>
        <r>
          <rPr>
            <b/>
            <sz val="9"/>
            <rFont val="Tahoma"/>
            <family val="2"/>
          </rPr>
          <t>Si es Inversión:</t>
        </r>
        <r>
          <rPr>
            <sz val="9"/>
            <rFont val="Tahoma"/>
            <family val="2"/>
          </rPr>
          <t xml:space="preserve"> Escriba el numero y el nombre del proyecto que aparece en el POAI</t>
        </r>
      </text>
    </comment>
    <comment ref="H6" authorId="1">
      <text>
        <r>
          <rPr>
            <sz val="9"/>
            <rFont val="Tahoma"/>
            <family val="2"/>
          </rPr>
          <t xml:space="preserve">Relacione en esta columna, para cada uno de los PROYECTOS DE INVERSION, cada una de las actividades registradas en el BPPID.
</t>
        </r>
      </text>
    </comment>
    <comment ref="I6" authorId="0">
      <text>
        <r>
          <rPr>
            <sz val="9"/>
            <rFont val="Tahoma"/>
            <family val="2"/>
          </rPr>
          <t xml:space="preserve">Se registra el valor programado para cada uno de los PROYECTOS en el POAI., (PCT SRIA. DE HACIENDA).
 El valor debe expresarse  en miles de $. Es decir: que para millones se suprimen 3 ceros . Ejemplo: para describir diez millones, se escribe 10.000, para treinta millones, se escribe 30.000, para quinientos mil, se escribe 500. </t>
        </r>
      </text>
    </comment>
    <comment ref="J6" authorId="1">
      <text>
        <r>
          <rPr>
            <sz val="9"/>
            <rFont val="Tahoma"/>
            <family val="2"/>
          </rPr>
          <t>Se registra el VALOR EJECUTADO, para cada uno de los PROYECTOS en el POAI., (PCT SRIA. DE HACIENDA).
El valor EJECUTADO, corresponde a las OBLIGACIONES, que en POAI permitan evidenciar que los bienes y /o servicios fueron recibidos a satisfacción.</t>
        </r>
      </text>
    </comment>
    <comment ref="K6" authorId="1">
      <text>
        <r>
          <rPr>
            <sz val="9"/>
            <rFont val="Tahoma"/>
            <family val="2"/>
          </rPr>
          <t xml:space="preserve">Informe el porcentaje de ejecución, de acuerdo a los valores nominales, que informa el POAI. (PCT SRIA. DE HACIENDA).
</t>
        </r>
      </text>
    </comment>
    <comment ref="L6" authorId="0">
      <text>
        <r>
          <rPr>
            <b/>
            <sz val="9"/>
            <rFont val="Tahoma"/>
            <family val="2"/>
          </rPr>
          <t>Inversión</t>
        </r>
        <r>
          <rPr>
            <sz val="9"/>
            <rFont val="Tahoma"/>
            <family val="2"/>
          </rPr>
          <t xml:space="preserve">. Escriba  el OBJETIVO GENERAL que se espera alcanzar, de acuerdo a la información contenida en el PROYECTO radicado en el BPPID, el cual debe ser coherente con las METAS DE PRODUCTO, ya informadas. </t>
        </r>
      </text>
    </comment>
    <comment ref="N6" authorId="1">
      <text>
        <r>
          <rPr>
            <sz val="9"/>
            <rFont val="Tahoma"/>
            <family val="2"/>
          </rPr>
          <t xml:space="preserve">Informar el númro de CONTRATOS, cualquiera sea su modalidad y/o clase, que a la fecha del corte de medición se han suscrito, con el  fin de materializar los PROYECTOS, APROBADOS EN EL POAI.  (COVI)
</t>
        </r>
      </text>
    </comment>
    <comment ref="O6" authorId="1">
      <text>
        <r>
          <rPr>
            <b/>
            <sz val="9"/>
            <rFont val="Tahoma"/>
            <family val="2"/>
          </rPr>
          <t>INVERSION:</t>
        </r>
        <r>
          <rPr>
            <sz val="9"/>
            <rFont val="Tahoma"/>
            <family val="2"/>
          </rPr>
          <t xml:space="preserve"> Informear el valor total de los CONTRATOS SUSCRITOS, cualquiera sea su modalidad y /o clase.
Este valor corresponde al informado en el POAI, en la columna COMPROMISOS. (PCT, SRIA. DE HACIENDA).
</t>
        </r>
      </text>
    </comment>
    <comment ref="P6" authorId="0">
      <text>
        <r>
          <rPr>
            <b/>
            <sz val="9"/>
            <rFont val="Arial"/>
            <family val="2"/>
          </rPr>
          <t>INVERSIÓN</t>
        </r>
        <r>
          <rPr>
            <sz val="9"/>
            <rFont val="Arial"/>
            <family val="2"/>
          </rPr>
          <t>, Escriba el valor  EJECUTADO DE LOS CONTRATOS, cualquiera sera su modalidad y / o clase,.
El valor EJECUTADO, corresponde a las OBLIGACIONES, que en POAI permitan evidenciar que los bienes y /o servicios fueron recibidos a satisfacción.</t>
        </r>
        <r>
          <rPr>
            <sz val="9"/>
            <rFont val="Tahoma"/>
            <family val="2"/>
          </rPr>
          <t xml:space="preserve">
</t>
        </r>
        <r>
          <rPr>
            <b/>
            <sz val="9"/>
            <rFont val="Tahoma"/>
            <family val="2"/>
          </rPr>
          <t xml:space="preserve">
</t>
        </r>
      </text>
    </comment>
    <comment ref="Q6" authorId="1">
      <text>
        <r>
          <rPr>
            <sz val="9"/>
            <rFont val="Tahoma"/>
            <family val="2"/>
          </rPr>
          <t xml:space="preserve">Este valor corresponde al informado en la columna OBLIGACIONES del POAI 2013.  (PCT, SRIA. DE HACIENDA).
</t>
        </r>
      </text>
    </comment>
  </commentList>
</comments>
</file>

<file path=xl/comments3.xml><?xml version="1.0" encoding="utf-8"?>
<comments xmlns="http://schemas.openxmlformats.org/spreadsheetml/2006/main">
  <authors>
    <author>User</author>
    <author>Maria Aleyda</author>
  </authors>
  <commentList>
    <comment ref="A5" authorId="0">
      <text>
        <r>
          <rPr>
            <sz val="9"/>
            <rFont val="Tahoma"/>
            <family val="2"/>
          </rPr>
          <t>Información del Plan de Desarrollo</t>
        </r>
      </text>
    </comment>
    <comment ref="G5" authorId="0">
      <text>
        <r>
          <rPr>
            <sz val="9"/>
            <rFont val="Tahoma"/>
            <family val="2"/>
          </rPr>
          <t>Informacion del Proyecto con el que se lograran los propositos del Plan de Desarrollo</t>
        </r>
      </text>
    </comment>
    <comment ref="S6" authorId="0">
      <text>
        <r>
          <rPr>
            <b/>
            <sz val="9"/>
            <rFont val="Tahoma"/>
            <family val="2"/>
          </rPr>
          <t>Si es INVERSION</t>
        </r>
        <r>
          <rPr>
            <sz val="9"/>
            <rFont val="Tahoma"/>
            <family val="2"/>
          </rPr>
          <t xml:space="preserve">. Escriba el nombre del contratista que ejecuta el contrato. 
</t>
        </r>
        <r>
          <rPr>
            <b/>
            <i/>
            <sz val="9"/>
            <rFont val="Tahoma"/>
            <family val="2"/>
          </rPr>
          <t>Si es Funcionamiento</t>
        </r>
        <r>
          <rPr>
            <i/>
            <sz val="9"/>
            <rFont val="Tahoma"/>
            <family val="2"/>
          </rPr>
          <t>. Escriba el nombre del funcionario que realiza las funciones.</t>
        </r>
      </text>
    </comment>
    <comment ref="D6" authorId="0">
      <text>
        <r>
          <rPr>
            <b/>
            <sz val="9"/>
            <rFont val="Tahoma"/>
            <family val="2"/>
          </rPr>
          <t>INVERSIÓN:</t>
        </r>
        <r>
          <rPr>
            <sz val="9"/>
            <rFont val="Tahoma"/>
            <family val="2"/>
          </rPr>
          <t xml:space="preserve"> Registre la programación de las METAS, según la distribución que para las mismas, registra el PLAN INDICATIVO, para la vigencia que se va a medir.</t>
        </r>
      </text>
    </comment>
    <comment ref="E6" authorId="1">
      <text>
        <r>
          <rPr>
            <sz val="9"/>
            <rFont val="Tahoma"/>
            <family val="2"/>
          </rPr>
          <t>Registrar el AVANCE DE LA META, a la fecha de corte de la medidión y seguimiento.</t>
        </r>
      </text>
    </comment>
    <comment ref="F6" authorId="1">
      <text>
        <r>
          <rPr>
            <sz val="9"/>
            <rFont val="Tahoma"/>
            <family val="2"/>
          </rPr>
          <t xml:space="preserve">Registre en forma porcentual el AVANCE que en valores nominales, fueron reportados en la columna anterior, para el corde de medición que se informa.
</t>
        </r>
      </text>
    </comment>
    <comment ref="G6" authorId="0">
      <text>
        <r>
          <rPr>
            <b/>
            <sz val="9"/>
            <rFont val="Tahoma"/>
            <family val="2"/>
          </rPr>
          <t>Si es Inversión:</t>
        </r>
        <r>
          <rPr>
            <sz val="9"/>
            <rFont val="Tahoma"/>
            <family val="2"/>
          </rPr>
          <t xml:space="preserve"> Escriba el numero y el nombre del proyecto que aparece en el POAI</t>
        </r>
      </text>
    </comment>
    <comment ref="H6" authorId="1">
      <text>
        <r>
          <rPr>
            <sz val="9"/>
            <rFont val="Tahoma"/>
            <family val="2"/>
          </rPr>
          <t xml:space="preserve">Relacione en esta columna, para cada uno de los PROYECTOS DE INVERSION, cada una de las actividades registradas en el BPPID.
</t>
        </r>
      </text>
    </comment>
    <comment ref="I6" authorId="0">
      <text>
        <r>
          <rPr>
            <sz val="9"/>
            <rFont val="Tahoma"/>
            <family val="2"/>
          </rPr>
          <t xml:space="preserve">Se registra el valor programado para cada uno de los PROYECTOS en el POAI., (PCT SRIA. DE HACIENDA).
 El valor debe expresarse  en miles de $. Es decir: que para millones se suprimen 3 ceros . Ejemplo: para describir diez millones, se escribe 10.000, para treinta millones, se escribe 30.000, para quinientos mil, se escribe 500. </t>
        </r>
      </text>
    </comment>
    <comment ref="J6" authorId="1">
      <text>
        <r>
          <rPr>
            <sz val="9"/>
            <rFont val="Tahoma"/>
            <family val="2"/>
          </rPr>
          <t>Se registra el VALOR EJECUTADO, para cada uno de los PROYECTOS en el POAI., (PCT SRIA. DE HACIENDA).
El valor EJECUTADO, corresponde a las OBLIGACIONES, que en POAI permitan evidenciar que los bienes y /o servicios fueron recibidos a satisfacción.</t>
        </r>
      </text>
    </comment>
    <comment ref="K6" authorId="1">
      <text>
        <r>
          <rPr>
            <sz val="9"/>
            <rFont val="Tahoma"/>
            <family val="2"/>
          </rPr>
          <t xml:space="preserve">Informe el porcentaje de ejecución, de acuerdo a los valores nominales, que informa el POAI. (PCT SRIA. DE HACIENDA).
</t>
        </r>
      </text>
    </comment>
    <comment ref="L6" authorId="0">
      <text>
        <r>
          <rPr>
            <b/>
            <sz val="9"/>
            <rFont val="Tahoma"/>
            <family val="2"/>
          </rPr>
          <t>Inversión</t>
        </r>
        <r>
          <rPr>
            <sz val="9"/>
            <rFont val="Tahoma"/>
            <family val="2"/>
          </rPr>
          <t xml:space="preserve">. Escriba  el OBJETIVO GENERAL que se espera alcanzar, de acuerdo a la información contenida en el PROYECTO radicado en el BPPID, el cual debe ser coherente con las METAS DE PRODUCTO, ya informadas. </t>
        </r>
      </text>
    </comment>
    <comment ref="N6" authorId="1">
      <text>
        <r>
          <rPr>
            <sz val="9"/>
            <rFont val="Tahoma"/>
            <family val="2"/>
          </rPr>
          <t xml:space="preserve">Informar el númro de CONTRATOS, cualquiera sea su modalidad y/o clase, que a la fecha del corte de medición se han suscrito, con el  fin de materializar los PROYECTOS, APROBADOS EN EL POAI.  (COVI)
</t>
        </r>
      </text>
    </comment>
    <comment ref="O6" authorId="1">
      <text>
        <r>
          <rPr>
            <b/>
            <sz val="9"/>
            <rFont val="Tahoma"/>
            <family val="2"/>
          </rPr>
          <t>INVERSION:</t>
        </r>
        <r>
          <rPr>
            <sz val="9"/>
            <rFont val="Tahoma"/>
            <family val="2"/>
          </rPr>
          <t xml:space="preserve"> Informear el valor total de los CONTRATOS SUSCRITOS, cualquiera sea su modalidad y /o clase.
Este valor corresponde al informado en el POAI, en la columna COMPROMISOS. (PCT, SRIA. DE HACIENDA).
</t>
        </r>
      </text>
    </comment>
    <comment ref="P6" authorId="0">
      <text>
        <r>
          <rPr>
            <b/>
            <sz val="9"/>
            <rFont val="Arial"/>
            <family val="2"/>
          </rPr>
          <t>INVERSIÓN</t>
        </r>
        <r>
          <rPr>
            <sz val="9"/>
            <rFont val="Arial"/>
            <family val="2"/>
          </rPr>
          <t>, Escriba el valor  EJECUTADO DE LOS CONTRATOS, cualquiera sera su modalidad y / o clase,.
El valor EJECUTADO, corresponde a las OBLIGACIONES, que en POAI permitan evidenciar que los bienes y /o servicios fueron recibidos a satisfacción.</t>
        </r>
        <r>
          <rPr>
            <sz val="9"/>
            <rFont val="Tahoma"/>
            <family val="2"/>
          </rPr>
          <t xml:space="preserve">
</t>
        </r>
        <r>
          <rPr>
            <b/>
            <sz val="9"/>
            <rFont val="Tahoma"/>
            <family val="2"/>
          </rPr>
          <t xml:space="preserve">
</t>
        </r>
      </text>
    </comment>
  </commentList>
</comments>
</file>

<file path=xl/comments4.xml><?xml version="1.0" encoding="utf-8"?>
<comments xmlns="http://schemas.openxmlformats.org/spreadsheetml/2006/main">
  <authors>
    <author>User</author>
    <author>Maria Aleyda</author>
  </authors>
  <commentList>
    <comment ref="D6" authorId="0">
      <text>
        <r>
          <rPr>
            <b/>
            <sz val="9"/>
            <rFont val="Tahoma"/>
            <family val="2"/>
          </rPr>
          <t>INVERSIÓN:</t>
        </r>
        <r>
          <rPr>
            <sz val="9"/>
            <rFont val="Tahoma"/>
            <family val="2"/>
          </rPr>
          <t xml:space="preserve"> Registre la programación de las METAS, según la distribución que para las mismas, registra el PLAN INDICATIVO, para la vigencia que se va a medir.</t>
        </r>
      </text>
    </comment>
    <comment ref="E6" authorId="1">
      <text>
        <r>
          <rPr>
            <sz val="9"/>
            <rFont val="Tahoma"/>
            <family val="2"/>
          </rPr>
          <t>Registrar el AVANCE DE LA META, a la fecha de corte de la medidión y seguimiento.</t>
        </r>
      </text>
    </comment>
    <comment ref="F6" authorId="1">
      <text>
        <r>
          <rPr>
            <sz val="9"/>
            <rFont val="Tahoma"/>
            <family val="2"/>
          </rPr>
          <t xml:space="preserve">Registre en forma porcentual el AVANCE que en valores nominales, fueron reportados en la columna anterior, para el corde de medición que se informa.
</t>
        </r>
      </text>
    </comment>
    <comment ref="G6" authorId="0">
      <text>
        <r>
          <rPr>
            <b/>
            <sz val="9"/>
            <rFont val="Tahoma"/>
            <family val="2"/>
          </rPr>
          <t>Si es Inversión:</t>
        </r>
        <r>
          <rPr>
            <sz val="9"/>
            <rFont val="Tahoma"/>
            <family val="2"/>
          </rPr>
          <t xml:space="preserve"> Escriba el numero y el nombre del proyecto que aparece en el POAI</t>
        </r>
      </text>
    </comment>
    <comment ref="H6" authorId="1">
      <text>
        <r>
          <rPr>
            <sz val="9"/>
            <rFont val="Tahoma"/>
            <family val="2"/>
          </rPr>
          <t xml:space="preserve">Relacione en esta columna, para cada uno de los PROYECTOS DE INVERSION, cada una de las actividades registradas en el BPPID.
</t>
        </r>
      </text>
    </comment>
    <comment ref="I6" authorId="0">
      <text>
        <r>
          <rPr>
            <sz val="9"/>
            <rFont val="Tahoma"/>
            <family val="2"/>
          </rPr>
          <t xml:space="preserve">Se registra el valor programado para cada uno de los PROYECTOS en el POAI., (PCT SRIA. DE HACIENDA).
 El valor debe expresarse  en miles de $. Es decir: que para millones se suprimen 3 ceros . Ejemplo: para describir diez millones, se escribe 10.000, para treinta millones, se escribe 30.000, para quinientos mil, se escribe 500. </t>
        </r>
      </text>
    </comment>
    <comment ref="J6" authorId="1">
      <text>
        <r>
          <rPr>
            <sz val="9"/>
            <rFont val="Tahoma"/>
            <family val="2"/>
          </rPr>
          <t>Se registra el VALOR EJECUTADO, para cada uno de los PROYECTOS en el POAI., (PCT SRIA. DE HACIENDA).
El valor EJECUTADO, corresponde a las OBLIGACIONES, que en POAI permitan evidenciar que los bienes y /o servicios fueron recibidos a satisfacción.</t>
        </r>
      </text>
    </comment>
    <comment ref="K6" authorId="1">
      <text>
        <r>
          <rPr>
            <sz val="9"/>
            <rFont val="Tahoma"/>
            <family val="2"/>
          </rPr>
          <t xml:space="preserve">Informe el porcentaje de ejecución, de acuerdo a los valores nominales, que informa el POAI. (PCT SRIA. DE HACIENDA).
</t>
        </r>
      </text>
    </comment>
    <comment ref="L6" authorId="0">
      <text>
        <r>
          <rPr>
            <b/>
            <sz val="9"/>
            <rFont val="Tahoma"/>
            <family val="2"/>
          </rPr>
          <t>Inversión</t>
        </r>
        <r>
          <rPr>
            <sz val="9"/>
            <rFont val="Tahoma"/>
            <family val="2"/>
          </rPr>
          <t xml:space="preserve">. Escriba  el OBJETIVO GENERAL que se espera alcanzar, de acuerdo a la información contenida en el PROYECTO radicado en el BPPID, el cual debe ser coherente con las METAS DE PRODUCTO, ya informadas. </t>
        </r>
      </text>
    </comment>
    <comment ref="N6" authorId="1">
      <text>
        <r>
          <rPr>
            <sz val="9"/>
            <rFont val="Tahoma"/>
            <family val="2"/>
          </rPr>
          <t xml:space="preserve">Informar el númro de CONTRATOS, cualquiera sea su modalidad y/o clase, que a la fecha del corte de medición se han suscrito, con el  fin de materializar los PROYECTOS, APROBADOS EN EL POAI.  (COVI)
</t>
        </r>
      </text>
    </comment>
    <comment ref="O6" authorId="1">
      <text>
        <r>
          <rPr>
            <b/>
            <sz val="9"/>
            <rFont val="Tahoma"/>
            <family val="2"/>
          </rPr>
          <t>INVERSION:</t>
        </r>
        <r>
          <rPr>
            <sz val="9"/>
            <rFont val="Tahoma"/>
            <family val="2"/>
          </rPr>
          <t xml:space="preserve"> Informear el valor total de los CONTRATOS SUSCRITOS, cualquiera sea su modalidad y /o clase.
Este valor corresponde al informado en el POAI, en la columna COMPROMISOS. (PCT, SRIA. DE HACIENDA).
</t>
        </r>
      </text>
    </comment>
    <comment ref="P6" authorId="0">
      <text>
        <r>
          <rPr>
            <b/>
            <sz val="9"/>
            <rFont val="Arial"/>
            <family val="2"/>
          </rPr>
          <t>INVERSIÓN</t>
        </r>
        <r>
          <rPr>
            <sz val="9"/>
            <rFont val="Arial"/>
            <family val="2"/>
          </rPr>
          <t>, Escriba el valor  EJECUTADO DE LOS CONTRATOS, cualquiera sera su modalidad y / o clase,.
El valor EJECUTADO, corresponde a las OBLIGACIONES, que en POAI permitan evidenciar que los bienes y /o servicios fueron recibidos a satisfacción.</t>
        </r>
        <r>
          <rPr>
            <sz val="9"/>
            <rFont val="Tahoma"/>
            <family val="2"/>
          </rPr>
          <t xml:space="preserve">
</t>
        </r>
        <r>
          <rPr>
            <b/>
            <sz val="9"/>
            <rFont val="Tahoma"/>
            <family val="2"/>
          </rPr>
          <t xml:space="preserve">
</t>
        </r>
      </text>
    </comment>
  </commentList>
</comments>
</file>

<file path=xl/comments5.xml><?xml version="1.0" encoding="utf-8"?>
<comments xmlns="http://schemas.openxmlformats.org/spreadsheetml/2006/main">
  <authors>
    <author>User</author>
    <author>Maria Aleyda</author>
    <author>SYepez</author>
  </authors>
  <commentList>
    <comment ref="D6" authorId="0">
      <text>
        <r>
          <rPr>
            <b/>
            <sz val="9"/>
            <rFont val="Tahoma"/>
            <family val="2"/>
          </rPr>
          <t>INVERSIÓN:</t>
        </r>
        <r>
          <rPr>
            <sz val="9"/>
            <rFont val="Tahoma"/>
            <family val="2"/>
          </rPr>
          <t xml:space="preserve"> Registre la programación de las METAS, según la distribución que para las mismas, registra el PLAN INDICATIVO, para la vigencia que se va a medir.</t>
        </r>
      </text>
    </comment>
    <comment ref="E6" authorId="1">
      <text>
        <r>
          <rPr>
            <sz val="9"/>
            <rFont val="Tahoma"/>
            <family val="2"/>
          </rPr>
          <t>Registrar el AVANCE DE LA META, a la fecha de corte de la medidión y seguimiento.</t>
        </r>
      </text>
    </comment>
    <comment ref="F6" authorId="1">
      <text>
        <r>
          <rPr>
            <sz val="9"/>
            <rFont val="Tahoma"/>
            <family val="2"/>
          </rPr>
          <t xml:space="preserve">Registre en forma porcentual el AVANCE que en valores nominales, fueron reportados en la columna anterior, para el corde de medición que se informa.
</t>
        </r>
      </text>
    </comment>
    <comment ref="G6" authorId="0">
      <text>
        <r>
          <rPr>
            <b/>
            <sz val="9"/>
            <rFont val="Tahoma"/>
            <family val="2"/>
          </rPr>
          <t>Si es Inversión:</t>
        </r>
        <r>
          <rPr>
            <sz val="9"/>
            <rFont val="Tahoma"/>
            <family val="2"/>
          </rPr>
          <t xml:space="preserve"> Escriba el numero y el nombre del proyecto que aparece en el POAI</t>
        </r>
      </text>
    </comment>
    <comment ref="H6" authorId="1">
      <text>
        <r>
          <rPr>
            <sz val="9"/>
            <rFont val="Tahoma"/>
            <family val="2"/>
          </rPr>
          <t xml:space="preserve">Relacione en esta columna, para cada uno de los PROYECTOS DE INVERSION, cada una de las actividades registradas en el BPPID.
</t>
        </r>
      </text>
    </comment>
    <comment ref="I6" authorId="0">
      <text>
        <r>
          <rPr>
            <sz val="9"/>
            <rFont val="Tahoma"/>
            <family val="2"/>
          </rPr>
          <t xml:space="preserve">Se registra el valor programado para cada uno de los PROYECTOS en el POAI., (PCT SRIA. DE HACIENDA).
 El valor debe expresarse  en miles de $. Es decir: que para millones se suprimen 3 ceros . Ejemplo: para describir diez millones, se escribe 10.000, para treinta millones, se escribe 30.000, para quinientos mil, se escribe 500. </t>
        </r>
      </text>
    </comment>
    <comment ref="J6" authorId="1">
      <text>
        <r>
          <rPr>
            <sz val="9"/>
            <rFont val="Tahoma"/>
            <family val="2"/>
          </rPr>
          <t>Se registra el VALOR EJECUTADO, para cada uno de los PROYECTOS en el POAI., (PCT SRIA. DE HACIENDA).
El valor EJECUTADO, corresponde a las OBLIGACIONES, que en POAI permitan evidenciar que los bienes y /o servicios fueron recibidos a satisfacción.</t>
        </r>
      </text>
    </comment>
    <comment ref="K6" authorId="1">
      <text>
        <r>
          <rPr>
            <sz val="9"/>
            <rFont val="Tahoma"/>
            <family val="2"/>
          </rPr>
          <t xml:space="preserve">Informe el porcentaje de ejecución, de acuerdo a los valores nominales, que informa el POAI. (PCT SRIA. DE HACIENDA).
</t>
        </r>
      </text>
    </comment>
    <comment ref="L6" authorId="0">
      <text>
        <r>
          <rPr>
            <b/>
            <sz val="9"/>
            <rFont val="Tahoma"/>
            <family val="2"/>
          </rPr>
          <t>Inversión</t>
        </r>
        <r>
          <rPr>
            <sz val="9"/>
            <rFont val="Tahoma"/>
            <family val="2"/>
          </rPr>
          <t xml:space="preserve">. Escriba  el OBJETIVO GENERAL que se espera alcanzar, de acuerdo a la información contenida en el PROYECTO radicado en el BPPID, el cual debe ser coherente con las METAS DE PRODUCTO, ya informadas. </t>
        </r>
      </text>
    </comment>
    <comment ref="N6" authorId="1">
      <text>
        <r>
          <rPr>
            <sz val="9"/>
            <rFont val="Tahoma"/>
            <family val="2"/>
          </rPr>
          <t xml:space="preserve">Informar el númro de CONTRATOS, cualquiera sea su modalidad y/o clase, que a la fecha del corte de medición se han suscrito, con el  fin de materializar los PROYECTOS, APROBADOS EN EL POAI.  (COVI)
</t>
        </r>
      </text>
    </comment>
    <comment ref="O6" authorId="1">
      <text>
        <r>
          <rPr>
            <b/>
            <sz val="9"/>
            <rFont val="Tahoma"/>
            <family val="2"/>
          </rPr>
          <t>INVERSION:</t>
        </r>
        <r>
          <rPr>
            <sz val="9"/>
            <rFont val="Tahoma"/>
            <family val="2"/>
          </rPr>
          <t xml:space="preserve"> Informear el valor total de los CONTRATOS SUSCRITOS, cualquiera sea su modalidad y /o clase.
Este valor corresponde al informado en el POAI, en la columna COMPROMISOS. (PCT, SRIA. DE HACIENDA).
</t>
        </r>
      </text>
    </comment>
    <comment ref="P6" authorId="0">
      <text>
        <r>
          <rPr>
            <b/>
            <sz val="9"/>
            <rFont val="Arial"/>
            <family val="2"/>
          </rPr>
          <t>INVERSIÓN</t>
        </r>
        <r>
          <rPr>
            <sz val="9"/>
            <rFont val="Arial"/>
            <family val="2"/>
          </rPr>
          <t>, Escriba el valor  EJECUTADO DE LOS CONTRATOS, cualquiera sera su modalidad y / o clase,.
El valor EJECUTADO, corresponde a las OBLIGACIONES, que en POAI permitan evidenciar que los bienes y /o servicios fueron recibidos a satisfacción.</t>
        </r>
        <r>
          <rPr>
            <sz val="9"/>
            <rFont val="Tahoma"/>
            <family val="2"/>
          </rPr>
          <t xml:space="preserve">
</t>
        </r>
        <r>
          <rPr>
            <b/>
            <sz val="9"/>
            <rFont val="Tahoma"/>
            <family val="2"/>
          </rPr>
          <t xml:space="preserve">
</t>
        </r>
      </text>
    </comment>
    <comment ref="M32" authorId="2">
      <text>
        <r>
          <rPr>
            <b/>
            <sz val="9"/>
            <rFont val="Tahoma"/>
            <family val="2"/>
          </rPr>
          <t>SE MOFIFICO EL INDICADOR</t>
        </r>
      </text>
    </comment>
  </commentList>
</comments>
</file>

<file path=xl/comments6.xml><?xml version="1.0" encoding="utf-8"?>
<comments xmlns="http://schemas.openxmlformats.org/spreadsheetml/2006/main">
  <authors>
    <author>User</author>
    <author>Maria Aleyda</author>
  </authors>
  <commentList>
    <comment ref="D6" authorId="0">
      <text>
        <r>
          <rPr>
            <b/>
            <sz val="9"/>
            <rFont val="Tahoma"/>
            <family val="2"/>
          </rPr>
          <t>INVERSIÓN:</t>
        </r>
        <r>
          <rPr>
            <sz val="9"/>
            <rFont val="Tahoma"/>
            <family val="2"/>
          </rPr>
          <t xml:space="preserve"> Registre la programación de las METAS, según la distribución que para las mismas, registra el PLAN INDICATIVO, para la vigencia que se va a medir.</t>
        </r>
      </text>
    </comment>
    <comment ref="E6" authorId="1">
      <text>
        <r>
          <rPr>
            <sz val="9"/>
            <rFont val="Tahoma"/>
            <family val="2"/>
          </rPr>
          <t>Registrar el AVANCE DE LA META, a la fecha de corte de la medidión y seguimiento.</t>
        </r>
      </text>
    </comment>
    <comment ref="F6" authorId="1">
      <text>
        <r>
          <rPr>
            <sz val="9"/>
            <rFont val="Tahoma"/>
            <family val="2"/>
          </rPr>
          <t xml:space="preserve">Registre en forma porcentual el AVANCE que en valores nominales, fueron reportados en la columna anterior, para el corde de medición que se informa.
</t>
        </r>
      </text>
    </comment>
    <comment ref="G6" authorId="0">
      <text>
        <r>
          <rPr>
            <b/>
            <sz val="9"/>
            <rFont val="Tahoma"/>
            <family val="2"/>
          </rPr>
          <t>Si es Inversión:</t>
        </r>
        <r>
          <rPr>
            <sz val="9"/>
            <rFont val="Tahoma"/>
            <family val="2"/>
          </rPr>
          <t xml:space="preserve"> Escriba el numero y el nombre del proyecto que aparece en el POAI</t>
        </r>
      </text>
    </comment>
    <comment ref="H6" authorId="1">
      <text>
        <r>
          <rPr>
            <sz val="9"/>
            <rFont val="Tahoma"/>
            <family val="2"/>
          </rPr>
          <t xml:space="preserve">Relacione en esta columna, para cada uno de los PROYECTOS DE INVERSION, cada una de las actividades registradas en el BPPID.
</t>
        </r>
      </text>
    </comment>
    <comment ref="I6" authorId="0">
      <text>
        <r>
          <rPr>
            <sz val="9"/>
            <rFont val="Tahoma"/>
            <family val="2"/>
          </rPr>
          <t xml:space="preserve">Se registra el valor programado para cada uno de los PROYECTOS en el POAI., (PCT SRIA. DE HACIENDA).
 El valor debe expresarse  en miles de $. Es decir: que para millones se suprimen 3 ceros . Ejemplo: para describir diez millones, se escribe 10.000, para treinta millones, se escribe 30.000, para quinientos mil, se escribe 500. </t>
        </r>
      </text>
    </comment>
    <comment ref="J6" authorId="1">
      <text>
        <r>
          <rPr>
            <sz val="9"/>
            <rFont val="Tahoma"/>
            <family val="2"/>
          </rPr>
          <t>Se registra el VALOR EJECUTADO, para cada uno de los PROYECTOS en el POAI., (PCT SRIA. DE HACIENDA).
El valor EJECUTADO, corresponde a las OBLIGACIONES, que en POAI permitan evidenciar que los bienes y /o servicios fueron recibidos a satisfacción.</t>
        </r>
      </text>
    </comment>
    <comment ref="K6" authorId="1">
      <text>
        <r>
          <rPr>
            <sz val="9"/>
            <rFont val="Tahoma"/>
            <family val="2"/>
          </rPr>
          <t xml:space="preserve">Informe el porcentaje de ejecución, de acuerdo a los valores nominales, que informa el POAI. (PCT SRIA. DE HACIENDA).
</t>
        </r>
      </text>
    </comment>
    <comment ref="L6" authorId="0">
      <text>
        <r>
          <rPr>
            <b/>
            <sz val="9"/>
            <rFont val="Tahoma"/>
            <family val="2"/>
          </rPr>
          <t>Inversión</t>
        </r>
        <r>
          <rPr>
            <sz val="9"/>
            <rFont val="Tahoma"/>
            <family val="2"/>
          </rPr>
          <t xml:space="preserve">. Escriba  el OBJETIVO GENERAL que se espera alcanzar, de acuerdo a la información contenida en el PROYECTO radicado en el BPPID, el cual debe ser coherente con las METAS DE PRODUCTO, ya informadas. </t>
        </r>
      </text>
    </comment>
    <comment ref="N6" authorId="1">
      <text>
        <r>
          <rPr>
            <sz val="9"/>
            <rFont val="Tahoma"/>
            <family val="2"/>
          </rPr>
          <t xml:space="preserve">Informar el númro de CONTRATOS, cualquiera sea su modalidad y/o clase, que a la fecha del corte de medición se han suscrito, con el  fin de materializar los PROYECTOS, APROBADOS EN EL POAI.  (COVI)
</t>
        </r>
      </text>
    </comment>
    <comment ref="O6" authorId="1">
      <text>
        <r>
          <rPr>
            <b/>
            <sz val="9"/>
            <rFont val="Tahoma"/>
            <family val="2"/>
          </rPr>
          <t>INVERSION:</t>
        </r>
        <r>
          <rPr>
            <sz val="9"/>
            <rFont val="Tahoma"/>
            <family val="2"/>
          </rPr>
          <t xml:space="preserve"> Informear el valor total de los CONTRATOS SUSCRITOS, cualquiera sea su modalidad y /o clase.
Este valor corresponde al informado en el POAI, en la columna COMPROMISOS. (PCT, SRIA. DE HACIENDA).
</t>
        </r>
      </text>
    </comment>
    <comment ref="P6" authorId="0">
      <text>
        <r>
          <rPr>
            <b/>
            <sz val="9"/>
            <rFont val="Arial"/>
            <family val="2"/>
          </rPr>
          <t>INVERSIÓN</t>
        </r>
        <r>
          <rPr>
            <sz val="9"/>
            <rFont val="Arial"/>
            <family val="2"/>
          </rPr>
          <t>, Escriba el valor  EJECUTADO DE LOS CONTRATOS, cualquiera sera su modalidad y / o clase,.
El valor EJECUTADO, corresponde a las OBLIGACIONES, que en POAI permitan evidenciar que los bienes y /o servicios fueron recibidos a satisfacción.</t>
        </r>
        <r>
          <rPr>
            <sz val="9"/>
            <rFont val="Tahoma"/>
            <family val="2"/>
          </rPr>
          <t xml:space="preserve">
</t>
        </r>
        <r>
          <rPr>
            <b/>
            <sz val="9"/>
            <rFont val="Tahoma"/>
            <family val="2"/>
          </rPr>
          <t xml:space="preserve">
</t>
        </r>
      </text>
    </comment>
  </commentList>
</comments>
</file>

<file path=xl/comments7.xml><?xml version="1.0" encoding="utf-8"?>
<comments xmlns="http://schemas.openxmlformats.org/spreadsheetml/2006/main">
  <authors>
    <author>User</author>
    <author>Maria Aleyda</author>
  </authors>
  <commentList>
    <comment ref="D6" authorId="0">
      <text>
        <r>
          <rPr>
            <b/>
            <sz val="9"/>
            <rFont val="Tahoma"/>
            <family val="2"/>
          </rPr>
          <t>INVERSIÓN:</t>
        </r>
        <r>
          <rPr>
            <sz val="9"/>
            <rFont val="Tahoma"/>
            <family val="2"/>
          </rPr>
          <t xml:space="preserve"> Registre la programación de las METAS, según la distribución que para las mismas, registra el PLAN INDICATIVO, para la vigencia que se va a medir.</t>
        </r>
      </text>
    </comment>
    <comment ref="E6" authorId="1">
      <text>
        <r>
          <rPr>
            <sz val="9"/>
            <rFont val="Tahoma"/>
            <family val="2"/>
          </rPr>
          <t>Registrar el AVANCE DE LA META, a la fecha de corte de la medidión y seguimiento.</t>
        </r>
      </text>
    </comment>
    <comment ref="F6" authorId="1">
      <text>
        <r>
          <rPr>
            <sz val="9"/>
            <rFont val="Tahoma"/>
            <family val="2"/>
          </rPr>
          <t xml:space="preserve">Registre en forma porcentual el AVANCE que en valores nominales, fueron reportados en la columna anterior, para el corde de medición que se informa.
</t>
        </r>
      </text>
    </comment>
    <comment ref="G6" authorId="0">
      <text>
        <r>
          <rPr>
            <b/>
            <sz val="9"/>
            <rFont val="Tahoma"/>
            <family val="2"/>
          </rPr>
          <t>Si es Inversión:</t>
        </r>
        <r>
          <rPr>
            <sz val="9"/>
            <rFont val="Tahoma"/>
            <family val="2"/>
          </rPr>
          <t xml:space="preserve"> Escriba el numero y el nombre del proyecto que aparece en el POAI</t>
        </r>
      </text>
    </comment>
    <comment ref="H6" authorId="1">
      <text>
        <r>
          <rPr>
            <sz val="9"/>
            <rFont val="Tahoma"/>
            <family val="2"/>
          </rPr>
          <t xml:space="preserve">Relacione en esta columna, para cada uno de los PROYECTOS DE INVERSION, cada una de las actividades registradas en el BPPID.
</t>
        </r>
      </text>
    </comment>
    <comment ref="I6" authorId="0">
      <text>
        <r>
          <rPr>
            <sz val="9"/>
            <rFont val="Tahoma"/>
            <family val="2"/>
          </rPr>
          <t xml:space="preserve">Se registra el valor programado para cada uno de los PROYECTOS en el POAI., (PCT SRIA. DE HACIENDA).
 El valor debe expresarse  en miles de $. Es decir: que para millones se suprimen 3 ceros . Ejemplo: para describir diez millones, se escribe 10.000, para treinta millones, se escribe 30.000, para quinientos mil, se escribe 500. </t>
        </r>
      </text>
    </comment>
    <comment ref="J6" authorId="1">
      <text>
        <r>
          <rPr>
            <sz val="9"/>
            <rFont val="Tahoma"/>
            <family val="2"/>
          </rPr>
          <t>Se registra el VALOR EJECUTADO, para cada uno de los PROYECTOS en el POAI., (PCT SRIA. DE HACIENDA).
El valor EJECUTADO, corresponde a las OBLIGACIONES, que en POAI permitan evidenciar que los bienes y /o servicios fueron recibidos a satisfacción.</t>
        </r>
      </text>
    </comment>
    <comment ref="K6" authorId="1">
      <text>
        <r>
          <rPr>
            <sz val="9"/>
            <rFont val="Tahoma"/>
            <family val="2"/>
          </rPr>
          <t xml:space="preserve">Informe el porcentaje de ejecución, de acuerdo a los valores nominales, que informa el POAI. (PCT SRIA. DE HACIENDA).
</t>
        </r>
      </text>
    </comment>
    <comment ref="L6" authorId="0">
      <text>
        <r>
          <rPr>
            <b/>
            <sz val="9"/>
            <rFont val="Tahoma"/>
            <family val="2"/>
          </rPr>
          <t>Inversión</t>
        </r>
        <r>
          <rPr>
            <sz val="9"/>
            <rFont val="Tahoma"/>
            <family val="2"/>
          </rPr>
          <t xml:space="preserve">. Escriba  el OBJETIVO GENERAL que se espera alcanzar, de acuerdo a la información contenida en el PROYECTO radicado en el BPPID, el cual debe ser coherente con las METAS DE PRODUCTO, ya informadas. </t>
        </r>
      </text>
    </comment>
    <comment ref="N6" authorId="1">
      <text>
        <r>
          <rPr>
            <sz val="9"/>
            <rFont val="Tahoma"/>
            <family val="2"/>
          </rPr>
          <t xml:space="preserve">Informar el númro de CONTRATOS, cualquiera sea su modalidad y/o clase, que a la fecha del corte de medición se han suscrito, con el  fin de materializar los PROYECTOS, APROBADOS EN EL POAI.  (COVI)
</t>
        </r>
      </text>
    </comment>
    <comment ref="O6" authorId="1">
      <text>
        <r>
          <rPr>
            <b/>
            <sz val="9"/>
            <rFont val="Tahoma"/>
            <family val="2"/>
          </rPr>
          <t>INVERSION:</t>
        </r>
        <r>
          <rPr>
            <sz val="9"/>
            <rFont val="Tahoma"/>
            <family val="2"/>
          </rPr>
          <t xml:space="preserve"> Informear el valor total de los CONTRATOS SUSCRITOS, cualquiera sea su modalidad y /o clase.
Este valor corresponde al informado en el POAI, en la columna COMPROMISOS. (PCT, SRIA. DE HACIENDA).
</t>
        </r>
      </text>
    </comment>
    <comment ref="P6" authorId="0">
      <text>
        <r>
          <rPr>
            <b/>
            <sz val="9"/>
            <rFont val="Arial"/>
            <family val="2"/>
          </rPr>
          <t>INVERSIÓN</t>
        </r>
        <r>
          <rPr>
            <sz val="9"/>
            <rFont val="Arial"/>
            <family val="2"/>
          </rPr>
          <t>, Escriba el valor  EJECUTADO DE LOS CONTRATOS, cualquiera sera su modalidad y / o clase,.
El valor EJECUTADO, corresponde a las OBLIGACIONES, que en POAI permitan evidenciar que los bienes y /o servicios fueron recibidos a satisfacción.</t>
        </r>
        <r>
          <rPr>
            <sz val="9"/>
            <rFont val="Tahoma"/>
            <family val="2"/>
          </rPr>
          <t xml:space="preserve">
</t>
        </r>
        <r>
          <rPr>
            <b/>
            <sz val="9"/>
            <rFont val="Tahoma"/>
            <family val="2"/>
          </rPr>
          <t xml:space="preserve">
</t>
        </r>
      </text>
    </comment>
  </commentList>
</comments>
</file>

<file path=xl/comments8.xml><?xml version="1.0" encoding="utf-8"?>
<comments xmlns="http://schemas.openxmlformats.org/spreadsheetml/2006/main">
  <authors>
    <author>User</author>
    <author>Maria Aleyda</author>
  </authors>
  <commentList>
    <comment ref="D6" authorId="0">
      <text>
        <r>
          <rPr>
            <b/>
            <sz val="9"/>
            <rFont val="Tahoma"/>
            <family val="2"/>
          </rPr>
          <t>INVERSIÓN:</t>
        </r>
        <r>
          <rPr>
            <sz val="9"/>
            <rFont val="Tahoma"/>
            <family val="2"/>
          </rPr>
          <t xml:space="preserve"> Registre la programación de las METAS, según la distribución que para las mismas, registra el PLAN INDICATIVO, para la vigencia que se va a medir.</t>
        </r>
      </text>
    </comment>
    <comment ref="E6" authorId="1">
      <text>
        <r>
          <rPr>
            <sz val="9"/>
            <rFont val="Tahoma"/>
            <family val="2"/>
          </rPr>
          <t>Registrar el AVANCE DE LA META, a la fecha de corte de la medidión y seguimiento.</t>
        </r>
      </text>
    </comment>
    <comment ref="F6" authorId="1">
      <text>
        <r>
          <rPr>
            <sz val="9"/>
            <rFont val="Tahoma"/>
            <family val="2"/>
          </rPr>
          <t xml:space="preserve">Registre en forma porcentual el AVANCE que en valores nominales, fueron reportados en la columna anterior, para el corde de medición que se informa.
</t>
        </r>
      </text>
    </comment>
    <comment ref="G6" authorId="0">
      <text>
        <r>
          <rPr>
            <b/>
            <sz val="9"/>
            <rFont val="Tahoma"/>
            <family val="2"/>
          </rPr>
          <t>Si es Inversión:</t>
        </r>
        <r>
          <rPr>
            <sz val="9"/>
            <rFont val="Tahoma"/>
            <family val="2"/>
          </rPr>
          <t xml:space="preserve"> Escriba el numero y el nombre del proyecto que aparece en el POAI</t>
        </r>
      </text>
    </comment>
    <comment ref="H6" authorId="1">
      <text>
        <r>
          <rPr>
            <sz val="9"/>
            <rFont val="Tahoma"/>
            <family val="2"/>
          </rPr>
          <t xml:space="preserve">Relacione en esta columna, para cada uno de los PROYECTOS DE INVERSION, cada una de las actividades registradas en el BPPID.
</t>
        </r>
      </text>
    </comment>
    <comment ref="I6" authorId="0">
      <text>
        <r>
          <rPr>
            <sz val="9"/>
            <rFont val="Tahoma"/>
            <family val="2"/>
          </rPr>
          <t xml:space="preserve">Se registra el valor programado para cada uno de los PROYECTOS en el POAI., (PCT SRIA. DE HACIENDA).
 El valor debe expresarse  en miles de $. Es decir: que para millones se suprimen 3 ceros . Ejemplo: para describir diez millones, se escribe 10.000, para treinta millones, se escribe 30.000, para quinientos mil, se escribe 500. </t>
        </r>
      </text>
    </comment>
    <comment ref="J6" authorId="1">
      <text>
        <r>
          <rPr>
            <sz val="9"/>
            <rFont val="Tahoma"/>
            <family val="2"/>
          </rPr>
          <t>Se registra el VALOR EJECUTADO, para cada uno de los PROYECTOS en el POAI., (PCT SRIA. DE HACIENDA).
El valor EJECUTADO, corresponde a las OBLIGACIONES, que en POAI permitan evidenciar que los bienes y /o servicios fueron recibidos a satisfacción.</t>
        </r>
      </text>
    </comment>
    <comment ref="K6" authorId="1">
      <text>
        <r>
          <rPr>
            <sz val="9"/>
            <rFont val="Tahoma"/>
            <family val="2"/>
          </rPr>
          <t xml:space="preserve">Informe el porcentaje de ejecución, de acuerdo a los valores nominales, que informa el POAI. (PCT SRIA. DE HACIENDA).
</t>
        </r>
      </text>
    </comment>
    <comment ref="L6" authorId="0">
      <text>
        <r>
          <rPr>
            <b/>
            <sz val="9"/>
            <rFont val="Tahoma"/>
            <family val="2"/>
          </rPr>
          <t>Inversión</t>
        </r>
        <r>
          <rPr>
            <sz val="9"/>
            <rFont val="Tahoma"/>
            <family val="2"/>
          </rPr>
          <t xml:space="preserve">. Escriba  el OBJETIVO GENERAL que se espera alcanzar, de acuerdo a la información contenida en el PROYECTO radicado en el BPPID, el cual debe ser coherente con las METAS DE PRODUCTO, ya informadas. </t>
        </r>
      </text>
    </comment>
    <comment ref="N6" authorId="1">
      <text>
        <r>
          <rPr>
            <sz val="9"/>
            <rFont val="Tahoma"/>
            <family val="2"/>
          </rPr>
          <t xml:space="preserve">Informar el númro de CONTRATOS, cualquiera sea su modalidad y/o clase, que a la fecha del corte de medición se han suscrito, con el  fin de materializar los PROYECTOS, APROBADOS EN EL POAI.  (COVI)
</t>
        </r>
      </text>
    </comment>
    <comment ref="O6" authorId="1">
      <text>
        <r>
          <rPr>
            <b/>
            <sz val="9"/>
            <rFont val="Tahoma"/>
            <family val="2"/>
          </rPr>
          <t>INVERSION:</t>
        </r>
        <r>
          <rPr>
            <sz val="9"/>
            <rFont val="Tahoma"/>
            <family val="2"/>
          </rPr>
          <t xml:space="preserve"> Informear el valor total de los CONTRATOS SUSCRITOS, cualquiera sea su modalidad y /o clase.
Este valor corresponde al informado en el POAI, en la columna COMPROMISOS. (PCT, SRIA. DE HACIENDA).
</t>
        </r>
      </text>
    </comment>
    <comment ref="P6" authorId="0">
      <text>
        <r>
          <rPr>
            <b/>
            <sz val="9"/>
            <rFont val="Arial"/>
            <family val="2"/>
          </rPr>
          <t>INVERSIÓN</t>
        </r>
        <r>
          <rPr>
            <sz val="9"/>
            <rFont val="Arial"/>
            <family val="2"/>
          </rPr>
          <t>, Escriba el valor  EJECUTADO DE LOS CONTRATOS, cualquiera sera su modalidad y / o clase,.
El valor EJECUTADO, corresponde a las OBLIGACIONES, que en POAI permitan evidenciar que los bienes y /o servicios fueron recibidos a satisfacción.</t>
        </r>
        <r>
          <rPr>
            <sz val="9"/>
            <rFont val="Tahoma"/>
            <family val="2"/>
          </rPr>
          <t xml:space="preserve">
</t>
        </r>
        <r>
          <rPr>
            <b/>
            <sz val="9"/>
            <rFont val="Tahoma"/>
            <family val="2"/>
          </rPr>
          <t xml:space="preserve">
</t>
        </r>
      </text>
    </comment>
  </commentList>
</comments>
</file>

<file path=xl/comments9.xml><?xml version="1.0" encoding="utf-8"?>
<comments xmlns="http://schemas.openxmlformats.org/spreadsheetml/2006/main">
  <authors>
    <author>User</author>
    <author>Maria Aleyda</author>
  </authors>
  <commentList>
    <comment ref="D6" authorId="0">
      <text>
        <r>
          <rPr>
            <b/>
            <sz val="9"/>
            <rFont val="Tahoma"/>
            <family val="2"/>
          </rPr>
          <t>INVERSIÓN:</t>
        </r>
        <r>
          <rPr>
            <sz val="9"/>
            <rFont val="Tahoma"/>
            <family val="2"/>
          </rPr>
          <t xml:space="preserve"> Registre la programación de las METAS, según la distribución que para las mismas, registra el PLAN INDICATIVO, para la vigencia que se va a medir.</t>
        </r>
      </text>
    </comment>
    <comment ref="E6" authorId="1">
      <text>
        <r>
          <rPr>
            <sz val="9"/>
            <rFont val="Tahoma"/>
            <family val="2"/>
          </rPr>
          <t>Registrar el AVANCE DE LA META, a la fecha de corte de la medidión y seguimiento.</t>
        </r>
      </text>
    </comment>
    <comment ref="F6" authorId="1">
      <text>
        <r>
          <rPr>
            <sz val="9"/>
            <rFont val="Tahoma"/>
            <family val="2"/>
          </rPr>
          <t xml:space="preserve">Registre en forma porcentual el AVANCE que en valores nominales, fueron reportados en la columna anterior, para el corde de medición que se informa.
</t>
        </r>
      </text>
    </comment>
    <comment ref="G6" authorId="0">
      <text>
        <r>
          <rPr>
            <b/>
            <sz val="9"/>
            <rFont val="Tahoma"/>
            <family val="2"/>
          </rPr>
          <t>Si es Inversión:</t>
        </r>
        <r>
          <rPr>
            <sz val="9"/>
            <rFont val="Tahoma"/>
            <family val="2"/>
          </rPr>
          <t xml:space="preserve"> Escriba el numero y el nombre del proyecto que aparece en el POAI</t>
        </r>
      </text>
    </comment>
    <comment ref="H6" authorId="1">
      <text>
        <r>
          <rPr>
            <sz val="9"/>
            <rFont val="Tahoma"/>
            <family val="2"/>
          </rPr>
          <t xml:space="preserve">Relacione en esta columna, para cada uno de los PROYECTOS DE INVERSION, cada una de las actividades registradas en el BPPID.
</t>
        </r>
      </text>
    </comment>
    <comment ref="I6" authorId="0">
      <text>
        <r>
          <rPr>
            <sz val="9"/>
            <rFont val="Tahoma"/>
            <family val="2"/>
          </rPr>
          <t xml:space="preserve">Se registra el valor programado para cada uno de los PROYECTOS en el POAI., (PCT SRIA. DE HACIENDA).
 El valor debe expresarse  en miles de $. Es decir: que para millones se suprimen 3 ceros . Ejemplo: para describir diez millones, se escribe 10.000, para treinta millones, se escribe 30.000, para quinientos mil, se escribe 500. </t>
        </r>
      </text>
    </comment>
    <comment ref="J6" authorId="1">
      <text>
        <r>
          <rPr>
            <sz val="9"/>
            <rFont val="Tahoma"/>
            <family val="2"/>
          </rPr>
          <t>Se registra el VALOR EJECUTADO, para cada uno de los PROYECTOS en el POAI., (PCT SRIA. DE HACIENDA).
El valor EJECUTADO, corresponde a las OBLIGACIONES, que en POAI permitan evidenciar que los bienes y /o servicios fueron recibidos a satisfacción.</t>
        </r>
      </text>
    </comment>
    <comment ref="K6" authorId="1">
      <text>
        <r>
          <rPr>
            <sz val="9"/>
            <rFont val="Tahoma"/>
            <family val="2"/>
          </rPr>
          <t xml:space="preserve">Informe el porcentaje de ejecución, de acuerdo a los valores nominales, que informa el POAI. (PCT SRIA. DE HACIENDA).
</t>
        </r>
      </text>
    </comment>
    <comment ref="L6" authorId="0">
      <text>
        <r>
          <rPr>
            <b/>
            <sz val="9"/>
            <rFont val="Tahoma"/>
            <family val="2"/>
          </rPr>
          <t>Inversión</t>
        </r>
        <r>
          <rPr>
            <sz val="9"/>
            <rFont val="Tahoma"/>
            <family val="2"/>
          </rPr>
          <t xml:space="preserve">. Escriba  el OBJETIVO GENERAL que se espera alcanzar, de acuerdo a la información contenida en el PROYECTO radicado en el BPPID, el cual debe ser coherente con las METAS DE PRODUCTO, ya informadas. </t>
        </r>
      </text>
    </comment>
    <comment ref="N6" authorId="1">
      <text>
        <r>
          <rPr>
            <sz val="9"/>
            <rFont val="Tahoma"/>
            <family val="2"/>
          </rPr>
          <t xml:space="preserve">Informar el númro de CONTRATOS, cualquiera sea su modalidad y/o clase, que a la fecha del corte de medición se han suscrito, con el  fin de materializar los PROYECTOS, APROBADOS EN EL POAI.  (COVI)
</t>
        </r>
      </text>
    </comment>
    <comment ref="O6" authorId="1">
      <text>
        <r>
          <rPr>
            <b/>
            <sz val="9"/>
            <rFont val="Tahoma"/>
            <family val="2"/>
          </rPr>
          <t>INVERSION:</t>
        </r>
        <r>
          <rPr>
            <sz val="9"/>
            <rFont val="Tahoma"/>
            <family val="2"/>
          </rPr>
          <t xml:space="preserve"> Informear el valor total de los CONTRATOS SUSCRITOS, cualquiera sea su modalidad y /o clase.
Este valor corresponde al informado en el POAI, en la columna COMPROMISOS. (PCT, SRIA. DE HACIENDA).
</t>
        </r>
      </text>
    </comment>
    <comment ref="P6" authorId="0">
      <text>
        <r>
          <rPr>
            <b/>
            <sz val="9"/>
            <rFont val="Arial"/>
            <family val="2"/>
          </rPr>
          <t>INVERSIÓN</t>
        </r>
        <r>
          <rPr>
            <sz val="9"/>
            <rFont val="Arial"/>
            <family val="2"/>
          </rPr>
          <t>, Escriba el valor  EJECUTADO DE LOS CONTRATOS, cualquiera sera su modalidad y / o clase,.
El valor EJECUTADO, corresponde a las OBLIGACIONES, que en POAI permitan evidenciar que los bienes y /o servicios fueron recibidos a satisfacción.</t>
        </r>
        <r>
          <rPr>
            <sz val="9"/>
            <rFont val="Tahoma"/>
            <family val="2"/>
          </rPr>
          <t xml:space="preserve">
</t>
        </r>
        <r>
          <rPr>
            <b/>
            <sz val="9"/>
            <rFont val="Tahoma"/>
            <family val="2"/>
          </rPr>
          <t xml:space="preserve">
</t>
        </r>
      </text>
    </comment>
    <comment ref="M6" authorId="0">
      <text>
        <r>
          <rPr>
            <b/>
            <sz val="9"/>
            <rFont val="Tahoma"/>
            <family val="2"/>
          </rPr>
          <t>Si es INVERSIÓN</t>
        </r>
        <r>
          <rPr>
            <sz val="9"/>
            <rFont val="Tahoma"/>
            <family val="2"/>
          </rPr>
          <t xml:space="preserve"> describa el resultado final alcanzado con el Proyecto ejecutado. </t>
        </r>
      </text>
    </comment>
    <comment ref="Q6" authorId="1">
      <text>
        <r>
          <rPr>
            <sz val="9"/>
            <rFont val="Tahoma"/>
            <family val="2"/>
          </rPr>
          <t xml:space="preserve">Este valor corresponde al informado en la columna OBLIGACIONES del POAI 2013.  (PCT, SRIA. DE HACIENDA).
</t>
        </r>
      </text>
    </comment>
  </commentList>
</comments>
</file>

<file path=xl/sharedStrings.xml><?xml version="1.0" encoding="utf-8"?>
<sst xmlns="http://schemas.openxmlformats.org/spreadsheetml/2006/main" count="3185" uniqueCount="2320">
  <si>
    <t>PDD - META DE PRODUCTO</t>
  </si>
  <si>
    <t>PROYECTO</t>
  </si>
  <si>
    <t>CODIGO, POL, PROG, SUBPROGR</t>
  </si>
  <si>
    <t>INDICADOR</t>
  </si>
  <si>
    <t>NOMBRE</t>
  </si>
  <si>
    <t>RESULTADO ESPERADO</t>
  </si>
  <si>
    <t>Observaciones:</t>
  </si>
  <si>
    <t>Nombre y Firma del Secretario:</t>
  </si>
  <si>
    <t>GOBERNACIÓN DEL QUINDIO</t>
  </si>
  <si>
    <t>ACTIVIDADES</t>
  </si>
  <si>
    <t>DEPENDENCIA: SECRETARIA DE TURISMO INDUSTRIA Y COMERCIO</t>
  </si>
  <si>
    <t>2.12.74.79.P.201</t>
  </si>
  <si>
    <t>Promover que los adultos mayores de 60 años tengan una fuente de ingreso o sustento económico.</t>
  </si>
  <si>
    <t>% de adultos mayores en pobreza extrema que cuentan con una fuente de ingreso o sustento económico.</t>
  </si>
  <si>
    <t>2.12.74.79.P.202</t>
  </si>
  <si>
    <t>Generar capacidades laborales en las familias del programa RED UNIDOS.</t>
  </si>
  <si>
    <t>% de familias de la RED UNIDOS que participan en procesos de generación de capacidades laborales.</t>
  </si>
  <si>
    <t>2.12.74.79.P.203</t>
  </si>
  <si>
    <t>Promover proyectos de vinculación laboral efectiva de familias UNIDOS.</t>
  </si>
  <si>
    <t>Número de proyectos de vinculación laboral para familias UNIDOS promovidos.</t>
  </si>
  <si>
    <t>2.12.74.79.P.204</t>
  </si>
  <si>
    <t>Formular y poner en marcha la política pública departamental para la generación de ingresos.</t>
  </si>
  <si>
    <t>Política pública formulada y en ejecución.</t>
  </si>
  <si>
    <t>2.12.74.79.P.205</t>
  </si>
  <si>
    <t>Formular y poner en marcha el plan departamental para la generación de ingresos.</t>
  </si>
  <si>
    <t>Plan departamental para la generación de ingresos, formulado y en ejecución.</t>
  </si>
  <si>
    <t>RO</t>
  </si>
  <si>
    <t>2.12.74.80.P.206</t>
  </si>
  <si>
    <t>Unidades productivas de personas con capacidad especial apoyadas.</t>
  </si>
  <si>
    <t>2.12.74.81.P.207</t>
  </si>
  <si>
    <t>Implementar el plan de acompañamiento integral a las remesas laborales y generación de estímulos para el retorno de Quindianos que viven en el exterior.</t>
  </si>
  <si>
    <t>Plan implementado.</t>
  </si>
  <si>
    <t>2.13.78.82.P.208</t>
  </si>
  <si>
    <t>Vincular  proveedores y empresarios  al Banco de Proveedores Locales.</t>
  </si>
  <si>
    <t>Número de proveedores y empresarios vinculados al Banco de Proveedores Locales.</t>
  </si>
  <si>
    <t>2.13.78.82.P.209</t>
  </si>
  <si>
    <t>Conformar  la comunidad clúster para la transformación productiva y competitividad empresarial en sectores priorizados. priorizados.</t>
  </si>
  <si>
    <t xml:space="preserve">Número de clúster conformados. </t>
  </si>
  <si>
    <t>2.13.78.82.P.210</t>
  </si>
  <si>
    <t xml:space="preserve">Brindar acompañamiento a procesos de certificación en calidad de servicio a pequeños comerciantes o Mipymes. </t>
  </si>
  <si>
    <t>Número de pequeños comerciantes o empresarios Mipymes  vinculados a procesos de certificación en calidad.</t>
  </si>
  <si>
    <t>2.13.78.82.P.211</t>
  </si>
  <si>
    <t>Brindar asistencia técnica a empresas para mejora o actualización en procesos productivos específicos.</t>
  </si>
  <si>
    <t>Número de empresas que reciben asistencia técnica.</t>
  </si>
  <si>
    <t>2.13.78.82.P.212</t>
  </si>
  <si>
    <t>Apoyar actividades gremiales con enfoque de acceso a mercados.</t>
  </si>
  <si>
    <t>Número de actividades gremiales apoyadas.</t>
  </si>
  <si>
    <t>2.13.78.82.P.213</t>
  </si>
  <si>
    <t>Apoyar programas dirigidos a la reducción de la informalidad.</t>
  </si>
  <si>
    <t>Número de programas apoyados.</t>
  </si>
  <si>
    <t>2.13.78.82.P.214</t>
  </si>
  <si>
    <t>Apoyar programa de financiamiento a las MIPYMES.</t>
  </si>
  <si>
    <t>Número de programas de financiamiento apoyados.</t>
  </si>
  <si>
    <t>2.13.78.82.P.215</t>
  </si>
  <si>
    <t xml:space="preserve">Fortalecer esquemas colaborativos de organizaciones productivas en los municipios. </t>
  </si>
  <si>
    <t>Número de municipios apoyados con esquemas colaborativos de organizaciones productivas.</t>
  </si>
  <si>
    <t>2.13.32.82.P.216</t>
  </si>
  <si>
    <t>Creación del Sistema Regional de Competitividad e Innovación SRCeI.</t>
  </si>
  <si>
    <t>SRCeI creado.</t>
  </si>
  <si>
    <t>2.13.32.82.P.217</t>
  </si>
  <si>
    <t>Apoyar a la creación y funcionamiento del observatorio de competitividad e innovación.</t>
  </si>
  <si>
    <t>Observatorio creado.</t>
  </si>
  <si>
    <t>2.13.32.82.P.218</t>
  </si>
  <si>
    <t xml:space="preserve">Realizar la Constitución legal, reglamentación y puesta en funcionamiento del Fondo para el Desarrollo del Quindío, como una estructura financiera para el desarrollo económico y social del departamento. </t>
  </si>
  <si>
    <t>Fondo para el Desarrollo del Quindío  en funcionamiento.</t>
  </si>
  <si>
    <t>2.13.32.82.P.219</t>
  </si>
  <si>
    <t>Promover la integración regional para proyectos de desarrollo.</t>
  </si>
  <si>
    <t>Número de Programas</t>
  </si>
  <si>
    <t>2.13.80.84.P.220</t>
  </si>
  <si>
    <t xml:space="preserve">Formular el Plan de Negocios internacionales del departamento. </t>
  </si>
  <si>
    <t>Plan formulado y en ejecución.</t>
  </si>
  <si>
    <t>2.13.80.84.P.221</t>
  </si>
  <si>
    <t>Promover en los empresarios el intercambio de conocimientos para el fortalecimiento de capacidades empresariales para la exportación.</t>
  </si>
  <si>
    <t>Número de empresarios vinculados a procesos de intercambio de conocimientos con el exterior.</t>
  </si>
  <si>
    <t>2.13.80.84.P.222</t>
  </si>
  <si>
    <t>Brindar asistencia técnica en temas de exportación y tratados de libre comercio en los municipios.</t>
  </si>
  <si>
    <t>Número de municipios con asistencia técnica brindada.</t>
  </si>
  <si>
    <t>2.13.80.85.P.223</t>
  </si>
  <si>
    <t>Formular y ejecutar el plan de marketing territorial.</t>
  </si>
  <si>
    <t>Plan de marketing territorial formulado y en ejecución.</t>
  </si>
  <si>
    <t>2.13.80.85.P.224</t>
  </si>
  <si>
    <t>Gestionar espacios de promoción económica del departamento frente a posibles inversionistas.</t>
  </si>
  <si>
    <t>Número de espacios de promoción económica del departamento gestionados.</t>
  </si>
  <si>
    <t>2.15.84.94.P.238</t>
  </si>
  <si>
    <t>Formular y poner  en marcha el PECTI.</t>
  </si>
  <si>
    <t>PECTI en ejecución.</t>
  </si>
  <si>
    <t>2.15.84.94.P.239</t>
  </si>
  <si>
    <t>Apoyar proyectos de investigación aplicada en cofinanciación con Colciencias.</t>
  </si>
  <si>
    <t>Número de proyectos investigación aplicada apoyados para cofinanciación con Colciencias.</t>
  </si>
  <si>
    <t>2.15.85.96.P.241</t>
  </si>
  <si>
    <t>Apoyar municipios en el fortalecimiento de su infraestructura tecnológica.</t>
  </si>
  <si>
    <t>Número de municipios fortalecidos.</t>
  </si>
  <si>
    <t>2.15.85.96.P.242</t>
  </si>
  <si>
    <t>Acompañar a municipios en la implementación y sostenibilidad de servicios de base tecnológica.</t>
  </si>
  <si>
    <t>Número de municipios acompañados.</t>
  </si>
  <si>
    <t>2.15.85.96.P.243</t>
  </si>
  <si>
    <t>Apoyar a los municipios en el desarrollo de aplicaciones que fortalezcan el ecosistema digital.</t>
  </si>
  <si>
    <t>Número de municipios apoyados.</t>
  </si>
  <si>
    <t>2.15.85.96.P.244</t>
  </si>
  <si>
    <t>Implementar el programa de TICs para la competitividad productiva y territorial</t>
  </si>
  <si>
    <t>Número de sectores con el programa TICs para la competitividad.</t>
  </si>
  <si>
    <t>2.15.85.96.P.245</t>
  </si>
  <si>
    <t>Apoyar a los municipios en la implementación de programas que incrementen la masificación, uso y apropiación de TICs</t>
  </si>
  <si>
    <t xml:space="preserve">Número de municipios con asistencia técnica. </t>
  </si>
  <si>
    <t>2.14.81.86.P.225</t>
  </si>
  <si>
    <t>Elaborar el plan de  promoción turística territorial para el cuatrienio.</t>
  </si>
  <si>
    <t>Plan de promoción formulado y ejecutado.</t>
  </si>
  <si>
    <t>2.14.81.87.P.226</t>
  </si>
  <si>
    <t>Apoyar la consolidación deproductos y/o servicios turísticos existentes en el departamento.</t>
  </si>
  <si>
    <t>Número de productos y/o servicios turísticos consolidados.</t>
  </si>
  <si>
    <t>2.14.81.88.P.227</t>
  </si>
  <si>
    <t>Sistema Único de información turística mejorado.</t>
  </si>
  <si>
    <t>2.14.81.88.P.228</t>
  </si>
  <si>
    <t>Apoyar a los empresarios del sector turístico en la incorporación de tics (una plataforma)</t>
  </si>
  <si>
    <t>Número de empresarios del sector Turístico que incorporan TICs.</t>
  </si>
  <si>
    <t>2.14.81.89.P.229</t>
  </si>
  <si>
    <t>Formular y gestionar proyectos de infraestructura y señalización turística.</t>
  </si>
  <si>
    <t>Número de proyectos aprobados de infraestructura y señalización turística.</t>
  </si>
  <si>
    <t>2.14.81.90.P.230</t>
  </si>
  <si>
    <t>Prestar apoyo y asistencia técnica a los municipios en iniciativas de marketing territorial con base en la gestión y promoción sustentable del paisaje.</t>
  </si>
  <si>
    <t>Número de municipios asistidos y apoyados técnicamente en iniciativas de marketing territorial con base en la gestión y promoción sustentable del paisaje.</t>
  </si>
  <si>
    <t>2.14.82.91.P.231</t>
  </si>
  <si>
    <t>Elaborar y ejecutar el plan de control de calidad interinstitucional.</t>
  </si>
  <si>
    <t>Plan de control de calidad formulado y ejecutado.</t>
  </si>
  <si>
    <t>2.14.83.92.P.232</t>
  </si>
  <si>
    <t>Impulsar redes empresariales para el fortalecimiento de la oferta del sector turístico.</t>
  </si>
  <si>
    <t>Número de redes impulsadas.</t>
  </si>
  <si>
    <t>2.14.83.92.P.233</t>
  </si>
  <si>
    <t>Asesorar la elaboración e implementación de planes de negocio para empresarios del sector turístico.</t>
  </si>
  <si>
    <t>Modelos de negocio elaborados e implementados.</t>
  </si>
  <si>
    <t>2.14.83.92.P.234</t>
  </si>
  <si>
    <t>Implementar procesos de formación a los actores que se involucran dentro de la cadena productiva del turismo (taxistas, sector educativo, guías, entre otros).</t>
  </si>
  <si>
    <t>Número de sectores relacionados con la cadena productiva del turismo, capacitados.</t>
  </si>
  <si>
    <t>2.14.83.92.P.235</t>
  </si>
  <si>
    <t>Elaborar e implementar un plan de turismo departamental.</t>
  </si>
  <si>
    <t>Número de Planes turísticos implementados.</t>
  </si>
  <si>
    <t>2.14.83.93.P.236</t>
  </si>
  <si>
    <t>Apoyar actividades que creen y/o fortalezcan líneas de producto en las modalidades del agroturismo, ecoturismo, turismo de aventura, turismo cultural y temático.</t>
  </si>
  <si>
    <t>Número de actividades que contribuyen a la creación y/o fortalecimiento de líneas de producto en las modalidades de turismo apoyadas.</t>
  </si>
  <si>
    <t>2.14.83.93.P.237</t>
  </si>
  <si>
    <t>Desarrollar procesos ambientalmente amigables dentro del desarrollo turístico del destino.</t>
  </si>
  <si>
    <t>Número de procesos ambientalmente amigables incorporados.</t>
  </si>
  <si>
    <t>DEPENDENCIA: SECRETARIA DE CULTURA</t>
  </si>
  <si>
    <t>1.3.39.26.P.74</t>
  </si>
  <si>
    <t>Adoptar mediante norma departamental el Plan Biocultura 2012-2022.</t>
  </si>
  <si>
    <t>Plan Departamental Biocultura 2012-2022 adoptado.</t>
  </si>
  <si>
    <t>1.3.39.26.P.75</t>
  </si>
  <si>
    <t>Capacitar a los actores del sector cultural y artístico.</t>
  </si>
  <si>
    <t>Número de actores del sector cultural y artístico capacitados.</t>
  </si>
  <si>
    <t>1.3.39.26.P.76</t>
  </si>
  <si>
    <t>Apoyar el funcionamiento de los consejos de cultura, de área y patrimonio.</t>
  </si>
  <si>
    <t>Número de consejos de cultura, de área y patrimonio en funcionamiento.</t>
  </si>
  <si>
    <t>1.3.39.26.P.77</t>
  </si>
  <si>
    <t>Crear la estampilla Pro-Cultura para el Departamento.</t>
  </si>
  <si>
    <t>Estampilla Pro-Cultura creada  para el departamento.</t>
  </si>
  <si>
    <t>1.3.39.27.P.78</t>
  </si>
  <si>
    <t>Crear el Sistema de Información Cultural.</t>
  </si>
  <si>
    <t>Sistema de Información Cultural Departamental creado.</t>
  </si>
  <si>
    <t>1.3.40.28.P.80</t>
  </si>
  <si>
    <t>Apoyar nuevos proyectos concertados para el fomento de  las expresiones y actividades artísticas y culturales.</t>
  </si>
  <si>
    <t>Número de proyectos nuevos apoyados en el programa departamental de concertación.</t>
  </si>
  <si>
    <t>1.3.40.28.P.81</t>
  </si>
  <si>
    <t>Apoyar nuevos eventos y actividades artísticas.</t>
  </si>
  <si>
    <t>Número de eventos y actividades artísticas y culturales apoyados.</t>
  </si>
  <si>
    <t>1.3.40.28.P.79</t>
  </si>
  <si>
    <t>Apoyar proyectos en el programa departamental de estímulos.</t>
  </si>
  <si>
    <t>Número de proyectos apoyados en el programa departamental de estímulos.</t>
  </si>
  <si>
    <t>RO - EST</t>
  </si>
  <si>
    <t>1.3.40.29.P.82</t>
  </si>
  <si>
    <t>Incrementar el número de escuelas de formación artística y salas concertadas apoyadas.</t>
  </si>
  <si>
    <t>Número de Escuelas de formación artística y salas apoyadas.</t>
  </si>
  <si>
    <t>1.3.40.30.P.83</t>
  </si>
  <si>
    <t>Apoyar y articular la red de bibliotecas y ludotecas</t>
  </si>
  <si>
    <t>Número de  bibliotecas y ludotecas apoyadas y articuladas a la red.</t>
  </si>
  <si>
    <t>1.3.40.30.P.84</t>
  </si>
  <si>
    <t>Adoptar las políticas departamentales de formación, estímulos, concertación de proyectos, lectura, escritura y bibliotecas.</t>
  </si>
  <si>
    <t>Numero de Políticas departamentales de formación, estímulos, concertación de proyectos, lectura, escritura y bibliotecas.</t>
  </si>
  <si>
    <t>1.3.40.30.P.85</t>
  </si>
  <si>
    <t>Aumentar el número de publicaciones a través del proyecto editorial Biblioteca de Autores Quindianos</t>
  </si>
  <si>
    <t>Número de libros publicados.</t>
  </si>
  <si>
    <t>1.3.41.31.P.86</t>
  </si>
  <si>
    <t>Aumentar el número de emisoras escolares y comunitarias vinculadas al proyecto radio ciudadanas espacios para la democracia.</t>
  </si>
  <si>
    <t>Número de emisoras comunitarias y escolares vinculadas.</t>
  </si>
  <si>
    <t>1.3.41.31.P.87</t>
  </si>
  <si>
    <t>Involucrar a los gestores culturales en procesos de formación de cultura ciudadana, política y ambiental.</t>
  </si>
  <si>
    <t>Número de gestores culturales involucrados en procesos de formación.</t>
  </si>
  <si>
    <t>1.3.41.32.P.88</t>
  </si>
  <si>
    <t>Incrementar número de proyectos dirigidos a poblaciones especiales.</t>
  </si>
  <si>
    <t>Número de proyectos apoyados.</t>
  </si>
  <si>
    <t>1.3.42.33.P.89</t>
  </si>
  <si>
    <t>Apoyar proyectos de investigación del patrimonio cultural en el PCC.</t>
  </si>
  <si>
    <t>1.3.42.33.P.90</t>
  </si>
  <si>
    <t>Realizar  actividades de difusión del PCC e implementar plan de manejo.</t>
  </si>
  <si>
    <t>Número de actividades realizadas.</t>
  </si>
  <si>
    <t>1.3.42.33.P.91</t>
  </si>
  <si>
    <t>Aumentar el número de las personas formadas como vigías del patrimonio PCC.</t>
  </si>
  <si>
    <t>Número de personas formadas como vigías.</t>
  </si>
  <si>
    <t>1.3.42.35.P.92</t>
  </si>
  <si>
    <t>Apoyar proyectos para inventariar, registrar, valorar y promover el patrimonio cultural y natural.</t>
  </si>
  <si>
    <t>IVA TM</t>
  </si>
  <si>
    <t>DEPENDENCIA: SECRETARIA DE HACIENDA Y FINANZAS PÚBLICAS</t>
  </si>
  <si>
    <t>5.22.104.137.P.351</t>
  </si>
  <si>
    <t>Adquirir e implementar  un módulo de administración y rentas departamental.</t>
  </si>
  <si>
    <t>Módulo adquirido y funcionando.</t>
  </si>
  <si>
    <t>5.22.104.137.P.352</t>
  </si>
  <si>
    <t>Adecuar puntos de atención para los contribuyentes.</t>
  </si>
  <si>
    <t>Puntos de atención con adecuación.</t>
  </si>
  <si>
    <t>5.22.104.138.P.354</t>
  </si>
  <si>
    <t>Realizar el mantenimiento al sistema de información de área de gestión tributaria.</t>
  </si>
  <si>
    <t>Módulos del SOFTWARE con mantenimiento y operando.</t>
  </si>
  <si>
    <t>5.22.104.138.P.355</t>
  </si>
  <si>
    <t>Realizar el cobro de la cartera morosa.</t>
  </si>
  <si>
    <t>Millones de pesos en Cartera morosa recobrada.</t>
  </si>
  <si>
    <t>1.2.6.11.P.44</t>
  </si>
  <si>
    <t>Apoyar la promoción de afiliación al régimen subsidiado en los municipios del departamento.</t>
  </si>
  <si>
    <t>1.2.6.11.P.45</t>
  </si>
  <si>
    <t>Asegurar la interventoría a los contratos de aseguramiento en todos los municipios.</t>
  </si>
  <si>
    <t>Número de municipios con interventoría a contratos de aseguramiento.</t>
  </si>
  <si>
    <t>1.2.6.12.P.46</t>
  </si>
  <si>
    <t>Garantizar la contratación de servicios de salud en todos los municipios para la población no asegurada y víctimas del conflicto armado.</t>
  </si>
  <si>
    <t>Número de municipios con contratos de prestación de servicios para la población no asegurada y víctimas del conflicto armado.</t>
  </si>
  <si>
    <t>1.2.6.12.P.47</t>
  </si>
  <si>
    <t>Garantizar la auditoría de contratos de prestación de servicios en todos los municipios</t>
  </si>
  <si>
    <t>No de Municipios con auditoría a los contratos de prestación de servicios</t>
  </si>
  <si>
    <t>1.2.6.12.P.48</t>
  </si>
  <si>
    <t>1.2.6.13.P.49</t>
  </si>
  <si>
    <t>Incrementar el cumplimiento de requisitos de habilitación en las IPS[1] públicas y privadas del departamento.</t>
  </si>
  <si>
    <t>Número de IPS pública y privadas con cumplimiento de estándares.</t>
  </si>
  <si>
    <t>1.2.6.13.P.50</t>
  </si>
  <si>
    <t>Acreditar en calidad las IPS públicas de 2o y 3er nivel del departamento.</t>
  </si>
  <si>
    <t>1.2.6.13.P.51</t>
  </si>
  <si>
    <t xml:space="preserve">Gestionar la suficiencia de la red pública departamental. </t>
  </si>
  <si>
    <t>Número de ESES acompañadas en el proceso de suficiencia de la red pública departamental.</t>
  </si>
  <si>
    <t>1.2.6.14.P.52</t>
  </si>
  <si>
    <t>Promover la prestación de servicios de salud a todas las poblaciones vulnerables.</t>
  </si>
  <si>
    <t>Número de municipios con listados censales incluyentes de las poblaciones vulnerables.</t>
  </si>
  <si>
    <t>1.2.6.15.P.53</t>
  </si>
  <si>
    <t>Actualizar y articular los planes de emergencia hospitalaria en las ESE del departamento con los planes locales de emergencia.</t>
  </si>
  <si>
    <t>Numero de ESE con planes de emergencia hospitalaria actualizado y articulado con los planes locales de emergencia.</t>
  </si>
  <si>
    <t>1.2.6.16.P.54</t>
  </si>
  <si>
    <t>Preparar a través de simulacros de atención la respuesta de la red pública ante la presencia de desastres y emergencias.</t>
  </si>
  <si>
    <t>1.2.7.17.P.55</t>
  </si>
  <si>
    <t>Desarrollar la estrategia AIEPI en todos los municipios (morbi-mortalidad).</t>
  </si>
  <si>
    <t>Número de municipios con estrategia AIEPI implementada.</t>
  </si>
  <si>
    <t>1.2.7.17.P.56</t>
  </si>
  <si>
    <t>Seguimiento al cumplimiento de las normas técnicas para atención segura del binomio madre- hijo en las ESE (detección de alteraciones del embarazo, parto, puerperio, interrupción voluntaria del embarazo).</t>
  </si>
  <si>
    <t>Numero de ESE con normas técnicas implementadas para la atención del binomio madre-hijo.</t>
  </si>
  <si>
    <t>1.2.7.17.P.57</t>
  </si>
  <si>
    <t>Promover  hábitos higiénicos en salud oral en los ámbitos laborales, escolares y en el hogar en los municipios del departamento.</t>
  </si>
  <si>
    <t>Número de municipios con promoción de hábitos higiénicos.</t>
  </si>
  <si>
    <t>1.2.7.17.P.58</t>
  </si>
  <si>
    <t>Mantener la búsqueda activa de sintomáticos respiratorios y de piel y prevención de enfermedades trasmisibles en el departamento.</t>
  </si>
  <si>
    <t>Número de municipios con grupos de búsqueda activa de sintomáticos respiratorios activos.</t>
  </si>
  <si>
    <t>1.2.7.17.P.59</t>
  </si>
  <si>
    <t>Apoyar la implementación de la estrategia de espacios públicos y de trabajo libres de humo de tabaco en los municipios del Quindío.</t>
  </si>
  <si>
    <t>Número de municipios apoyados para implementación de la estrategia de espacios públicos y de trabajo sin humo.</t>
  </si>
  <si>
    <t>1.2.7.17.P.60</t>
  </si>
  <si>
    <t>Apoyo a la implementación de programas municipales de fomento y protección de patrones alimentarios adecuados en la primera infancia.</t>
  </si>
  <si>
    <t>Número de municipios apoyados para la implementación de patrones alimentarios adecuados en la primera infancia.</t>
  </si>
  <si>
    <t>1.2.7.17.P.61</t>
  </si>
  <si>
    <t xml:space="preserve">Conformar y hacer operativo el Consejo Territorial Departamental de Zoonosis. </t>
  </si>
  <si>
    <t>Consejo Territorial de Zoonosis operando.</t>
  </si>
  <si>
    <t>1.2.7.18.P.62</t>
  </si>
  <si>
    <t>Aumentar la visita de I.V.C.  en los establecimientos farmacéuticos del departamento.</t>
  </si>
  <si>
    <t>Número de establecimientos farmacéuticos con visitas de I.V.C.</t>
  </si>
  <si>
    <t>1.2.7.18.P.63</t>
  </si>
  <si>
    <t>Número de establecimientos que manejan sustancias potencialmente tóxicas con visitas de I.V.C.</t>
  </si>
  <si>
    <t>1.2.7.18.P.64</t>
  </si>
  <si>
    <t>Garantizar visita de I.V.C a establecimientos de alimentos clasificados de alto riesgo.</t>
  </si>
  <si>
    <t>Número de establecimientos de alimentos calificados de alto riesgo con visitas de I.V.C.</t>
  </si>
  <si>
    <t>1.2.7.18.P.65</t>
  </si>
  <si>
    <t xml:space="preserve">Garantizar visitas de I.V.C. a generadores de residuos hospitalarios, prestadores de servicios de agua para consumo humano y generadores de contaminación y factores de riesgo asociados a su actividad. </t>
  </si>
  <si>
    <t>Número de sujetos de atención en saneamiento básico con visitas de I.V.C.</t>
  </si>
  <si>
    <t>3.16.86.98.P.247</t>
  </si>
  <si>
    <t>Realizar asistencia técnica a las entidades territoriales en la formulación e implementación de los Planes de Ordenamiento Territorial.</t>
  </si>
  <si>
    <t>Número de entidades territoriales asistidas en la formulación e implementación de sus POT.</t>
  </si>
  <si>
    <t>3.16.86.98.P.248</t>
  </si>
  <si>
    <t xml:space="preserve">Realizar asistencia  técnica a proyectos que requieren tratamientos urbanísticos en los municipios del departamento. </t>
  </si>
  <si>
    <t>3.16.86.98.P.249</t>
  </si>
  <si>
    <t>Apoyar  procesos asociativos supramunicipales en oportunidades territoriales.</t>
  </si>
  <si>
    <t>Número de procesos asociativos supramunicipales apoyados.</t>
  </si>
  <si>
    <t>3.16.86.98.P.250</t>
  </si>
  <si>
    <t>Apoyar la aplicación de los instrumentos de gestión urbana y rural en los municipios.</t>
  </si>
  <si>
    <t>Número de municipios apoyados en la aplicación de los instrumentos de gestión urbano y rural.</t>
  </si>
  <si>
    <t>3.16.86.98.P.251</t>
  </si>
  <si>
    <t>Crear la comisión regional de ordenamiento territorial.</t>
  </si>
  <si>
    <t>Comision regional de ordenamiento territorial creada</t>
  </si>
  <si>
    <t>3.16.86.98.P.253</t>
  </si>
  <si>
    <t xml:space="preserve">Apoyar la gestión para la puesta en marcha del Observatorio Departamental. </t>
  </si>
  <si>
    <t>Número de gestiones realizadas.</t>
  </si>
  <si>
    <t>3.16.86.99.P.254</t>
  </si>
  <si>
    <t>Apoyar  la construcción de cartografía temática  de datos espaciales e insumos para el ordenamiento territorial departamental con base en cartografía base oficial.</t>
  </si>
  <si>
    <t>Número de temáticas cartográficas construidas e incorporadas en el SIG Quindío.</t>
  </si>
  <si>
    <t>3.16.86.99.P.255</t>
  </si>
  <si>
    <t>Incrementar el número de actores vinculados al nodo de información geográfica e infraestructura de datos espaciales del Quindío.</t>
  </si>
  <si>
    <t>Número de actores vinculados al nodo de información geográfica e  infraestructura de datos espaciales del Quindío.</t>
  </si>
  <si>
    <t>3.16.86.100.P.256</t>
  </si>
  <si>
    <t xml:space="preserve">Apoyar la inclusión de directrices de manejo del PCC en los planes de ordenamiento territorial. </t>
  </si>
  <si>
    <t>Número de planes de ordenamiento territorial apoyados para la inclusión de  directrices de manejo del PCC.</t>
  </si>
  <si>
    <t>4.18.96.121.P.302</t>
  </si>
  <si>
    <t>Asistir a los municipios en el ordenamiento territorial sostenible de los usos productivos en suelo urbano y rural.</t>
  </si>
  <si>
    <t>Número de municipios asistidos en el ordenamiento sostenible de usos productivos en suelo urbano y rural.</t>
  </si>
  <si>
    <t>5.20.99.129.P.321</t>
  </si>
  <si>
    <t xml:space="preserve">Iniciar proceso de ajuste al sistema de gestión de calidad con miras a la certificación, bajo la normal técnica aplicable </t>
  </si>
  <si>
    <t xml:space="preserve">Sistema de gestión de calidad ajustado. </t>
  </si>
  <si>
    <t>5.20.99.129.P.322</t>
  </si>
  <si>
    <t>Implementación, mantenimiento del SIGA.[1]</t>
  </si>
  <si>
    <t>SIGA implementado y mantenido.</t>
  </si>
  <si>
    <t>5.20.101.131.P.327</t>
  </si>
  <si>
    <t>Promocionar los sectores y productos del Departamento del Quindío.</t>
  </si>
  <si>
    <t>Número de sectores y productos promocionados.</t>
  </si>
  <si>
    <t>5.20.101.131.P.328</t>
  </si>
  <si>
    <t>Implementar la oficina de atención al quindiano.</t>
  </si>
  <si>
    <t>Oficina de atención al quindiano implementada.</t>
  </si>
  <si>
    <t>5.20.101.131.P.329</t>
  </si>
  <si>
    <t>Acompañar la gestión de proyectos departamentales y municipales</t>
  </si>
  <si>
    <t>Número de proyectos departamentales y municipales acompañados en su gestión.</t>
  </si>
  <si>
    <t>5.20.101.132.P.330</t>
  </si>
  <si>
    <t>Terminar de Implementar el sistema de información geográfica del departamento.</t>
  </si>
  <si>
    <t>Sistema de información geográfica totalmente implementado.</t>
  </si>
  <si>
    <t>5.20.101.132.P.331</t>
  </si>
  <si>
    <t>Brindar acompañamiento y asesoramiento a Municipios del departamento del Quindío en sistemas de información (SISBEN)</t>
  </si>
  <si>
    <t>Número de Municipios asesorados.</t>
  </si>
  <si>
    <t>5.20.101.132.P.332</t>
  </si>
  <si>
    <t>Adaptar módulo de planeación precontractual, ajustándolo al modelo de enfoque poblacional (distribución GP por ciclo vital y enfoque diferencial).</t>
  </si>
  <si>
    <t>Módulo ajustado.</t>
  </si>
  <si>
    <t>5.20.101.133.P.333</t>
  </si>
  <si>
    <t>Apoyar la formulación e implementación de proyectos estratégicos, alianzas público-privadas, o esquemas asociativos territoriales que permitan mejorar el acceso a recursos (técnicos o financieros) de orden regional o nacional y la vinculación de agentes públicos, privados o mixtos en torno a necesidades o potencialidades del desarrollo.</t>
  </si>
  <si>
    <t>Número de planes estratégicos formulados e implementados.</t>
  </si>
  <si>
    <t>5.20.101.133.P.334</t>
  </si>
  <si>
    <t>Fortalecer la capacidad institucional conducente a la gestión de recursos, proyectos o programas de cooperación técnica y/o financiera de orden  internacional, nacional, regional, público, privado o mixto que contribuyan o coadyuven al desarrollo territorial.</t>
  </si>
  <si>
    <t>Número de proyectos, programas, convenios, alianzas o contratos de cooperación y/o asociación de tipo técnico y/o financiero,  suscritos.</t>
  </si>
  <si>
    <t>5.20.101.134.P.336</t>
  </si>
  <si>
    <t>Brindar acompañamiento y asesoría en desempeño municipal.</t>
  </si>
  <si>
    <t xml:space="preserve">Número de municipios asesorados. </t>
  </si>
  <si>
    <t>5.20.101.134.P.337</t>
  </si>
  <si>
    <t>Fortalecer la capacidad de formulación y gestión de proyectos en los municipios.</t>
  </si>
  <si>
    <t>Número de proyectos presentados por municipio</t>
  </si>
  <si>
    <t>5.20.101.134.P.338</t>
  </si>
  <si>
    <t>Apoyar financiera y logísticamente al consejo territorial de planeación.</t>
  </si>
  <si>
    <t>Consejo Territorial de Planeación apoyado.</t>
  </si>
  <si>
    <t xml:space="preserve">DEPENDENCIA: SECRETARIA DE PLANEACIÓN </t>
  </si>
  <si>
    <t>Articular los Doce (12) Municipios y el Departamento con los Agentes de Cooperación, a través de la Casa Delegada Sede Bogota DC</t>
  </si>
  <si>
    <t xml:space="preserve">Promocionar Tres (3) sectores y productivos del Departamento del Quindío. </t>
  </si>
  <si>
    <t xml:space="preserve">Una herramienta tecnologica  apoyada y fortalecida  -  2 Equipos y 1 Software Actualizados - Generar una  meta direccionada a la adquisicion de componentes tecnologicos </t>
  </si>
  <si>
    <t>Incrementar en cuatro porciento (4%) los recursos de Cooperación Invertidos en el Departamento del Quindío.</t>
  </si>
  <si>
    <t>Gobernaciòn del quindìo y los doce (12) muncipios CON UN BUEN DESEMPEÑO EN LA INVERSION PUBLICA -  Ejecuciòn de un proceso de anàlisis de desempeño municipal -  Aplicaciòn de un software</t>
  </si>
  <si>
    <t xml:space="preserve">ARTICULACION DE LA GOBERNACIÓN DEL QUINDIO CON LOS DOCE MUNICIPIOS - Doce (12) municipios del departamento asesorados y asistidos técnicamente - Once (11) secretarias de la gobernación y tres (3) entes descentralizados asesorados y asistidos tecnicamente </t>
  </si>
  <si>
    <t xml:space="preserve">Acompañamiento Municipal y Departamental a los 12 Consejos Territoriales de Planeación conjuntamente con los Consejeros padrinos asignados para cada Municipio -  12 municipios asesorados en los temas de participación ciudadana - Apoyo para el desplazamiento periódico de los consejeros a las diferentes actividades concernientes a la participación ciudadana - </t>
  </si>
  <si>
    <t>5.20.99.127.P.319</t>
  </si>
  <si>
    <t>Realizar modernización administrativa basada en procesos.</t>
  </si>
  <si>
    <t>Modernización administrativa realizada.</t>
  </si>
  <si>
    <t>5.22.106.139.P.357</t>
  </si>
  <si>
    <t>Implementar y desarrollar una Estrategia  de  control de las entidades públicas departamentales en tiempo real  como difusores de los derechos de los ciudadanos</t>
  </si>
  <si>
    <t>Estrategia implementada y desarrollada.</t>
  </si>
  <si>
    <t>5.22.106.139.P.358</t>
  </si>
  <si>
    <t>Implementar el programa "12 horas con la gobernadora " para brindar atención a los ciudadano y alas organizaciones sociales y comunitarias sin cita previa.</t>
  </si>
  <si>
    <t>Número de horas de atención a la comunidad.</t>
  </si>
  <si>
    <t>5.22.106.139.P.359</t>
  </si>
  <si>
    <t xml:space="preserve">Realizar seguimiento a los acuerdos programáticos realizados con sindicatos, organizaciones sociales ,onegs, tec. </t>
  </si>
  <si>
    <t>Número de seguimientos realizados</t>
  </si>
  <si>
    <t>5.22.106.141.P.366</t>
  </si>
  <si>
    <t>Desarrollar encuentros participativos de los sectores públicos, privados, sociales, cívicos y comunitarios en el que se aporte y se apoye el desarrollo comunitario de todos y cada uno de los municipios del departamento.</t>
  </si>
  <si>
    <t>Número de Encuentros Desarrollados.</t>
  </si>
  <si>
    <t>5.22.106.141.P.367</t>
  </si>
  <si>
    <t>Apoyar a las instituciones públicas, privadas, cívicas y sociales en la realización de eventos que permitan el desarrollo institucional, comercial y turístico del departamento dentro y fuera del país.</t>
  </si>
  <si>
    <t>Numero de instituciones apoyadas</t>
  </si>
  <si>
    <t>5.22.106.141.P.368</t>
  </si>
  <si>
    <t xml:space="preserve">Gestionar recursos para  proyectos, convenios, contratos o alianzas de orden nacional, regional, o internacional, con agentes públicos, privados o mixtos que contribuyan al cumplimiento de los fines y objetivos del plan </t>
  </si>
  <si>
    <t>Recursos gestionados en millones de pesos</t>
  </si>
  <si>
    <t>Mejorar las finanzas del departamento del quindio.</t>
  </si>
  <si>
    <t>5.22.106.140.P.360</t>
  </si>
  <si>
    <t>Revisar, ajustar y publicar el manual de contratación.</t>
  </si>
  <si>
    <t>Manual de contratación revisado, actualizado y publicado.</t>
  </si>
  <si>
    <t>5.22.106.140.P.361</t>
  </si>
  <si>
    <t>Revisar y ajustar el proceso de contratación del departamento.</t>
  </si>
  <si>
    <t>Proceso de contratación revisado y ajustado.</t>
  </si>
  <si>
    <t>5.22.106.140.P.362</t>
  </si>
  <si>
    <t>Capacitar a los funcionarios que tienen vínculo con la contratación.</t>
  </si>
  <si>
    <t>Número de funcionarios capacitaciones.</t>
  </si>
  <si>
    <t>5.22.106.140. P.365</t>
  </si>
  <si>
    <t>Actualizar el Inventario ordenanzal vigente</t>
  </si>
  <si>
    <t>Inventario actualizado</t>
  </si>
  <si>
    <t>JHON JAMES FERNANDEZ</t>
  </si>
  <si>
    <t xml:space="preserve">DEPENDENCIA: OFICINA PRIVADA </t>
  </si>
  <si>
    <t>Adoptar e implementar la política pública de equidad de género.</t>
  </si>
  <si>
    <t>Incrementar las oportunidades rurales para las mujeres.</t>
  </si>
  <si>
    <t>Número de nuevos proyectos productivos.</t>
  </si>
  <si>
    <t>Apoyar programas de fomento de la producción cafetera con mujeres rurales.</t>
  </si>
  <si>
    <t>Elaborar e implementar el proyecto de atención integral a las mujeres víctimas de la violencia.</t>
  </si>
  <si>
    <t>Proyecto de prevención y atención para las mujeres víctimas de la violencia  elaborado e implementado.</t>
  </si>
  <si>
    <t>Número de municipios con acciones de capacitación y sensibilización</t>
  </si>
  <si>
    <t>Apoyar el funcionamiento de los consejos municipales de mujer</t>
  </si>
  <si>
    <t>Número de consejos apoyados</t>
  </si>
  <si>
    <t>Crear el consejo comunitario departamental de mujeres</t>
  </si>
  <si>
    <t>Consejo departamental creado</t>
  </si>
  <si>
    <t>Apoyar el plan de vida del resguardo indígena DACHI AGORE DRUA.</t>
  </si>
  <si>
    <t>Resguardo  apoyado.</t>
  </si>
  <si>
    <t>Realizar el estudio de caracterización de la población indígena asentada en el departamento del Quindío.</t>
  </si>
  <si>
    <t>Estudio realizado.</t>
  </si>
  <si>
    <t>Apoyar el desarrollo de los pueblos indígenas que se encuentran en el departamento del Quindío con énfasis en la protección y en el goce efectivo de los derechos fundamentales: seguridad alimentaria, emprendimiento, cultura, educación, género, familia, identidad, gobernabilidad, salud y justicia especial indígena.</t>
  </si>
  <si>
    <t>Número de pueblos apoyados.</t>
  </si>
  <si>
    <t>Número de unidades productivas apoyadas.</t>
  </si>
  <si>
    <t>Proyecto diseñado e implementado.</t>
  </si>
  <si>
    <t>Plan apoyado.</t>
  </si>
  <si>
    <t>Proyecto apoyado e implementado.</t>
  </si>
  <si>
    <t>Política pública adoptada e implementada.</t>
  </si>
  <si>
    <t>Número de caracterizaciones realizadas.</t>
  </si>
  <si>
    <t>Organizaciones apoyadas</t>
  </si>
  <si>
    <t>Programa implementado.</t>
  </si>
  <si>
    <t>Número de casos denunciados por maltrato en niños, niñas y adolescentes entre 0 y 17 años.</t>
  </si>
  <si>
    <t>Número de casos de denuncia por abuso sexual en niños, niñas y adolescentes.</t>
  </si>
  <si>
    <t>Número de valoraciones médico legales por presunto delito de maltrato infantil.</t>
  </si>
  <si>
    <t>Número de hogares de paso apoyados.</t>
  </si>
  <si>
    <t>Programa apoyado.</t>
  </si>
  <si>
    <t>Número de comités apoyados</t>
  </si>
  <si>
    <t>Número de comités apoyados.</t>
  </si>
  <si>
    <t>Número de niños, niñas y adolescentes que participan en una actividad remunerada o no.</t>
  </si>
  <si>
    <t>Número de niños, niñas y adolescentes que trabajan 15 horas o más en oficios del hogar.</t>
  </si>
  <si>
    <t>Programa creado y apoyado</t>
  </si>
  <si>
    <t>Plan formulado e implementado</t>
  </si>
  <si>
    <t>Número de niños, niñas y adolescentes entre 14 y 17 años infractores de la ley penal vinculados a procesos judiciales.</t>
  </si>
  <si>
    <t>Número de adolescentes entre 14 y 17 años infractores de la ley penal reincidentes.</t>
  </si>
  <si>
    <t>Número de adolescentes entre 14 y 17 años privados de libertad procesados conforme a la ley.</t>
  </si>
  <si>
    <t>Política pública formulada e implementada.</t>
  </si>
  <si>
    <t xml:space="preserve">Estrategia implementada  </t>
  </si>
  <si>
    <t>Acciones implementadas</t>
  </si>
  <si>
    <t>Centro creado</t>
  </si>
  <si>
    <t>Plan formulado.</t>
  </si>
  <si>
    <t>Programa de fomento de la ciencia, la tecnología y la innovación en ejecución.</t>
  </si>
  <si>
    <t>Número de niños, niñas y adolescentes vinculados a proyecto de innovación.</t>
  </si>
  <si>
    <t>Convenios implementados</t>
  </si>
  <si>
    <t>Campañas desarrolladas</t>
  </si>
  <si>
    <t>Acciones promovidas</t>
  </si>
  <si>
    <t>Componente de política apoyado</t>
  </si>
  <si>
    <t>Programas creados e implementados</t>
  </si>
  <si>
    <t>Número de adultos mayores beneficiarios.</t>
  </si>
  <si>
    <t>1.2.9.19.P.66</t>
  </si>
  <si>
    <t>Apoyar la conformación de los Comités Locales de Salud ocupacional municipales</t>
  </si>
  <si>
    <t>Número de municipios apoyados en la conformidad del comité local de salud ocupacional operando</t>
  </si>
  <si>
    <t>1.2.9.20.P.67</t>
  </si>
  <si>
    <t>Promover la implementación y cumplimiento del Programa de Salud Ocupacional en las empresas del departamento con mayor riesgo laboral</t>
  </si>
  <si>
    <t>Número de campañas de promoción elaboradas</t>
  </si>
  <si>
    <t>1.2.9.21.P.68</t>
  </si>
  <si>
    <t>Imcrementar el número de ESE municipales con PIC Plan de Intervenciones Colectivas</t>
  </si>
  <si>
    <t>1.2.37.22.P.69</t>
  </si>
  <si>
    <t>Diseñar e implementar un programa de orientación preventiva , para mejorar percepción del riesgo y disminuir la actitud permisiva de la comunidad frente al consumo de sustancias lícitas e ilícitas</t>
  </si>
  <si>
    <t>Un programa de orientación preventiva implementado</t>
  </si>
  <si>
    <t>1.2.37.23.P.70</t>
  </si>
  <si>
    <t>Implememntar de un modelo de atención primaria en salud mental</t>
  </si>
  <si>
    <t>1.2.37.23.P.71</t>
  </si>
  <si>
    <t>Apoyar las entidades que realizan actividades de superación y rehabilitación en el  consumo de SPA</t>
  </si>
  <si>
    <t>Número de entidades apoyadas</t>
  </si>
  <si>
    <t>1.2.38.24.P.72</t>
  </si>
  <si>
    <t>Canalizar acciones de promoción de la salud y de prevención de los riesgos hacia poblaciones especiales y vulnerables en los muicipios del Quindío</t>
  </si>
  <si>
    <t>Número de muicipios con acciones de promoción de la salud y prevención de los riesgos</t>
  </si>
  <si>
    <t>1.2.38.25.P.73</t>
  </si>
  <si>
    <t>Promover jornadas de registro e identificación en los municipios del departamento para niños, niñas y adolescentes</t>
  </si>
  <si>
    <t>Jornadas de registro e identificación realizadas</t>
  </si>
  <si>
    <t xml:space="preserve">DEPENDENCIA:  SECRETARIA DE AGRICULTURA, DESARROLLO RURAL Y MEDIO AMBIENTE </t>
  </si>
  <si>
    <t>Plan de Estratégico Desarrollo Rural formulado.</t>
  </si>
  <si>
    <t>R.O</t>
  </si>
  <si>
    <t>Número de municipios que reciben asistencia técnica en la implementación del plan.</t>
  </si>
  <si>
    <t>CONSEA conformado y Operando.</t>
  </si>
  <si>
    <t>Número de comités municipales de Desarrollo Rural conformados y operando</t>
  </si>
  <si>
    <t>Número de municipios con el  EVA/SIG, implementado</t>
  </si>
  <si>
    <t>Número de Políticas implementadas</t>
  </si>
  <si>
    <t>Número de municipios apoyados en la implementación de la estrategia.</t>
  </si>
  <si>
    <t xml:space="preserve">Número de encadenamientos productivos  enmarcados dentro de las cadenas productivas reconocidas por el ministerio de agricultura y desarrollo rural, apoyadas y/o fortalecidas </t>
  </si>
  <si>
    <t>Número de convenios apoyados</t>
  </si>
  <si>
    <t>Número de iniciativas apoyadas.</t>
  </si>
  <si>
    <t>Proyecto Apoyado</t>
  </si>
  <si>
    <t>Número de programas</t>
  </si>
  <si>
    <t>Número de programas de investigación aplicada apoyados.</t>
  </si>
  <si>
    <t>Número de programas de actualización ó transferencia de tecnología y conocimiento apoyados.</t>
  </si>
  <si>
    <t>Número de jóvenes vinculados a programas de relevo generacional.</t>
  </si>
  <si>
    <t>Número de proyectos  apoyados.</t>
  </si>
  <si>
    <t>Número de convenios en ejecución para consecución y/o suministro de material de propagación.</t>
  </si>
  <si>
    <t>Número de proyectos de mejora en centros de abastecimiento urbano municipales que reciben asistencia técnica.</t>
  </si>
  <si>
    <t>Número de municipios apoyados</t>
  </si>
  <si>
    <t>Estudio de viabilidad de sistemas productivos con valor agregado  realizado.</t>
  </si>
  <si>
    <t>Número de hectáreas de café sembradas en el departamento</t>
  </si>
  <si>
    <t xml:space="preserve">Número de acciones realizadas en los municipios con cuencas abastecedoras para la protección del recurso hídrico articulado con CRQ </t>
  </si>
  <si>
    <t>Número de predios adquiridos o estrategías implementadas para el manejo y protección de ecosistemas estrategicos</t>
  </si>
  <si>
    <t>Número de áreas protegidas con programas de guianza ambiental y senderos ecológicos habilitados.</t>
  </si>
  <si>
    <t xml:space="preserve">Número de programas de educación ambiental apoyados en áreas de conservación estratégica. Propiedad Gobernación del Quindío </t>
  </si>
  <si>
    <t>Comité fortalecido</t>
  </si>
  <si>
    <t xml:space="preserve">Número de centros educativos rurales asistidos pedagógicamente en educación ambiental </t>
  </si>
  <si>
    <t xml:space="preserve">Número de instituciones y organizaciones ambientales apoyadas en buenas prácticas ambientales. </t>
  </si>
  <si>
    <t xml:space="preserve">Número de acuerdos apoyados para la aplicación de sistemas de producción limpia y sostenible a los sectores productivos. </t>
  </si>
  <si>
    <t xml:space="preserve">Número de municipios apoyados en el desarrollo de determinantes de prevención, mitigación y corrección de impactos ambientales para los sectores productivos priorizados. </t>
  </si>
  <si>
    <t>Número de acompañamiento en la ejecución  del Plan Departamental de Biocomercio 2012-2017.</t>
  </si>
  <si>
    <t xml:space="preserve">Número de marcas consolidadas o empresas apoyadas en el departamento en este mercado. </t>
  </si>
  <si>
    <t>Número de entidades territoriales apoyadas para incorporar los objetivos de calidad paisajística en un instrumento de ordenamiento territorial supramunicipal para áreas urbanas y rurales.</t>
  </si>
  <si>
    <t>Documento técnico  elaborado que contenga la cartografía departamental de los componentes del paisaje.</t>
  </si>
  <si>
    <t>Número de municipios con actividades de fomento de la legalidad de actividades mineras.</t>
  </si>
  <si>
    <t>Número de intervenciones megaminerías en el paisaje cultural cafetero del departamento.</t>
  </si>
  <si>
    <t xml:space="preserve">(1) programa fortalecido  -  5 Instituciones u organizaciones fortalecidas que prestan apoyo a la población con discapacidad en los municipios del Departamento del Quindío -  Dos campañas de divulgacion de la politica </t>
  </si>
  <si>
    <t>1 cluster conformado</t>
  </si>
  <si>
    <t>150 Proveedores y empresarios viculados al banco de proveedores local</t>
  </si>
  <si>
    <t xml:space="preserve">Apoyar procesos de investigacion aplicada en cofinaciacion con colciencias. </t>
  </si>
  <si>
    <t xml:space="preserve">1 documento redactado.  -  Tres convenios de fotalecimientos firmados. </t>
  </si>
  <si>
    <t xml:space="preserve">Minimo se involucrara un sector productivo con TIC´s para la competitividad. </t>
  </si>
  <si>
    <t xml:space="preserve">Un municipio del Quindio. </t>
  </si>
  <si>
    <t xml:space="preserve">Un sector productivo del departamento del quindio. </t>
  </si>
  <si>
    <t>DEPENDENCIA: SECRETARIA DE FAMILIA</t>
  </si>
  <si>
    <t>Generar espacios de inclusión social a través de grupos deportivos, arte y música que le den pertenencia al individuo y le permitan elaborar un proyecto de vida, al tiempo que se siente aceptado e importante dentro del funcionamiento de la sociedad</t>
  </si>
  <si>
    <t>Mejorar la calidad de vida de las mujeres rurales del depto del Quindío</t>
  </si>
  <si>
    <t>Mejorar las condiciones de vida de las mujeres Quindianas</t>
  </si>
  <si>
    <t>Promover accione de capacitación y sensibilización para la prevención de la violencia contra la mujer en los 12 municipios</t>
  </si>
  <si>
    <t>Apoyar la conformación y operatividad de los consejos comunitarios de mujeres del depto del Quindío</t>
  </si>
  <si>
    <t>Apoyar la garantía de los derechos de las familias del  resguardo DACHI AGORE DRUA</t>
  </si>
  <si>
    <t>Impulsar estrategias Institucionales y de promoción y de protección de los derechos humanos de la comunidad indígena con el fin de mejorar su calidad de vida</t>
  </si>
  <si>
    <t>Realizar el estudio de caracterización de la población afro descendiente asentada en el departamento del Quindío.</t>
  </si>
  <si>
    <t>Caracterización de la población afro descendiente caracterizada.</t>
  </si>
  <si>
    <t>Realizar acciones tendientes al fortalecimiento de la capacidad Institucional y estimulo a la participación de las comunidades afrocolombianas que conlleven a la valoración y reconocimiento, de la diversidad étnica y su inclusión social</t>
  </si>
  <si>
    <t>Crear un sistema de información de afro descendiente en el Quindío.</t>
  </si>
  <si>
    <t>Sistema de información creado</t>
  </si>
  <si>
    <t>Apoyar la consolidación  de unidades productivas de las comunidades afro descendientes del Departamento.</t>
  </si>
  <si>
    <t>Caracterizar a la población afrocolombiana del depto</t>
  </si>
  <si>
    <t>Diseñar un proyecto para el fortalecimiento y recuperación de la identidad cultural de la población afro descendiente del departamento.</t>
  </si>
  <si>
    <t>Apoyar el plan de desarrollo de la comunidad afro descendiente del departamento del Quindío  con énfasis en cultura, educación y salud.</t>
  </si>
  <si>
    <t>Diseñar e implementar un proyecto de formación, conocimiento y organización de las personas afro descendientes y las organizaciones de base afro descendiente del Departamento del Quindío.</t>
  </si>
  <si>
    <t xml:space="preserve">Generar representatividad e incidencia de las personas con discapacidad en los escenarios de participación social y política del depto.              </t>
  </si>
  <si>
    <t>Comités fortalecidos</t>
  </si>
  <si>
    <t>Diseñar e implementar estrategias de afrontamiento y sensibilización de las condiciones de discapacidad dentro de la familia y la sociedad</t>
  </si>
  <si>
    <t>Apoyar la participación de niños, niñas y adolescentes en consejos de política social y gobiernos escolares del depto</t>
  </si>
  <si>
    <t>Apoyar a la sociedad y a la familia en el diseño de estrategias que permitan garantizar el derecho de los niños, niñas y adolescentes del depto y no estar en una actividad perjudicial</t>
  </si>
  <si>
    <t>Número de niños, niñas y adolescentes entre 0 y  17 años víctimas de minas anti personas.</t>
  </si>
  <si>
    <t>Disminuir el No. de menores infractores entre los 14 y 17 años procesados conforme a la Ley penal adolescente</t>
  </si>
  <si>
    <t>Formular la política publica de infancia, adolescencia y familia</t>
  </si>
  <si>
    <t>Implementar una política publica departamental de juventud acorde con los requerimientos y necesidades de la población joven del departamento</t>
  </si>
  <si>
    <t>Asociación de jóvenes que hacen parte de la Red Departamental de Emprendimiento.</t>
  </si>
  <si>
    <t>Población joven del Quindío más participativa, expresiva y productiva</t>
  </si>
  <si>
    <t>Incentivar la vocación profesional en los jovenes del departamento del Quindío</t>
  </si>
  <si>
    <t>Reducir la tasa de drogadicción y embarazos en adolescentes en el depto del Quindío</t>
  </si>
  <si>
    <t>Fortalecer el núcleo familiar en el depto del Quindío</t>
  </si>
  <si>
    <t>Número de CBA apoyados</t>
  </si>
  <si>
    <t>Generar mecanismos que permitan estructurar la cultura como un sistema integro para el fortalecimiento y desarrollo cutlural del depto del Quindío.</t>
  </si>
  <si>
    <t>Capacitar 30 actores y gestores culturales en procesos de formación cultural buscando su fortalecimiento</t>
  </si>
  <si>
    <t>Desarrollar en un 5 % el sistema de información del sector cultura  -   Ejecutar actividades para la reco´pilación de informacíón para la cosntrucción de la base de datos en un 100%   -   Diagnóstico del sistema de informacion del sector cultura elaborado en un 100%</t>
  </si>
  <si>
    <t>Numero de escuelas de formacion artistica y salas concertadas apoyadas   -   Procesos formativos Artisticos y culturales apoyados  -   Comunidades vulnerables formadas artistica y culturalmente</t>
  </si>
  <si>
    <t>Se creran politicas que garanticen el acceso democratico a los recursos publicos para el fomento de las expresiones, actividades artisticas y la formación cultural.</t>
  </si>
  <si>
    <t>Se prente adoptar politicas departamentales que conlleven a una buena formación, estimulos, cincertación y lectura y escritura</t>
  </si>
  <si>
    <t>Dar continuidad al proceso editorial de bibliotecas de autores quindianos   -  Se pretende incluir biblioecas de colegios publicos a la red de bibliotecas para mejorar la oferta en lectura y escritura</t>
  </si>
  <si>
    <t>Porcentaje de Cobertura de programas departamentales de conservación, protección, salvaguardia y difusión del patrimonio cultural según beneficiarios potenciales.</t>
  </si>
  <si>
    <t>Realizar actividades de difusión del PCC e implementar plan de manejo.   -   Aumentar el número de las personas formadas como vigías del patrimonio PCC.</t>
  </si>
  <si>
    <t>5.22.106.140.P.363</t>
  </si>
  <si>
    <t>Capacitar a los funcionarios y contratistas de la oficina jurídica en normas sustanciales y procesales para atención de procesos judiciales.</t>
  </si>
  <si>
    <t>Número de capacitaciones realizadas.</t>
  </si>
  <si>
    <t>JULIAN MAURICIO JARA MORALES</t>
  </si>
  <si>
    <t>DEPENDENCIA:  REPRESENTACIÓN JUDICIAL Y DEFENSA DEL DEPARTAMENTO</t>
  </si>
  <si>
    <t>5.20.99.128.P.320</t>
  </si>
  <si>
    <t>Adecuar el archivo central de la gobernación del Quindío de acuerdo a la ley 594 del 2000 y demás normas que modifiquen o sustituyan.</t>
  </si>
  <si>
    <t>Archivo adecuado de acuerdo a la Normatividad vigente.</t>
  </si>
  <si>
    <t>5.20.99.130.P.323</t>
  </si>
  <si>
    <t>Incrementar el número de trámites en línea.</t>
  </si>
  <si>
    <t>Número de trámites en línea implementados.</t>
  </si>
  <si>
    <t>5.20.99.130.P.324</t>
  </si>
  <si>
    <t>Implementar el proyecto de sostenibilidad de las TICS de oficio de la gobernación.</t>
  </si>
  <si>
    <t>Proyecto implementado.</t>
  </si>
  <si>
    <t>5.20.99.130.P.325</t>
  </si>
  <si>
    <t>Implementar el Centro de Atención al Ciudadano, niños, niñas y adolescentes.</t>
  </si>
  <si>
    <t>Centro de Atención en funcionamiento</t>
  </si>
  <si>
    <t>5.20.99.130.P.326</t>
  </si>
  <si>
    <t>Fortalecer los componentes del ecosistema digital al servicio de la administracion departamental (Infraestructura, servicios, aplicaciones y usuarios)</t>
  </si>
  <si>
    <t>Numero de componentes fortalecidos</t>
  </si>
  <si>
    <t>5.22.54.140.P.364</t>
  </si>
  <si>
    <t>Actualizar el inventario de bienes devolutivos de la institución.</t>
  </si>
  <si>
    <t>Inventario de Bienes devolutivos actualizados.</t>
  </si>
  <si>
    <t>Realizar en un 15% el plan de Modernización de la administración departamental.</t>
  </si>
  <si>
    <t xml:space="preserve">Un componente del ecosistema digital fortalecido. </t>
  </si>
  <si>
    <t xml:space="preserve">Un nuevo tramite implementado en gobierno en linea y  Efectuar un proyecto de sostibilidad de las TIC´s de oficio de la gobernación. </t>
  </si>
  <si>
    <t>Invetario devolutivo actualizado, asignado con informacion real.</t>
  </si>
  <si>
    <t>Tener asignado los inventarios devolutivos de propiedad de la Gobernacion del Quindío (Responsable)</t>
  </si>
  <si>
    <t>Disminución de  los tiempos de entrega de elementos devolutivos solicitados al almacén.</t>
  </si>
  <si>
    <t>DEPENDENCIA: PROMOTORA DE VIVIENDA Y DESARROLLO DEL QUINDIO</t>
  </si>
  <si>
    <t>JHONNY ALBERTO RODRIGUEZ</t>
  </si>
  <si>
    <t>EPD-IR</t>
  </si>
  <si>
    <t>3.17.87.101.P.257</t>
  </si>
  <si>
    <t>Construir, mejorar y habilitar la red vial secundaria para la implementación del plan vial departamental.</t>
  </si>
  <si>
    <t>Número de kmsconstruidos, mejorados y rehabilitados de la red vial secundaria.</t>
  </si>
  <si>
    <t>3.17.87.101.P.258</t>
  </si>
  <si>
    <t>Mantener en buen estado las vías secundarias para la implementación del plan vial departamental.</t>
  </si>
  <si>
    <t>Número de km con  mantenimiento en la red vial secundaria.</t>
  </si>
  <si>
    <t>3.17.87.101.P.259</t>
  </si>
  <si>
    <t>Apoyar la atención de las emergencias viales en los municipios del Departamento.</t>
  </si>
  <si>
    <t>Número de municipios con emergencias viales  apoyados.</t>
  </si>
  <si>
    <t>3.17.87.101.P.260</t>
  </si>
  <si>
    <t>Realizar estudios, diseños, asesorías, apoyo técnico y administrativo  para la ejecución del plan vial departamental.</t>
  </si>
  <si>
    <t>Número de estudios, diseños, asesorías, apoyo técnico y administrativo realizados.</t>
  </si>
  <si>
    <t>3.17.87.101.P.261</t>
  </si>
  <si>
    <t>Realizar mantenimiento y/o rehabilitación de puentes en el departamento del Quindío.</t>
  </si>
  <si>
    <t>Número de puentes mantenidos y/o rehabilitados.</t>
  </si>
  <si>
    <t>3.17.87.101.P.262</t>
  </si>
  <si>
    <t>Apoyar a los municipios en la construcción, mantenimiento, mejoramiento y rehabilitación  de la red vial terciaria y/o urbana.</t>
  </si>
  <si>
    <t>Número de municipios apoyados en el proceso de construcción, mantenimiento, mejoramiento y/o rehabilitación de la red vial terciaria y/o urbana.</t>
  </si>
  <si>
    <t>3.17.87.101.P.263</t>
  </si>
  <si>
    <t>Ejecutar obras complementarias para la conservación de la Red Vial del Departamento del Quindío.</t>
  </si>
  <si>
    <t>Número de  obras complementarias para la conservación Vial del Departamento del Quindío.</t>
  </si>
  <si>
    <t>3.17.88.102.P.264</t>
  </si>
  <si>
    <t xml:space="preserve">Conformar una (1) Unidad para la Gestoría que se encargue de implementar acciones técnicas, administrativas, financieras, legales y ambientales para el desarrollo del Plan Departamental de Aguas del Quindío. </t>
  </si>
  <si>
    <t>Unidad para la Gestoría que asuma las funciones de la Gerencia conformada.</t>
  </si>
  <si>
    <t>3.17.88.103.P.265</t>
  </si>
  <si>
    <t>Disminuir el IRCA[1]&lt; = 2%.</t>
  </si>
  <si>
    <t>% IRCA.</t>
  </si>
  <si>
    <t>3.17.88.103.P.266</t>
  </si>
  <si>
    <t xml:space="preserve">Gestionar el aumento de la proporción de la población urbana con acceso a métodos de abastecimiento de agua adecuados. </t>
  </si>
  <si>
    <t>% de Cobertura Urbana.</t>
  </si>
  <si>
    <t>3.17.88.103.P.267</t>
  </si>
  <si>
    <t>Gestionar el aumento de la proporción de la población rural con acceso a métodos de abastecimiento de agua adecuados.</t>
  </si>
  <si>
    <t>% de Cobertura  Rural.</t>
  </si>
  <si>
    <t>3.17.88.104.P.268</t>
  </si>
  <si>
    <t>Gestionar el aumento del porcentaje en cobertura del tratamiento de aguas residuales domésticas.</t>
  </si>
  <si>
    <t>%  de Aguas Tratadas.</t>
  </si>
  <si>
    <t>3.17.88.104.P.269</t>
  </si>
  <si>
    <t>Gestionar el aumento  de la cobertura de la población urbana con acceso a métodos de saneamiento adecuado.</t>
  </si>
  <si>
    <t>3.17.88.104.P.270</t>
  </si>
  <si>
    <t>Gestionar el aumento de la cobertura  de la población rural con acceso a métodos de saneamiento adecuado.</t>
  </si>
  <si>
    <t>3.17.88.104.P.271</t>
  </si>
  <si>
    <t xml:space="preserve">Apoyar la implementación y desarrollo de los PEGIRS en los municipios del departamento.  </t>
  </si>
  <si>
    <t>3.17.88.104.P.272</t>
  </si>
  <si>
    <t xml:space="preserve">Apoyar la recolección de residuos en las zonas rurales turísticas de los municipios del departamento. </t>
  </si>
  <si>
    <t>3.17.88.104.P.273</t>
  </si>
  <si>
    <t xml:space="preserve">Fomentar los sistemas de aprovechamiento de residuos sólidos en los municipios del departamento. </t>
  </si>
  <si>
    <t>Número de municipios con promoción de sistemas de aprovechamiento.</t>
  </si>
  <si>
    <t>3.17.88.105.P.274</t>
  </si>
  <si>
    <t>Gestionar acciones tendientes a disminuirel Índice de Agua no Contabilizada (IANC).</t>
  </si>
  <si>
    <t>3.17.88.106.P.275</t>
  </si>
  <si>
    <t>Fortalecer institucionalmente Empresas Prestadoras de servicios públicos domiciliarios.</t>
  </si>
  <si>
    <t>Número de Empresas Prestadoras de servicios públicos domiciliarios fortalecidas Institucionalmente.</t>
  </si>
  <si>
    <t>3.17.92.109.P.282</t>
  </si>
  <si>
    <t>Mejorar y rehabilitar la infraestructura de edificaciones educativas del Departamento del Quindío.</t>
  </si>
  <si>
    <t>Número de edificaciones educativas mejoradas y rehabilitadas.</t>
  </si>
  <si>
    <t>Construir sedes educativas</t>
  </si>
  <si>
    <t>Número de sedes educativos construidas</t>
  </si>
  <si>
    <t>3.17.92.142.P.284</t>
  </si>
  <si>
    <t>Incrementar el mejoramiento y rehabilitación de los escenarios deportivos y recreativos del Departamento del Quindío.</t>
  </si>
  <si>
    <t>Número de escenarios deportivos mejorados y rehabilitados.</t>
  </si>
  <si>
    <t>3.17.92.110.P.285</t>
  </si>
  <si>
    <t>Mejorar y rehabilitar instituciones de salud pública y bienestar social en el Departamento del Quindío.</t>
  </si>
  <si>
    <t>Número de instituciones de salud pública y bienestar social mejoradas y rehabilitadas.</t>
  </si>
  <si>
    <t>3.17.43.110.P.286</t>
  </si>
  <si>
    <t>Mejorar y rehabilitar instituciones públicas de seguridad y justicia en el Departamento del Quindío.</t>
  </si>
  <si>
    <t>Número de instituciones  públicas de seguridad y justicia mejoradas y rehabilitadas.</t>
  </si>
  <si>
    <t>3.17.92.111.P.287</t>
  </si>
  <si>
    <t>Mejorar y habilitar los equipamientos y/o espacios para el desarrollo turístico y cultural en el departamento del Quindío.</t>
  </si>
  <si>
    <t>Número de equipamientos y/o espacios para el desarrollo turístico y cultural, mejorados y rehabilitados.</t>
  </si>
  <si>
    <t>3.17.92.111.P.288</t>
  </si>
  <si>
    <t>Construir y habilitar un equipamiento destinado al turismo.</t>
  </si>
  <si>
    <t>Número de equipamientos destinados al turismo cultural, construidos y habilitados.</t>
  </si>
  <si>
    <t>3.17.92.111.P.289</t>
  </si>
  <si>
    <t>Apoyo a proyectos estratégicos municipales de impacto regional.</t>
  </si>
  <si>
    <t>Número de proyectos estratégicos municipales de impacto regional apoyados.</t>
  </si>
  <si>
    <t>3.17.92.111.P.290</t>
  </si>
  <si>
    <t>Realizar convenios estratégicos para el Departamento.</t>
  </si>
  <si>
    <t>Número de convenios realizados.</t>
  </si>
  <si>
    <t>3.17.92.112.P.291</t>
  </si>
  <si>
    <t>Incrementar la asistencia técnica y logística a estudios, asesorías y diseños de equipamientos de infraestructura pública para el desarrollo social en los municipios</t>
  </si>
  <si>
    <t>Número de estudios, asesorías y diseños de equipamientos asistidos en los municipios.</t>
  </si>
  <si>
    <t>3.17.92.113.P.292</t>
  </si>
  <si>
    <t>Apoyar la construcción de redes de saneamiento básico y agua potable para vivienda nueva y/o ampliación de cobertura.</t>
  </si>
  <si>
    <t>Número de apoyos para la construcción de redes de saneamiento básico y agua potable.</t>
  </si>
  <si>
    <t>1.1.1.1.P.1</t>
  </si>
  <si>
    <t>Incrementar el número de niños y niñas menores de 5 años vinculados a programas de educación inicial, con bilingüismo, nuevas tecnologías, ciudadanía y valores.</t>
  </si>
  <si>
    <t>Número de niñas y niños menores de 5 años vinculados a programas de educación inicial.</t>
  </si>
  <si>
    <t>1.1.1.2.P.2</t>
  </si>
  <si>
    <t>Incrementar los  convenios interinstitucionales suscritos para la atención integral de la primera infancia, incluyendo nuevas tecnologías y bilingüismo.</t>
  </si>
  <si>
    <t>Número de convenios suscritos.</t>
  </si>
  <si>
    <t>1.1.1.3.P.3</t>
  </si>
  <si>
    <t>Incrementar el número de docentes de preescolar y madres comunitarias capacitadas en el uso de nuevas tecnologías y bilingüismo para la promoción de competencias en educación inicial.</t>
  </si>
  <si>
    <t>Número de docentes de preescolar y madres comunitarias capacitadas en nuevas tecnologías y bilingüismo para la promoción de competencias en educación inicial.</t>
  </si>
  <si>
    <t>1.1.2.4.P.4</t>
  </si>
  <si>
    <t>Incrementar el número de estudiantes que mejoran los resultados en las pruebas SABER 3.</t>
  </si>
  <si>
    <t>Número de estudiantes que mejoran los resultados en las pruebas SABER 3.</t>
  </si>
  <si>
    <t>1.1.2.4.P.5</t>
  </si>
  <si>
    <t>Incrementar el número de estudiantes que mejoran los resultados en las pruebas SABER 5.</t>
  </si>
  <si>
    <t>1.1.2.4.P.6</t>
  </si>
  <si>
    <t>Incrementar el número de estudiantes que mejoran los resultados en las pruebas SABER 9.</t>
  </si>
  <si>
    <t>1.1.2.4.P.7</t>
  </si>
  <si>
    <t>Aumentar el número de instituciones que suben de rango en las pruebas externas SABER 11.</t>
  </si>
  <si>
    <t>1.1.2.4.P.10</t>
  </si>
  <si>
    <t>Fortalecimiento e implementación de redes de aprendizaje.</t>
  </si>
  <si>
    <t>Número de redes académicas fortalecidas.</t>
  </si>
  <si>
    <t>1.1.2.4.P.8</t>
  </si>
  <si>
    <t>Implementar el plan de formación y capacitación docente en competencias básicas, específicas y transversales.</t>
  </si>
  <si>
    <t>Número de planes de formación y capacitación implementados.</t>
  </si>
  <si>
    <t>1.1.2.4.P.9</t>
  </si>
  <si>
    <t>Implementar el plan de lectura y escritura.</t>
  </si>
  <si>
    <t>Plan de lectura y escritura implementado.</t>
  </si>
  <si>
    <t>1.1.2.4.P.11</t>
  </si>
  <si>
    <t>Fortalecimiento al plan de apoyo a la educación rural.</t>
  </si>
  <si>
    <t>Plan de apoyo a la educación rural fortalecido.</t>
  </si>
  <si>
    <t>1.1.2.4.P.12</t>
  </si>
  <si>
    <t>Aumentar el número de sedes educativas con jornadas extendidas para la profundización en ciencia y tecnología.</t>
  </si>
  <si>
    <t>Número de sedes educativas con jornadas extendidas para la profundización en ciencia y tecnología.</t>
  </si>
  <si>
    <t>1.1.2.5.P.13</t>
  </si>
  <si>
    <t>Implementar programa de formación de docentes y directivos docentes en el desarrollo de competencias ciudadanas y la construcción de ambientes democráticos.</t>
  </si>
  <si>
    <t>Número de docentes y directivos docentes formados en competencias ciudadanas y la construcción de ambientes democráticos.</t>
  </si>
  <si>
    <t>1.1.2.5.P.14</t>
  </si>
  <si>
    <t>Aumentar el número de sedes educativas con jornadas extendidas para profundización en deporte.</t>
  </si>
  <si>
    <t>Número de sedes educativas con jornadas extendidas para profundización en deporte.</t>
  </si>
  <si>
    <t>1.1.2.5.P.15</t>
  </si>
  <si>
    <t>Elaborar e implementar una propuesta articuladora en las instituciones educativas desde la quindianidad al paisaje cultural cafetero.</t>
  </si>
  <si>
    <t>Número de instituciones educativas que implementan la propuesta articuladora desde la quindianidad al paisaje cafetero.</t>
  </si>
  <si>
    <t>1.1.2.5.P.16</t>
  </si>
  <si>
    <t>Aumentar el número de sedes educativas ejecutando la política nacional de educación ambiental con todas sus estrategias.</t>
  </si>
  <si>
    <t>Número de sedes educativas ejecutando la política nacional  de educación ambiental con todas sus estrategias.</t>
  </si>
  <si>
    <t>1.1.3.6.P.17</t>
  </si>
  <si>
    <t>Aumentar el número de sedes beneficiadas con nuevos y mejores espacios mediante la construcción, ampliación, mejoramiento y dotación de infraestructura educativa.</t>
  </si>
  <si>
    <t>Número de sedes beneficiadas con nuevos y mejores espacios mediante la construcción, ampliación, mejoramiento y dotación de infraestructura educativa.</t>
  </si>
  <si>
    <t>1.1.3.6.P.18</t>
  </si>
  <si>
    <t>Aumentar el número de estudiantes en el nivel de preescolar.</t>
  </si>
  <si>
    <t>Número de estudiantes en el nivel de preescolar.</t>
  </si>
  <si>
    <t>1.1.3.6.P.19</t>
  </si>
  <si>
    <t>Aumentar el número de estudiantes en el nivel de básica primaria.</t>
  </si>
  <si>
    <t>Número de estudiantes en el nivel de básica primaria.</t>
  </si>
  <si>
    <t>1.1.3.6.P.25</t>
  </si>
  <si>
    <t>Garantizar el copago de los almuerzos escolares.</t>
  </si>
  <si>
    <t>Número de copagos recibidos por almuerzos escolares.</t>
  </si>
  <si>
    <t>1.1.3.6.P.20</t>
  </si>
  <si>
    <t>Aumentar el número de estudiantes en el nivel de básica secundaria.</t>
  </si>
  <si>
    <t>Número de estudiantes en el nivel de básica secundaria.</t>
  </si>
  <si>
    <t>1.1.3.6.P.21</t>
  </si>
  <si>
    <t>Aumentar el número de estudiantes en el nivel de media.</t>
  </si>
  <si>
    <t>Número de estudiantes en el nivel de media.</t>
  </si>
  <si>
    <t>1.1.3.6.P.26</t>
  </si>
  <si>
    <t>Mantener el número de beneficiarios en el subsidio de transporte escolar.</t>
  </si>
  <si>
    <t>Número de beneficiarios del subsidio de transporte.</t>
  </si>
  <si>
    <t>1.1.3.6.P.22</t>
  </si>
  <si>
    <t>Disminuir el número de desertores escolares.</t>
  </si>
  <si>
    <t>Número de desertores escolares.</t>
  </si>
  <si>
    <t>1.1.3.6.P.23</t>
  </si>
  <si>
    <t>Disminuir el número de reprobados escolares.</t>
  </si>
  <si>
    <t>Número de reprobados escolares.</t>
  </si>
  <si>
    <t>1.1.3.6.P.24</t>
  </si>
  <si>
    <t>Disminuir el número de analfabetas 15 a 24 Años.</t>
  </si>
  <si>
    <t>Número de analfabetas.</t>
  </si>
  <si>
    <t>1.1.3.7.P.27</t>
  </si>
  <si>
    <t>Aumentar el número de programas académicos implementados  de etnoeducación</t>
  </si>
  <si>
    <t>Número de programas académicos implementados  de etnoeducación.</t>
  </si>
  <si>
    <t>1.1.3.7.P.28</t>
  </si>
  <si>
    <t>Aumentar el número de modelos flexibles y proyectos pedagógicos para atender población en situación de vulnerabilidad y NNE</t>
  </si>
  <si>
    <t>Número de modelos flexibles y proyectos pedagógicos implementados</t>
  </si>
  <si>
    <t>1.1.4.8.P.29</t>
  </si>
  <si>
    <t>Aumentar el número de bachilleres que ingresan a pregrados en programas técnicos, tecnológicos o profesionales</t>
  </si>
  <si>
    <t>Número de bachilleres que ingresan a pregrados en programas técnicos, tecnológicos o profesionales</t>
  </si>
  <si>
    <t>1.1.5.9.P.30</t>
  </si>
  <si>
    <t>Disminuir la relación computador/estudiante.</t>
  </si>
  <si>
    <t>Relación computador /estudiante.</t>
  </si>
  <si>
    <t>1.1.5.9.P.31</t>
  </si>
  <si>
    <t>Aumentar el número de sedes educativas conectadas a internet.</t>
  </si>
  <si>
    <t>Número de sedes educativas conectadas a internet.</t>
  </si>
  <si>
    <t>1.1.5.9.P.32</t>
  </si>
  <si>
    <t>Implementar el plan de formación y capacitación docente en el uso de nuevas tecnologías aplicadas a estrategias y métodos didácticos.</t>
  </si>
  <si>
    <t>Número de planes implementados.</t>
  </si>
  <si>
    <t>1.1.5.9.P.33</t>
  </si>
  <si>
    <t>Aumentar el número de docentes capacitados en nuevas tecnologías.</t>
  </si>
  <si>
    <t>Número de docentes capacitados en nuevas tecnologías.</t>
  </si>
  <si>
    <t>1.1.5.9.P.34</t>
  </si>
  <si>
    <t>Aumentar el número de docentes que incorporan las nuevas tecnologías en el aula de clase</t>
  </si>
  <si>
    <t>Número de docentes que incorporan las nuevas tecnologías en el aula de clase.</t>
  </si>
  <si>
    <t>1.1.5.10.P.35</t>
  </si>
  <si>
    <t>Aumentar el número de sedes educativas pilotos de bilingüismo.</t>
  </si>
  <si>
    <t>Número de sedes educativas pilotos de bilingüismo.</t>
  </si>
  <si>
    <t>1.1.5.10.P.36</t>
  </si>
  <si>
    <t>Aumentar el número de sedes con énfasis en bilingüismo.</t>
  </si>
  <si>
    <t>Número de sedes con énfasis en bilingüismo.</t>
  </si>
  <si>
    <t>1.1.5.10.P.37</t>
  </si>
  <si>
    <t>Aumentar el número de estudiantes de grado once con dominio B1 en inglés.</t>
  </si>
  <si>
    <t>Número de estudiantes de grado once con dominio B1 en inglés.</t>
  </si>
  <si>
    <t>1.1.5.10.P.38</t>
  </si>
  <si>
    <t>Aumentar el número de docentes con nivel A1, A2, B1 y B2.</t>
  </si>
  <si>
    <t>Número de docentes con nivel A1, A2, B1 y B2.</t>
  </si>
  <si>
    <t>1.1.5.10.P.39</t>
  </si>
  <si>
    <t>Fortalecer el plan de formación y capacitación docente en competencias comunicativas en inglés.</t>
  </si>
  <si>
    <t>Plan fortalecido.</t>
  </si>
  <si>
    <t>1.1.5.11.P.40</t>
  </si>
  <si>
    <t>Consolidar el pilotaje en educación artística.</t>
  </si>
  <si>
    <t>Número de pilotajes sostenidos.</t>
  </si>
  <si>
    <t>1.1.5.11.P.41</t>
  </si>
  <si>
    <t>Aumentar el número de instituciones educativas articuladas a la educación superior técnica y tecnológica.</t>
  </si>
  <si>
    <t>Número de instituciones educativas articuladas a la educación superior técnica y tecnológica.</t>
  </si>
  <si>
    <t>1.1.5.11.P.42</t>
  </si>
  <si>
    <t>Fortalecer las medias técnicas.</t>
  </si>
  <si>
    <t>Número de medias técnicas fortalecidas.</t>
  </si>
  <si>
    <t>1.1.5.11.P.43</t>
  </si>
  <si>
    <t>Fortalecer el plan de formación y capacitación docente, en el uso de nuevas tecnologías aplicadas a estrategias y métodos didácticos, en las áreas obligatorias.</t>
  </si>
  <si>
    <t>Plan de formación y capacitación docente, en el uso de nuevas tecnologías aplicadas a estrategias y métodos didácticos, en las áreas obligatorias</t>
  </si>
  <si>
    <t>Fortalecer los procesos de rendición de cuentas del Sistema Educativo</t>
  </si>
  <si>
    <t>Numero de instituciones educativas publicas presentando rendición de cuentas</t>
  </si>
  <si>
    <t>Realizar la rendición de cuentas de la gobernadora y de su gabinete.</t>
  </si>
  <si>
    <t>Realizar el mejoramiento y dotación de la infraestructura en la planta central de la Secretaría de Educación</t>
  </si>
  <si>
    <t>Número de mejoramientos y dotaciones realizados</t>
  </si>
  <si>
    <t>Fortalecer tecnológicamente los mecanismos de comunicación entre la Administración central departamental y las instituciones Educativas.</t>
  </si>
  <si>
    <t>Número de mecanismos tecnológicos de comunicación implementados</t>
  </si>
  <si>
    <t xml:space="preserve">Administrar la planta de personal docente y directivo docente, con enfoque cualitativo y cuantitativo. </t>
  </si>
  <si>
    <t>Número de estudios técnicos actualizados de acuerdo a las normas vigentes.</t>
  </si>
  <si>
    <t xml:space="preserve">Fortalecer los temas de información automatizada </t>
  </si>
  <si>
    <t>Número de aplicativos fortalecidos.</t>
  </si>
  <si>
    <t>EXT MATERIAL DE RIO</t>
  </si>
  <si>
    <t>MONO</t>
  </si>
  <si>
    <t>1.4.43.36.P.93</t>
  </si>
  <si>
    <t>Fomentar y apoyar las escuelas de formación deportiva en los municipios de cobertura con proyección para el aumento de la reserva deportiva del departamento.</t>
  </si>
  <si>
    <t>Número de escuelas deportivas apoyadas.</t>
  </si>
  <si>
    <t>1.4.43.37.P.94</t>
  </si>
  <si>
    <t>Realizar juegos inter-colegiados en sus diferentes fases y/o apoyar eventos deportivos.</t>
  </si>
  <si>
    <t>Número de juegos inter-colegiados realizados y/o eventos.</t>
  </si>
  <si>
    <t>1.4.43.37.P.95</t>
  </si>
  <si>
    <t>Realizar eventos que promuevan deportes no tradicionales.</t>
  </si>
  <si>
    <t>Número de eventos realizados</t>
  </si>
  <si>
    <t>1.4.43.38.P.96</t>
  </si>
  <si>
    <t>Apoyo a ligas deportivas que cumplan parámetros de cobertura y resultados federativos hacia los altos logros.</t>
  </si>
  <si>
    <t>Numero de ligas apoyadas.</t>
  </si>
  <si>
    <t>1.4.43.39.P.97</t>
  </si>
  <si>
    <t>Apoyo a ligas deportivas con capacidad especial que cumplan parámetros de cobertura y resultados federativos hacia los altos logros.</t>
  </si>
  <si>
    <t>1.4.44.40.P.98</t>
  </si>
  <si>
    <t>Realizar programas lúdicos y recreativos de tiempo libre a través de ludotecas, campamentos juveniles del juego y de la recreación para el aprovechamiento y el uso adecuado del tiempo libre como medio de prevención para desarrollar el sentido de pertenencia, la confrontación simbólica y la tolerancia beneficiando a 6.500 personas por año,</t>
  </si>
  <si>
    <t>Número de programas ejecutados.</t>
  </si>
  <si>
    <t>1.4.45.41.P.99</t>
  </si>
  <si>
    <t>Realizar un programa de actividad física como instrumento útil para reconstruir el tejido social, alejar a los niños, jóvenes, adultos y a la población vulnerable de los riesgos de las adicciones, problemas derivados del sedentarismo y otros hábitos no saludables beneficiando a 8.500 personas por año.</t>
  </si>
  <si>
    <t>1% ICLD  - IVA LD  - IVA TM</t>
  </si>
  <si>
    <t>Formular e implementar la política integral
de seguridad y convivencia ciudadana.</t>
  </si>
  <si>
    <t>FONDO DE SEGURIDAD TERRITORIAL FONSET
ORDINARIOS</t>
  </si>
  <si>
    <t>Apoyar la Implementación el Plan
Nacional de Vigilancia Comunitaria por Cuadrantes PNVCC en las áreas urbanas y rurales.</t>
  </si>
  <si>
    <t>Apoyar la construcción, refacción o
adecuación de estaciones, Subestaciones y/o guarniciones.</t>
  </si>
  <si>
    <t>Apoyar programas municipales de
fortalecimiento de la movilidad y reacción de los organismos de fuerza pública, seguridad y justicia del departamento; y/o atención carcelaria</t>
  </si>
  <si>
    <t>Apoyar los componentes logísticos de los organismos de seguridad y de la Registraduría nacional para los comicios electorales.</t>
  </si>
  <si>
    <t>Realizar campañas de educación
ciudadana y gestión comunitaria urbanas y
rurales.</t>
  </si>
  <si>
    <t>FONDO DE SEGURIDAD TERRITORIAL FONSET
ORDINARIO</t>
  </si>
  <si>
    <t>Fortalecer programas de participación
ciudadana para la seguridad preventiva y la
convivencia pacífica.</t>
  </si>
  <si>
    <t>Apoyar mecanismos alternativos de
solución de conflictos MASC y acceso a la
justicia.</t>
  </si>
  <si>
    <t>Realizar campañas educativas en el departamento.</t>
  </si>
  <si>
    <t>ORDINARIO</t>
  </si>
  <si>
    <t>Incrementar la señalización de vías.</t>
  </si>
  <si>
    <t>Número de metros lineales de señalización.</t>
  </si>
  <si>
    <t>Acreditar y habilitar la escuela de Enseñanza del IDTQ.</t>
  </si>
  <si>
    <t>Escuela de enseñanza del IDTQ acreditada y habilitada.</t>
  </si>
  <si>
    <t>Articularse con las instituciones estatales, para ejecutar programas conjuntos de prevención del reclutamiento forzado</t>
  </si>
  <si>
    <t>Municipios con programas de prevención y garantía de derecho.</t>
  </si>
  <si>
    <t xml:space="preserve">Fortalecer los mecanismos o instrumentos de prevención de la vulneración y protección de derechos de población  en condición de desplazamiento a través de la elaboración y socialización del plan departamental de contingencia por posibles desplazamientos masivos.  </t>
  </si>
  <si>
    <t>Plan elaborado y socializados</t>
  </si>
  <si>
    <t>Apoyar la atención integral de las víctimas por enfoque diferencial y de derechos en salud, educación, vivienda, tierras, cultura y proyectos productivos.</t>
  </si>
  <si>
    <t>Fortalecer el comité departamental de justicia
transicional y sus subcomités.</t>
  </si>
  <si>
    <t>Población atendida/ población
remitida</t>
  </si>
  <si>
    <t>Número de PARIV apoyados,
actualizados y/o implementados.</t>
  </si>
  <si>
    <t>Crear e implementar un programa de atención integral a víctimas de trata de personas.</t>
  </si>
  <si>
    <t>Apoyar la formulación, actualización y ejecución de los planes municipales de acción de DDHH y DIH y la formulación e implementación del plan de departamental.</t>
  </si>
  <si>
    <t>Planes municipales formulados,
ejecutados y/o implementados</t>
  </si>
  <si>
    <t xml:space="preserve">Desarrollar campañas de prevención de los riesgos por amenazas naturales y actividades antrópicas </t>
  </si>
  <si>
    <t>Numero de campañas desarrolladas</t>
  </si>
  <si>
    <t xml:space="preserve">1.  Realizar campañas educativas en el departamento.
2.Identificación de situaciones de vulnerabilidad en los municipios de Montenegro y Génova .
</t>
  </si>
  <si>
    <t>Gestionar proyectos de reubicación para familias asentadas en zonas de alto riesgo en coordinación con la promotora de vivienda y la secretaría de infraestructura departamental</t>
  </si>
  <si>
    <t>Número de proyectos de reubicación gestionados</t>
  </si>
  <si>
    <t>Apoyar los procesos de investigación de amenaza y vulnerabilidad que afectan la comunidad de los municipios del departamenrto</t>
  </si>
  <si>
    <t>Número de municipios</t>
  </si>
  <si>
    <t>Capacitar a la comunidad en gestión del riesgo.</t>
  </si>
  <si>
    <t xml:space="preserve">Número de capacitaciones realizadas sobre gestión del riesgo </t>
  </si>
  <si>
    <t>Apoyar procesos de fortalecimiento de los organismos de socorro e instituciones que hacen parte de la unidad de prevención y atención de desastres</t>
  </si>
  <si>
    <t>Número de procesos de fortalecimiento a los organismos de socorro e instituciones que hacen parte de la unidad de prevención y atención de desastres apoyados</t>
  </si>
  <si>
    <t>Realizar proceso de mejora en dotación del centro de reserva de la unidad de prevención y atención de desastres del departamento para asistencia humanitaria</t>
  </si>
  <si>
    <t>Proceso de mejora en dotación del centro de reserva de la unidad de prevención y atención de desastres realizado</t>
  </si>
  <si>
    <t>Brindar asistencia técnica a los municipios del departamento en la elaboración e implementación de los planes municipales de gestión del riesgo (PMGR)</t>
  </si>
  <si>
    <t>Número de PMGR elaborados con asistencia técnica departamental</t>
  </si>
  <si>
    <t>Crear el Fondo Departamental de Calamidades</t>
  </si>
  <si>
    <t>Fondo departamental de calamidades creado</t>
  </si>
  <si>
    <t>Formular el Plan Departamental de Gestión del Riesgo</t>
  </si>
  <si>
    <t>Plan Departamental de Gestón del Riesgo formulado</t>
  </si>
  <si>
    <t xml:space="preserve">Fortalecer los procesos de elección y reconocimiento de los organismos comunales.  </t>
  </si>
  <si>
    <t>Creación del banco de proyectos comunales.</t>
  </si>
  <si>
    <t>Crear un fondo de auxilio funerario</t>
  </si>
  <si>
    <t>Impulsar procesos de formación a dignatarios comunales.</t>
  </si>
  <si>
    <t>Apoyar y promover la organización comunitaria de las familias para su desarrollo en los 12 municipios.</t>
  </si>
  <si>
    <t>DEPENDENCIA: SECRETARIA DEL INTERIOR</t>
  </si>
  <si>
    <t>3.17.92.109.P.283</t>
  </si>
  <si>
    <t>Un plan implementado</t>
  </si>
  <si>
    <t>127. Adquisición e implementación de un modulo de administración y rentas Departamentales Quindío</t>
  </si>
  <si>
    <t>128. Mejoramiento de la sostenibilidad de los procesos de fiscalización liquidación control y cobranza de los tributos en el departamento del Quindío</t>
  </si>
  <si>
    <t>María Victoria Giraldo Londoño</t>
  </si>
  <si>
    <t>59. Gestión para el desarrollo territorial del departamento del Quindío</t>
  </si>
  <si>
    <t>60. Mejoramiento de las herramientas cartográficas para la aplicabilidad del ordenamiento territorial en el Departamento del Quindío</t>
  </si>
  <si>
    <t>61. Construcción de directrices de ordenamiento territorial con base en los atributos del paisaje cultural cafetero del departamento del Quindío</t>
  </si>
  <si>
    <t>62. Mejoramiento de las actividades productivas en el suelo urbano y rural del territorio del Quindío departamento del Quindío</t>
  </si>
  <si>
    <t>63. Mejoramiento al sistema de gestión de calidad en la gobernación del Quindío</t>
  </si>
  <si>
    <t>64. Implementación casa delegada como enlace quindiano Quindío</t>
  </si>
  <si>
    <t>65. Fortalecimiento a la herramienta SIG Quindío del departamento del Quindío</t>
  </si>
  <si>
    <t>66. Mejoramiento del índice de calidad de vida SISBEN de la población más vulnerable del departamento del Quindío</t>
  </si>
  <si>
    <t>67. Adecuación del módulo de planeación precontractual, ajustándolo al modelo de enfoque poblacional en el departamento del Quindío</t>
  </si>
  <si>
    <t>68. Implementación sistema de cooperación internacional y gestión de proyectos Quindío.</t>
  </si>
  <si>
    <t>69. Asistencia a los entes territoriales para un mejor desempeño en la inversión pública en el departamento del Quindío</t>
  </si>
  <si>
    <t>70. Fortalecimiento de la capacidad de formulación y gestión de proyectos en el departamento del Quindío.</t>
  </si>
  <si>
    <t>71. Asistencia al consejo territorial de planeación del departamento del Quindío</t>
  </si>
  <si>
    <t>Coordinar una estrategia en la aplicación de los instrumentos de planificación y gestión urbana y rural</t>
  </si>
  <si>
    <t>10% de los municipios con herramientas de planificación para el ordenamiento territorial</t>
  </si>
  <si>
    <t>Ejecución de tres (3) planos temáticos - realizar (1) interinstitucional</t>
  </si>
  <si>
    <t>Cinco (5) municipios con directrices de ordenamiento territorial con base en los atributos de paisaje cultural cafetero -  un (1) plan de manejo del PCC con con estrategia de planeación físico espacial - once municipios socializados</t>
  </si>
  <si>
    <t>Cinco (5) municipios con actividades productivas ejecutadas -  cinco (5) instrumentos de gestión ejecutados -  minimizar en un 25% los sectores especializados</t>
  </si>
  <si>
    <t>100% de población mas pobre y vulnerable correctamente identificada  - 100% de municipios cuentan con coordinación municipal permanente -  100%  de los funcionarios capacitados</t>
  </si>
  <si>
    <t>119. Saneamiento fiscal e institucional en la gobernación del Quindío</t>
  </si>
  <si>
    <t>120. Divulgación de estrategias  para garantizar el conocimiento y participación de la comunidad en los programas, proyectos, servicios y productos en el departamento del Quindío</t>
  </si>
  <si>
    <t>121. Implementación de un programa de gestión de recursos de fuentes públicas, privadas, nacionales o internacionales. Aunando esfuerzos instales, para el desarrollo de programas proyectos o actividades que propendan al desarrollo en el departamento del Quindío</t>
  </si>
  <si>
    <t>Generar estrategias de divulgación y promoción de la gestión de la administración departamental</t>
  </si>
  <si>
    <t>Participar en el 70% de los medios masivos de comunicación locales con campañas institucionales y promoción del departamento</t>
  </si>
  <si>
    <t>Apoyar técnica y profesionalmente las estrategias de comunicación institucional de los 12 municipios, para garantizar  la participación de la comunidad del departamento del Quindío</t>
  </si>
  <si>
    <t>Humberto Turriago López</t>
  </si>
  <si>
    <t>DEPENDENCIA: SECRETARÍA DE SALUD</t>
  </si>
  <si>
    <t>131. Subsidio afiliación al régimen subsidiado del sistema general de seguridad social en salud en el departamento del Quindío</t>
  </si>
  <si>
    <t>132. Asistencia en salud a la población no afiliada al sistema general de seguridad social en salud en el departamento del Quindío</t>
  </si>
  <si>
    <t>133. Apoyo operativo a la inversión social en salud humanizada en el Quindío</t>
  </si>
  <si>
    <t>135. Servicio de salud en alerta en el departamento del Quindío</t>
  </si>
  <si>
    <t>136. Fortalecimiento de la red de urgencias en el departamento del Quindío</t>
  </si>
  <si>
    <t>139. Prevención vigilancia y control de eventos de origen laboral en el departamento del Quindío</t>
  </si>
  <si>
    <t>140. Prevención y vigilancia a los riesgos profesionales en el departamento del Quindío</t>
  </si>
  <si>
    <t>145. Implementación de todos sumamos en el Quindío</t>
  </si>
  <si>
    <t>Subsidio afiliación al régimen subsidiado del sistema general de seguridad social en salud en el departamento del Quindío</t>
  </si>
  <si>
    <t>Asistencia en salud a la población no afiliada al sistema general de seguridad social en salud en el departamento del Quindío</t>
  </si>
  <si>
    <t>Apoyo operativo a la inversión social en salud humanizada en el Quindío</t>
  </si>
  <si>
    <t>Servicio de salud en alerta en el departamento del Quindío</t>
  </si>
  <si>
    <t>Fortalecimiento de la red de urgencias en el departamento del Quindío</t>
  </si>
  <si>
    <t>Control y vigilancia en las acciones de intervención inherentes a  la salud publica Quindío</t>
  </si>
  <si>
    <t>Control salud ambiental departamento del Quindío</t>
  </si>
  <si>
    <t>Prevención vigilancia y control de eventos de origen laboral en el departamento del Quindío</t>
  </si>
  <si>
    <t>Prevención y vigilancia a los riesgos profesionales en el departamento del Quindío</t>
  </si>
  <si>
    <t>Implementación de todos sumamos en el Quindío</t>
  </si>
  <si>
    <t>FUENTE DE LOS REC.</t>
  </si>
  <si>
    <t>DEPENDENCIA:  SECRETARIA JURÍDICA Y DE CONTRATACIÓN</t>
  </si>
  <si>
    <t>FUENTES DE LOS REC.</t>
  </si>
  <si>
    <t>86. Fortalecimiento de la planeación territorial del desarrollo rural del departamento del Quindío</t>
  </si>
  <si>
    <t>87. Mejoramiento de la competitividad rural departamento del Quindío</t>
  </si>
  <si>
    <t>James Castaño Herrera</t>
  </si>
  <si>
    <t>88. Mejoramiento de la producción agropecuaria sostenible en el departamento del Quindío.</t>
  </si>
  <si>
    <t>90. Mejoramiento de la competitividad de la actividad cafetera en el departamento del Quindío</t>
  </si>
  <si>
    <t>91. Fortalecimiento a la sostenibilidad productiva y ambiental del paisaje cultural cafetero en el departamento del Quindío</t>
  </si>
  <si>
    <t>92. Aplicación de mecanismos de gestión del recurso hídrico en el departamento del Quindío</t>
  </si>
  <si>
    <t>93. Aplicación de mecanismos de protección ambiental en el departamento del Quindío</t>
  </si>
  <si>
    <t>94. Protección de áreas en conservación en el departamento del Quindío</t>
  </si>
  <si>
    <t>95. Implementación procesos de educación ambiental en el departamento del Quindío</t>
  </si>
  <si>
    <t>96. Apoyo al sector educativo para implementación del componente ambiental en los PEI en el departamento del Quindío</t>
  </si>
  <si>
    <t>97. Diseño de buenas practicas ambientales en el departamento del Quindio.</t>
  </si>
  <si>
    <t>98. Apoyo a los acuerdos de producción limpia y sostenible en el sector productivo en el departamento del Quindío</t>
  </si>
  <si>
    <t>99. Implementación de la valoración de impactos ambientales en los sectores productivos en los POT´s municipales del Quindío</t>
  </si>
  <si>
    <t>Realizar un proceso de acompañamiento en el segundo semestre de la vigencia 2012 a la secretaria jurídica</t>
  </si>
  <si>
    <t>Apoyo a la secretaria jurídica y municipios, mediante  la aplicación de procesos de revisión de actos administrativos, contratación para el eficiente funcionamiento de la Gobernación del Quindío</t>
  </si>
  <si>
    <t>Ejecutar en un 100% los procesos de apoyo y asesoría</t>
  </si>
  <si>
    <t>Manual de contratación revisado, actualizado y publicado  -   proceso de contratación revisado y ajustado</t>
  </si>
  <si>
    <t>Gestión de la contratación e inventarios</t>
  </si>
  <si>
    <t xml:space="preserve">Tres programas fortalecidos </t>
  </si>
  <si>
    <t xml:space="preserve">3 programas creados y fortalecidos </t>
  </si>
  <si>
    <t xml:space="preserve">Puesta en marcha de la política publica departamental para la generación de ingresos  </t>
  </si>
  <si>
    <t>102.  Apoyo al desarrollo de programas de promoción de empleo y nuevos emprendimientos departamento del Quindío</t>
  </si>
  <si>
    <t>103. Desarrollo de proyectos que promueven el emprendimiento con personas en discapacidad</t>
  </si>
  <si>
    <t>104. Implementación del plan integral de remesas y generación de alternativas económicas para la población migrante del departamento del Quindío</t>
  </si>
  <si>
    <t>105. Apoyo al fortalecimiento de la estructura empresarial del departamento del Quindío</t>
  </si>
  <si>
    <t>106. Fortalecimiento de las instituciones para la promoción de la competitividad en el departamento del Quindío</t>
  </si>
  <si>
    <t>107. Apoyo al desarrollo de programas que permitan la implementación de una estrategia exportadora territorial en el departamento del Quindío</t>
  </si>
  <si>
    <t>108.  Desarrollo de actividades para la promoción de la inversión en el departamento del Quindío</t>
  </si>
  <si>
    <t>109.  Fortalecimiento de las actividades de ciencia tecnología e innovación del departamento del Quindío</t>
  </si>
  <si>
    <t>110. Mejoramiento de las tecnologías de la información y las comunicaciones del departamento del Quindío</t>
  </si>
  <si>
    <t>111. Compromiso interinstitucional para la promoción nacional e internacional del departamento del Quindío</t>
  </si>
  <si>
    <t>112. Apoyo a nuevos productos y servicios que renueven la oferta turística del departamento del Quindío</t>
  </si>
  <si>
    <t>113. Construcción de líneas de información e investigación para la toma de decisiones y competitividad para el destino Quindío</t>
  </si>
  <si>
    <t>114. Apoyo a proyectos de inversión turística para el departamento del Quindío</t>
  </si>
  <si>
    <t>115. Diseño de líneas de promoción que integren el paisaje de 11 municipios del departamento del Quindío</t>
  </si>
  <si>
    <t>116. Asistencia al sector turístico para el mejoramiento de la calidad en la prestación de los servicios turísticos en el departamento del Quindío</t>
  </si>
  <si>
    <t>117. Compromiso institucional para el fortalecimiento empresarial turístico y desarrollo del destino Quindío</t>
  </si>
  <si>
    <t>118. Apoyo a las actividades turísticas y ambientales para el desarrollo turístico del departamento del Quindío</t>
  </si>
  <si>
    <t>Un programa fortalecido - plan implementado - tres alternativas económicas</t>
  </si>
  <si>
    <t xml:space="preserve">Fortalecimeinto de 200 Mipymes del Departamento del Quindío </t>
  </si>
  <si>
    <t>3 instrumentos fortalecidos para la promoción de la competitividad</t>
  </si>
  <si>
    <t xml:space="preserve">Creación del sistema regional de competitividad e innovación, creación del observatorio de competitividad e innovación </t>
  </si>
  <si>
    <t>Creación y puesta en funcionamiento de una estructura financiera para el desarrollo económico y social del departamento</t>
  </si>
  <si>
    <t>Una estrategia de posicionamiento nacional e internacional establecida</t>
  </si>
  <si>
    <t xml:space="preserve">8 municipios con asistencia técnica en socialización de políticas de orden nacional para exportación y tratados de libre comercio </t>
  </si>
  <si>
    <t>Plan formulado y en ejecución</t>
  </si>
  <si>
    <t xml:space="preserve">Un plan de mercadeo elaborado y ejecutado 2012, que permita la promoción del territorio en medios de comunicación y sirva como proyecto para la consecución de recursos que permitan una promoción dirigida y eficaz del destino  -  diseñar un plan de mercadeo que incluya, participación en ferias,  elaboración de material pop, plan de medios y capacitación   -  formular y presentar un proyecto de promoción al FPTC para la ejecución de un plan de mercadeo -  </t>
  </si>
  <si>
    <t xml:space="preserve">Diversificar la oferta turística del destino con el apoyo a 2 productos y/o servicios turísticos  -   apoyar el sector privado en el diseño, investigación y desarrollo de (2) nuevos productos y/o servicios turísticos  -   una asistencia técnica que incentive el fortalecimiento de la oferta turística actual  </t>
  </si>
  <si>
    <t>Fortalecer el SUIT y diseñar un proyecto que incorpore tics en el sector turístico</t>
  </si>
  <si>
    <t>Elaborar un proyecto de tics para el sector turístico  -   realizar 2 talleres para la estructuración de proyectos y elaboración de diagnostico del sector referente a las tics en el sector turístico  -    rediseñar el SUIT</t>
  </si>
  <si>
    <t>Apoyar 2 proyectos turísticos que requieran de infraestructura turística en el Quindío - formular un proyecto que permita el mejoramiento de la infraestructura física y el aprovechamiento de la actividad turística -  realizar un estudio que identifique la necesidad de infraestructura física para el aprovechamiento de la actividad turística  y/o realizar un diagnostico de las necesidad que presenta el destino en señalización -  presentar un proyecto al FPTC para la consecución de recursos</t>
  </si>
  <si>
    <t>Brindar asistencia técnica y elaborar un proyecto de diseño de producto  -    estructurar un proyecto de diseño de producto que permitan aunar recursos e identificar los productos promocionables del PCC - una asistencia técnica a los municipios del PCC</t>
  </si>
  <si>
    <t>Diseñar un plan de control de calidad para ejecutar en el cuatrienio  -   realizar 4 talleres y/o capacitaciones en áreas del turismo  -   realizar 4 jornadas que permitan el acercamiento con los empresarios y la sensibilización respecto al marco legal vigente  -    dos asistencias técnicas que lideren el programa de gestión de la calidad  -   fortalecer el club de calidad haciendas del café</t>
  </si>
  <si>
    <t>Coordinar con los 12 municipios del departamento y con 4 gremios del sector turístico actividades que permitan la competitividad de la región como destino turístico</t>
  </si>
  <si>
    <t>Conformar y/o fortalecer 3 entes rectores del turismo para el fortalecimiento gremial del departamento</t>
  </si>
  <si>
    <t>Un plan de turismo departamental elaborado y puesto en marcha</t>
  </si>
  <si>
    <t>Realizar 5 talleres, eventos y/o capacitaciones de formación turística</t>
  </si>
  <si>
    <t>Realizar 8 actividades para la innovación, conservación y posicionamiento de las potencialidades turísticas y culturales del departamento -   incentivar una propuesta ambiental en el sector turístico - apoyar 5  eventos emblemáticos, actividades culturales, artísticas y festividades aniversarias de los municipios</t>
  </si>
  <si>
    <t>Brindar acompañamiento y asistencia técnica a las diferentes organizaciones y/o gremios que intervienen en la cadena productiva del sector turístico</t>
  </si>
  <si>
    <t>Impulsar estrategias Institucionales y de promoción y protección de los derechos humanos de las personas mayores, tendiente a responder a las demandas éticas y políticas de estos, para la satisfacción de l sus necesidades.</t>
  </si>
  <si>
    <t xml:space="preserve">Implementación del plan de acompañamiento para el empleo en el exterior a la población migrante del departamento del Quindío     </t>
  </si>
  <si>
    <t>16. Fortalecimiento de la institucionalidad cultural en el departamento del Quindío</t>
  </si>
  <si>
    <t>17. Implementación del sistema de información cultural en el departamento del Quindío</t>
  </si>
  <si>
    <t>18. Apoyo al arte y la cultura en el departamento del Quindío</t>
  </si>
  <si>
    <t>19. Incremento de la formación artística y cultural en el departamento del Quindío</t>
  </si>
  <si>
    <t>20. Fortalecimiento al plan departamental de lectura y bibliotecas en el Quindío</t>
  </si>
  <si>
    <t>21. Fortalecimiento a la comunicación, ciudadanía y cultura en el departamento del Quindío</t>
  </si>
  <si>
    <t>22. Apoyo al reconocimiento de la diversidad cultural en el departamento del Quindío</t>
  </si>
  <si>
    <t>23. Apoyo de los procesos de investigación, socialización y preservación de la cultura cafetera para el mundo en el departamento del Quindío.</t>
  </si>
  <si>
    <t>24. Apoyo al reconocimiento, apropiación y salvaguardia del patrimonio cultural en el departamento del Quindío</t>
  </si>
  <si>
    <t>Mejorar los mecanismos de comunicación que contribuyan a la formación de cultura ciudadana</t>
  </si>
  <si>
    <t>Generar lineamientos para las emisoras comunitarias  -   desarrollar actividades de formación, actualización y capacitación dirigidas a los comunicadores comunitarios</t>
  </si>
  <si>
    <t>Incrementar el numero de proyectos dirigidos a poblaciones especiales  -   participación de los representantes de las poblaciones especiales en los diferentes espacios  -  proyectos de diversidad cultural apoyados</t>
  </si>
  <si>
    <t>Apoyar dos (2) proyectos:      -   Dos inventarios realizados del patrimonio cultural material o inmatrial de el departamento del Quindio  -  Cuatro proyctos apoyados en la conservacion, proteccion y preservacion del patrimonio cultural material e inmaterial del departamento del Quindio</t>
  </si>
  <si>
    <t>Lograr una defensa solida y consistente en los procesos jurídicos donde sea parte el departamento del Quindío, así como implementar la ejecución de los litigios conforme a la normatividad que ha entrado en vigencia en materia contencioso administrativo y procesal general</t>
  </si>
  <si>
    <t>130. Fortalecimiento de la gestión jurídica en el departamento del Quindío</t>
  </si>
  <si>
    <t>122. Adecuación del archivo central de la Gobernación del Quindío</t>
  </si>
  <si>
    <t>123. Implementación de las  comunicaciones oficiales electrónicas en el archivo central de la Gobernación del Quindío</t>
  </si>
  <si>
    <t>124. Implementación de las tablas de valoración documental en el archivo central de la Gobernación del Quindío</t>
  </si>
  <si>
    <t>125. Sostenibilidad de las tecnologías de la información y comunicación de la gobernación del Quindío</t>
  </si>
  <si>
    <t>126. Actualización del inventario de bienes devolutivos del ente departamental Quindío</t>
  </si>
  <si>
    <t>Aplicación del acuerdo 049 de mayo 5 de 2000</t>
  </si>
  <si>
    <t>Política cero papel en la administración</t>
  </si>
  <si>
    <t>Aplicación del acuerdo 042 de  2000</t>
  </si>
  <si>
    <t>Compilación de la información institucional</t>
  </si>
  <si>
    <t>Ana María Arroyave</t>
  </si>
  <si>
    <t>25 - fortalecimiento de la gestión integral del orden público y seguridad en el departamento del Quindío</t>
  </si>
  <si>
    <t>26 - prevención en seguridad y construcción de convivencia ciudadana en el departamento del Quindío</t>
  </si>
  <si>
    <t>27 - fortalecimiento de la seguridad vial   en el departamento del Quindío</t>
  </si>
  <si>
    <t>28 - prevención protección y garantía de no repetición en el departamento del Quindío</t>
  </si>
  <si>
    <t>29 - diseño implementación y desarrollo del PARIV y atención integral a la población victima del conflicto armado departamento del Quindío</t>
  </si>
  <si>
    <t>30 - diseño, implementación y desarrollo del plan  departamental de prevención y protección de derechos humanos y derecho internacional humanitario del departamento del Quindío</t>
  </si>
  <si>
    <t>31 - fortalecimiento de la gestión del riesgo de desastres en el departamento del Quindío</t>
  </si>
  <si>
    <t>32 - apoyo a los procesos de reducción del riesgo de desastres en el departamento del Quindío</t>
  </si>
  <si>
    <t>33 - apoyo y fortalecimiento de los organismos  comunales del departamento del Quindío</t>
  </si>
  <si>
    <t>Numero de viviendas nuevas vis o vip en formulación y/o ejecución</t>
  </si>
  <si>
    <t>Apoyo a proyectos de vivienda nueva y mejoramientos de vivienda, infraestructura, equipamiento colectivo y comunitario</t>
  </si>
  <si>
    <t>Realizar mejoramientos de vivienda</t>
  </si>
  <si>
    <t>Numero de viviendas con mejoramiento</t>
  </si>
  <si>
    <t>Adquirir lotes vip y/o vis</t>
  </si>
  <si>
    <t>Numero de metros cuadrados adquiridos</t>
  </si>
  <si>
    <t>Numero de edificaciones educativas mejoradas y rehabilitadas</t>
  </si>
  <si>
    <t>Mantenimiento y rehabilitación de la infraestructura física de las instituciones educativas en el departamento del Quindío</t>
  </si>
  <si>
    <t>Numero de escenarios deportivos mejorados y rehabilitados</t>
  </si>
  <si>
    <t>Mantenimiento y rehabilitación de la infraestructura física de los escenarios deportivos y recreativos en el departamento del Quindío</t>
  </si>
  <si>
    <t>Desarrollar y ejecutar proyectos de vivienda nueva VIS - VIP</t>
  </si>
  <si>
    <t>72. Aplicación del plan víal departamental en el departamento del Quindío</t>
  </si>
  <si>
    <t>73. Implementación de acciones para el desarrollo del plan departamental de aguas del departamento del Quindío</t>
  </si>
  <si>
    <t>74. Construcción y mejoramiento de la infraestructura de agua potable del departamento del Quindío</t>
  </si>
  <si>
    <t>Disminuir el IRCA menor igual al 2%  - gestionar el aumento de la proporción de la población urbana con acceso a métodos de abastecimiento de agua adecuados en  un 99,4% - gestionar el aumento de la proporción de la población urbana con acceso a métodos de abastecimiento de agua adecuados en  un 81,6%</t>
  </si>
  <si>
    <t>75. Construcción y mejoramiento de la infraestructura sanitaria del departamento del Quindío</t>
  </si>
  <si>
    <t xml:space="preserve">40% de aguas tratadas;  97,6% de cobertura urbana y 70,9% de cobertura rural </t>
  </si>
  <si>
    <t>76. Construcción y mejoramiento de los sistemas de acueducto en el departamento del Quindío</t>
  </si>
  <si>
    <t xml:space="preserve">Gestionar acciones tendientes a disminuir en 2% el índice de agua no contabilizada (IANC), apoyo  a los 11  municipios vinculados al PAP - PDA </t>
  </si>
  <si>
    <t>77. Fortalecimiento de las empresas prestadoras de servicios públicos domiciliarios del departamento del Quindío</t>
  </si>
  <si>
    <t>78. Mejoramiento de la infraestructura física de las instituciones de educación del departamento del Quindío</t>
  </si>
  <si>
    <t xml:space="preserve">Rehabilitación de  22 centros educativos del departamento del Quindío </t>
  </si>
  <si>
    <t>79. Mejoramiento de la infraestructura física de los escenarios deportivos y recreativos del departamento del Quindío</t>
  </si>
  <si>
    <t>Mantenimiento de 20 escenarios deportivos del departamento. - construcción de nuevos cerramientos y adecuaciones externas</t>
  </si>
  <si>
    <t>80. Mejoramiento de la infraestructura física de las instituciones de salud pública y bienestar social del departamento del Quindío</t>
  </si>
  <si>
    <t>Dos (2) adecuaciones locativas y optimización de instalaciones hidrosanitarias. - mejorar y/o ampliar  instalaciones locativas y optimizar redes hidrosanitarias y eléctricas. - redistribución y mejoramiento de la infraestructura existente.</t>
  </si>
  <si>
    <t xml:space="preserve">81. Mejoramiento de las instituciones públicas, de seguridad y justicia en el departamento del Quindío </t>
  </si>
  <si>
    <t>Adecuar y/o mejorar dos (2) edificación públicas en el departamento del Quindío.</t>
  </si>
  <si>
    <t>82. Apoyo a la infraestructura física de los equipamientos colectivo y comunitario en el departamento del Quindío</t>
  </si>
  <si>
    <t xml:space="preserve">Una (1) construcción de obra nueva de equipamiento destinado al turismo,  cinco (5) mejoramientos, apoyo a proyectos estratégicos municipales de impacto regional y realización de convenios estratégicos para el departamento.   </t>
  </si>
  <si>
    <t>83. Apoyo a la infraestructura física de los espacios para el desarrollo turístico y cultural en el departamento del Quindío</t>
  </si>
  <si>
    <t xml:space="preserve">Un (1) mantenimiento general estaciones motriz, de reenvío y cable del sistema de transporte por cable aéreo teleférico de Buenavista. - dos  (2) estaciones  mejoradas. -  realizar obras complementarias </t>
  </si>
  <si>
    <t>84. Estudios, diseños, asesorías, apoyo logístico, técnico y administrativo de la infraestructura pública para el desarrollo para el departamento del Quindío</t>
  </si>
  <si>
    <t xml:space="preserve">Realizar diez (10) estudios, diseños, asesorías, apoyo logístico, técnico y administrativo de la infraestructura pública para el desarrollo de los proyectos y obras de inversión.  - mantener o aumentar el total del recurso para estudios y diseños de los proyectos de la secretaría de aguas e infraestructura. </t>
  </si>
  <si>
    <t>85. Mejoramiento de la infraestructura sanitaria y de agua potable del departamento del Quindío</t>
  </si>
  <si>
    <t xml:space="preserve">Construcción de sistemas de conducción y redes de acueducto y alcantarillado  en el departamento del Quindío. -   mejoramiento de las redes de acueducto y alcantarillado del departamento del Quindío. </t>
  </si>
  <si>
    <t>1. Fortalecimiento de la atención integral en el marco de la educación inicial para mi mundo mis juegos y mis letras con nuevas tecnología y bilingüismo en el departamento del Quindío</t>
  </si>
  <si>
    <t>2. Fortalecimiento integral ala primera infancia mediante alianzas estratégicas nacionales e internacionales</t>
  </si>
  <si>
    <t xml:space="preserve">3. Capacitación de los actores educativos comprometidos en el fortalecimiento integral de la primera infancia </t>
  </si>
  <si>
    <t>4. Ejecución de estrategias de evaluación de instituciones y actores educativos de las instituciones educativas del departamento del Quindío.</t>
  </si>
  <si>
    <t>5. Implementación de  un  plan nacional de lectura y lectoescritura en el departamento del Quindío</t>
  </si>
  <si>
    <t>6. Implementación de un programa de capacitación mediante el uso de diversas estrategias para la educación urbana y la educación rural en el departamento del Quindío</t>
  </si>
  <si>
    <t>7. Fortalecimiento de la ciudadanía terrenal en todos los niveles y ciclos del sistema educativo desde la conservación del paisaje cultural cafetero</t>
  </si>
  <si>
    <t>8. Aplicación de estrategias de acceso al sistema educativo formal mediante el mejoramiento de ambientes educativos escolares en todos los grupos poblacionales y ciclos vitales en el departamento del Quindío</t>
  </si>
  <si>
    <t xml:space="preserve">Mantener la cobertura educativa existente por encima de 50000 estudiantes  </t>
  </si>
  <si>
    <t>Aumentar el numero de estudiantes en el nivel de preescolar, básica primaria, secundaria y media</t>
  </si>
  <si>
    <t>Mantener la planta viabilizada por el ministerio de educación nacional tanto de docentes como directivos docentes y administrativos, para garantizar el servicio educativo.</t>
  </si>
  <si>
    <t xml:space="preserve">9. Fortalecimiento de estrategias de permanencia en el sistema educativo formal mediante el mejoramiento de ambientes educativos escolares en el departamento del Quindío </t>
  </si>
  <si>
    <t>Mantener la cobertura educativa existente por encima de 50000 estudiantes</t>
  </si>
  <si>
    <t>Disminuir la deserción escolar para el año 2012 en un 20 % con respecto al año anterior</t>
  </si>
  <si>
    <t>Garantizar el servicio de transporte escolar para 2900 estudiantes del sector rural.</t>
  </si>
  <si>
    <t xml:space="preserve">11. Implementación de estrategias de acceso para garantizar el aumento de estudiantes que ingresan a la educación técnica, tecnología y superior del departamento del Quindío </t>
  </si>
  <si>
    <t>1 estrategia de acceso a la educación superior implementada  -    monto presupuestal asignado y trasladado  -  80 estudiantes bachilleres que ingresaba a estudios superiores</t>
  </si>
  <si>
    <t>13. Fortalecimiento del desarrollo de competencias en lengua extranjera en las instituciones educativas del departamento del Quindío</t>
  </si>
  <si>
    <t>14. Ejecución de un plan estratégico para el fortalecimiento de la innovación y la productividad desde el nivel de media en las instituciones educativas del departamento del Quindío</t>
  </si>
  <si>
    <t xml:space="preserve">María Victoria Fernández Garzón </t>
  </si>
  <si>
    <t>149. Apoyo al rescate del deporte asociado orientado a altos logros en el departamento del Quindío</t>
  </si>
  <si>
    <t>Apoyar todos los procesos deportivos del departamento haciendo énfasis en la iniciación y formación deportiva de los quindianos  - brindar las herramientas necesarias que permitan a los quindianos contar con espacios de esparcimiento y aprovechamiento del tiempo libre - desarrollar los programas deportivos  necesarios para lograr el despegue para nuestros deportistas a nivel nacional e internacional</t>
  </si>
  <si>
    <t>150. Apoyo a los juegos intercolegiados y eventos deportivos en el departamento del Quindío</t>
  </si>
  <si>
    <t>Realizar dos eventos  deportivos con incidencia departamental</t>
  </si>
  <si>
    <t xml:space="preserve">Garantizar un evento con todos los requerimientos de tipo técnico y logístico de gran magnitud en los estamentos del deporte escolar del departamento   -    adelantar los procesos necesarios en pro de la fundamentación correcta de nuestros deportistas </t>
  </si>
  <si>
    <t>151. Apoyo a las ligas deportivas en el departamento Quindío</t>
  </si>
  <si>
    <t>Implantar un programa de estímulos  económicos, técnicos y humanos a las ligas  deportivas del Quindío en búsqueda de una excelentes resultados deportivos   -    apoyar un programa  de apoyo al deporte asociado mediante el seguimiento constante de la labor de las ligas deportivas del Quindío  -   encargar el asesoramiento legal de las ligas deportivas del departamento a un profesional  de INDEPORTES</t>
  </si>
  <si>
    <t>152. Apoyo a las ligas con capacidades especiales en el departamento del Quindío</t>
  </si>
  <si>
    <t xml:space="preserve">Apoyar a las 3 ligas con reconocimiento deportivo para aumentar  los logros  de los deportistas  con capacidades especiales   -   implementar un programa  que permita  a los deportistas  con capacidades  especiales  mejorar sus participaciones deportivas   -   contratar por parte de INDEPORTES Quindío un profesional en derecho que permita a las ligas  sortear con éxito las exigencias legales </t>
  </si>
  <si>
    <t>153. Apoyo a la recreación base social en el departamento del Quindío</t>
  </si>
  <si>
    <t>A través de un programa especifico brindar atención en recreación a diferentes grupos de edades  y población vulnerable  del departamento  -   brindar los recursos necesarios para apoyar eventos recreativos en los doce municipios del departamento   -   poner en marcha una estrategia que permita reducir los índices de consumo de alucinógenos y violencia intrafamiliar de las familias Quindianas</t>
  </si>
  <si>
    <t>154. Apoyo a la actividad física, salud y productividad en el departamento del Quindío</t>
  </si>
  <si>
    <t>Apoyar el programa de actividad física  y estilos de vida saludables en el departamento   -  garantizar un programa de actividad física  y hábitos de vida saludables en el Quindío   -     implementación y desarrollo de un amplio programa  de actividad física  en los habitantes del departamento</t>
  </si>
  <si>
    <t>89. Fortalecimiento a programas de seguridad alimentaria en el departamento del Quindío</t>
  </si>
  <si>
    <t xml:space="preserve">APROPIACION DEFINITIVA/INVERSION TOTAL: </t>
  </si>
  <si>
    <t>RAMIRO DE JESUS OROZCO DUQUE</t>
  </si>
  <si>
    <t>HUMBERTO TURRIAGO LOPEZ</t>
  </si>
  <si>
    <r>
      <t>Número de IPS públicas de 2º y 3</t>
    </r>
    <r>
      <rPr>
        <vertAlign val="superscript"/>
        <sz val="11"/>
        <color indexed="8"/>
        <rFont val="Arial"/>
        <family val="2"/>
      </rPr>
      <t>er</t>
    </r>
    <r>
      <rPr>
        <sz val="11"/>
        <color indexed="8"/>
        <rFont val="Arial"/>
        <family val="2"/>
      </rPr>
      <t xml:space="preserve"> nivel acreditadas.</t>
    </r>
  </si>
  <si>
    <t>JAMES CASTAÑO HERRERA</t>
  </si>
  <si>
    <t>JHON JAMES FERNANDEZ LOPEZ</t>
  </si>
  <si>
    <t>MARIA VICTORIA FERNANDEZ GARZON</t>
  </si>
  <si>
    <t>MARIA VICTORIA GIRALDO LONDOÑO</t>
  </si>
  <si>
    <t>Apoyar la atención humanitaria inmediata, de emergencia y la estabilización socioeconómica de la población víctima de desplazamiento forzado con enfoque de derecho de salud, educación, vivienda, generación de ingresos, tierra, cultura, deporte e inclusión social.</t>
  </si>
  <si>
    <t>Fortalecer la capacidad institucional a través del apoyo en la construcción y la actualización de los PLANES DE ATENCIÓN Y REPARACIÓN INTEGRAL DE VÍCTIMAS PARIV municipales y la implementación del PARIV departamental.</t>
  </si>
  <si>
    <t>% DE EJECUCION</t>
  </si>
  <si>
    <t xml:space="preserve"> NOMBRE DE LA META</t>
  </si>
  <si>
    <t>1.5.17.42.P.100                   MI</t>
  </si>
  <si>
    <t>1.5.17.42.P.101                   MI</t>
  </si>
  <si>
    <t>1.5.17.42.P.102                                                   MI</t>
  </si>
  <si>
    <t>1.5.17.42.P.103                  MI</t>
  </si>
  <si>
    <t>1.5.17.42.P.104                          MI</t>
  </si>
  <si>
    <t>Número de Municipios con el PNVCC implementado.</t>
  </si>
  <si>
    <t xml:space="preserve">Disminuir la tasa de homicidios anuales en el departamento del Quindìo Disminuir la tasa de hurtos anuales en el departamento del Quindío
</t>
  </si>
  <si>
    <t>Ejecución  plan de inversiòn del plan integral de seguridad y convivencia ciudadana PISCC</t>
  </si>
  <si>
    <t>Logistica operativa de seguridad y convivencia ciudadana</t>
  </si>
  <si>
    <t>Apoyo tecnico y/ profesional</t>
  </si>
  <si>
    <t xml:space="preserve">No. DE 
CONTRATOS </t>
  </si>
  <si>
    <t>META 
PROGRAMADA</t>
  </si>
  <si>
    <t>AVANCE DE 
LA META</t>
  </si>
  <si>
    <t>% DE 
AVANCE</t>
  </si>
  <si>
    <t>VALOR COMPROMISOS
MILES $</t>
  </si>
  <si>
    <t>VALOR DE LAS OBLIGACIONES
MILES $</t>
  </si>
  <si>
    <t xml:space="preserve">Fortalecimiento y apoyo a campañas, capacitaciones,programas y mas para la construcción de convivencia ciudadana </t>
  </si>
  <si>
    <t>Logistica operativa de prevención en seguridad y construcción de convivencia</t>
  </si>
  <si>
    <t>Asistencia tecnica  y profesional</t>
  </si>
  <si>
    <t xml:space="preserve">
Disminuir la tasa de lesiones personales en el departamento del Quindío
</t>
  </si>
  <si>
    <t>Convenio interadminstrativo de cooperación</t>
  </si>
  <si>
    <t>Diseñar, implementar y socializar programas para prevenir reclutamiento forzado. logistica operativa, asistencia técnica y profesional.</t>
  </si>
  <si>
    <t>Actualizar y socializar el plan departamental de contigencia por posibles desplazamientos masivos. logística operativa, asistencia técnica y profesional.</t>
  </si>
  <si>
    <t xml:space="preserve">Apoyar  en  los  doce  Municipios  del Departamento,   acciones de   prevención  y  protección  dirigidas a la  población víctima del conflicto armado y en condición de desplazamiento,  a  través  de los  espacios legalmente establecidos para estos  fines. 
  </t>
  </si>
  <si>
    <t>Apoyo técnico y profesional y logistica para la gestión integral del pariv</t>
  </si>
  <si>
    <t>Ayuda humanitaria inmediata y estabilización socioeconomica (adquisición de bienes y servicios)</t>
  </si>
  <si>
    <t xml:space="preserve">Fortalecer el comité departamental de justicia transicional y sus subcomités.
</t>
  </si>
  <si>
    <t>Desarrollar actividaes de difusión de  DDHH y DIH  con diferentes grupos de la comunidad</t>
  </si>
  <si>
    <t>Actualización, socialización e implementación del plan departamental de prevención y protección de ddhh y dih</t>
  </si>
  <si>
    <t>Fortalecer el cosejo departamental de paz del departamento y esiu comite operativo</t>
  </si>
  <si>
    <t>Fortalecer el consejo departamental de prevención y atención a la trata de personas</t>
  </si>
  <si>
    <t>Apoyo (bienes o servicios) a organizaciones o lideres de ddhh para la prevención y garantía de derechos</t>
  </si>
  <si>
    <t xml:space="preserve">Actualizar, socialización e implementar el plan  departamental de prevención y atención a la trata de personas.  </t>
  </si>
  <si>
    <t xml:space="preserve">Capacitar al 20% de la poblaciòn quiindiana en DDHH y DIH.
</t>
  </si>
  <si>
    <t>Apoyo a organismos de socorro, instituciones que integran la UDEGERD y comunidad en temas de gestión del riesgo y de desastres</t>
  </si>
  <si>
    <t>Logística operativa</t>
  </si>
  <si>
    <t>Apoyo técnico y profesional</t>
  </si>
  <si>
    <t>Capacitación  y asesorias en temas de gestión del riesgo de desastres</t>
  </si>
  <si>
    <t>Realización de estudios ténicos para identificación de zonas de alto riesgo</t>
  </si>
  <si>
    <t>Logística operativa y/o adquisición de elementos para asistencia humanitaria</t>
  </si>
  <si>
    <t>Apoyo profesional</t>
  </si>
  <si>
    <t>Apoyo profesional para el fortalecimiento de los cuerpos de bomberos del departamento del Quindío, como entidades de socorro que hacen parte de la (UDEGERD)</t>
  </si>
  <si>
    <t xml:space="preserve">Realizar 30 capacitaciones a las comunidades vulnerables del departamento.
</t>
  </si>
  <si>
    <t>Apoyo a organismos comunales del departamento del quindío</t>
  </si>
  <si>
    <t>Banco de proyectos comunales</t>
  </si>
  <si>
    <t xml:space="preserve">Apoyo técnico y profesional </t>
  </si>
  <si>
    <t xml:space="preserve">Capacitar, sensibilizar a la comunidad del departamento, al igual que dotar y equipar los centros para la democracia comunitaria para el desarrollo de sus actividades.
</t>
  </si>
  <si>
    <t xml:space="preserve">1.5.48.43P.106                  MI  </t>
  </si>
  <si>
    <t>1.5.48.43.P.107                         MI</t>
  </si>
  <si>
    <t>1.5.48.43.P.105                       MI</t>
  </si>
  <si>
    <t>1.5.49.44.P.108                 MI</t>
  </si>
  <si>
    <t>1.5.49.44.P.109                 MI</t>
  </si>
  <si>
    <t>1.5.49.44.P.110                     MI</t>
  </si>
  <si>
    <t>1.8.63.56.P.133                  MI</t>
  </si>
  <si>
    <t>1.8.63.56.P.134                  MI</t>
  </si>
  <si>
    <t>1.8.63.57.P.135              MM</t>
  </si>
  <si>
    <t>1.8.63.57.P.136                MM</t>
  </si>
  <si>
    <t>1.8.63.57.P.137                       MM</t>
  </si>
  <si>
    <t>1.8.63.57.P.138                   MM</t>
  </si>
  <si>
    <t xml:space="preserve">1.8.63.58.P.139                       MI </t>
  </si>
  <si>
    <t xml:space="preserve">1.8.63.58.P.140                      MM </t>
  </si>
  <si>
    <t xml:space="preserve">4.18.97.124.P.306                    MI </t>
  </si>
  <si>
    <t xml:space="preserve">4.18.97.124.P.307                    MI </t>
  </si>
  <si>
    <t xml:space="preserve">4.18.97.124.P.308                 MI </t>
  </si>
  <si>
    <t xml:space="preserve">4.18.97.125.P.309                MI </t>
  </si>
  <si>
    <t xml:space="preserve">4.18.97.125.P.310                MM </t>
  </si>
  <si>
    <t xml:space="preserve">4.18.97.125.P.311                   MM </t>
  </si>
  <si>
    <t xml:space="preserve">4.18.97.125.P.312                 MI </t>
  </si>
  <si>
    <t xml:space="preserve">4.18.97.125.P.313                  MI </t>
  </si>
  <si>
    <t>4.18.97.125.P.314                  MM</t>
  </si>
  <si>
    <t xml:space="preserve">5.21.103.136.P.346     
 MM </t>
  </si>
  <si>
    <t>5.21.103.136.P.347       
  MI</t>
  </si>
  <si>
    <t>5.21.103.136.P.348   
    MM</t>
  </si>
  <si>
    <t>5.21.103.136.P.349         
MI</t>
  </si>
  <si>
    <t>5.21.103.136.P.350       
MM</t>
  </si>
  <si>
    <t xml:space="preserve">VALOR
PROGRAMADO
MILES $ </t>
  </si>
  <si>
    <t xml:space="preserve">VALOR EJECUTADO
MILES $ </t>
  </si>
  <si>
    <t>NUMERO Y NOMBRE
DEL PROYECTO</t>
  </si>
  <si>
    <t>AREA: DEPARTAMENTO DEL QUINDIO</t>
  </si>
  <si>
    <t>CARGO: SECRETARIA DEL INTERIOR</t>
  </si>
  <si>
    <t>% DE EJECUCIÓN 
CONTRATOS</t>
  </si>
  <si>
    <t>NUMERO Y NOMBRE 
DEL PROYECTO</t>
  </si>
  <si>
    <t>CONTRATOS</t>
  </si>
  <si>
    <t>DEPENDENCIA: INDEPORTES</t>
  </si>
  <si>
    <t>CARGO: GERENTE INDEPORTES</t>
  </si>
  <si>
    <t>Hinderman Figueroa Rodríguez</t>
  </si>
  <si>
    <t>Apoyar el rescate del deporte asociado orientado a altos logros en el Departamento del Quindío</t>
  </si>
  <si>
    <t>Servicio profesional y/o técnico</t>
  </si>
  <si>
    <t>Realizar  los juegos intercolegiados del Quindío en todas sus fases</t>
  </si>
  <si>
    <t>Apoyo al deporte asociado en el departamento del Quindío</t>
  </si>
  <si>
    <t>56-RO</t>
  </si>
  <si>
    <t>Apoyo a los deportistas con capacidades especiales asociados.</t>
  </si>
  <si>
    <t>Apoyo técnico y/o profesional</t>
  </si>
  <si>
    <t>Apoyo a la recreación base social en el departamento del Quindío.</t>
  </si>
  <si>
    <t>Apoyo a la actividad física y estilos de vida saludables en el departamento del Quindío</t>
  </si>
  <si>
    <t>DEPENDENCIA: SECRETARIA DE EDUCACIÓN</t>
  </si>
  <si>
    <t>CARGO: SECRETARIA DE EDUCACIÓN</t>
  </si>
  <si>
    <t>Convenio interadministrativo</t>
  </si>
  <si>
    <t>Materiales e Isumos-Canasta</t>
  </si>
  <si>
    <t>Servicios Profesionales y/o tecnicos</t>
  </si>
  <si>
    <t>Programa nacional de lecturan y escritura</t>
  </si>
  <si>
    <t>Apoyo a programas educativos, recreativos y culturales</t>
  </si>
  <si>
    <t>Apoyo programa de investigación</t>
  </si>
  <si>
    <t>Apoyo Eventos Deportivos</t>
  </si>
  <si>
    <t>Apoyo a eventos recreativos y culturales</t>
  </si>
  <si>
    <t>Pago de Nómina del sector Educativo</t>
  </si>
  <si>
    <t>Arrendamientos</t>
  </si>
  <si>
    <t>25 - SGP</t>
  </si>
  <si>
    <t>Nomina personal de Vigilancia y Aseo</t>
  </si>
  <si>
    <t>Programa de Alimentacion Escolar</t>
  </si>
  <si>
    <t xml:space="preserve">168. Implementación de estrategias de inclusión para garantizar la atención educativa a los grupos poblacionales vulnerables en condiciones de calidad y equidad en el departamento del Quindío </t>
  </si>
  <si>
    <t>Prestación de servicios profesionales y técnicos</t>
  </si>
  <si>
    <t xml:space="preserve">20 - 35          </t>
  </si>
  <si>
    <t>Posadas universitarias</t>
  </si>
  <si>
    <t>Estimulo Estudiantes</t>
  </si>
  <si>
    <t>Traslado de recursos a la Universidad pública del Departamento del Quindío</t>
  </si>
  <si>
    <t>20 -35</t>
  </si>
  <si>
    <t>169.  Incorporación de la innovación en la educación, en las instituciones educativas  del  departamento del Quindío</t>
  </si>
  <si>
    <t>Conectividad</t>
  </si>
  <si>
    <t>Contenidos Digitales</t>
  </si>
  <si>
    <t>Insumos</t>
  </si>
  <si>
    <t>Servicios Profesionales y/o técnicos</t>
  </si>
  <si>
    <t>Material didáctico y pedagógico</t>
  </si>
  <si>
    <t>Apoyo Logístico</t>
  </si>
  <si>
    <t>Insumos y materiales</t>
  </si>
  <si>
    <t xml:space="preserve">5.20.102.135.P.340           </t>
  </si>
  <si>
    <t xml:space="preserve">5.20.102.135.P.341       </t>
  </si>
  <si>
    <t xml:space="preserve">5.20.102.135.P.343                </t>
  </si>
  <si>
    <t>Número de rendiciones de cuentas realizadas.</t>
  </si>
  <si>
    <t>158.  Fortalecimiento de las estrategias de modernización administrativa del sistema educativo en el departamento del Quindío</t>
  </si>
  <si>
    <t>Equipos tecnológicos</t>
  </si>
  <si>
    <t>159.  Mejoramiento de los Sistemas de Información Infraestructura y Comunicación de la Secretaría de Educación</t>
  </si>
  <si>
    <t xml:space="preserve">5.20.102.135.P.342              </t>
  </si>
  <si>
    <t xml:space="preserve">5.20.102.135.P.344            </t>
  </si>
  <si>
    <t xml:space="preserve">5.20.102.135.P.345            </t>
  </si>
  <si>
    <t>Prestacion de Servicios Profesionales y/o técnicos</t>
  </si>
  <si>
    <t>DEPENDENCIA: SECRETARIA DE AGUAS E INFRAESTRUCTURA</t>
  </si>
  <si>
    <t>Jorge Alejandro Quintero Angel</t>
  </si>
  <si>
    <t xml:space="preserve">Construir mejorar y habilitar la  red vial secundaria para la implementación del plan vial departamental </t>
  </si>
  <si>
    <t xml:space="preserve">Mantener en buen estado las vías secundarias </t>
  </si>
  <si>
    <t>Apoyar la atención de las emergencias viales en los municipios del departamento</t>
  </si>
  <si>
    <t>Realizar estudios, diseños, asesorias,apoyo técnico y administrativo</t>
  </si>
  <si>
    <t xml:space="preserve">Apoyar a los municipios en la construcción, mantenimiento, mejoramiento y rehabilitación de la red vial terciaria y/o urbana </t>
  </si>
  <si>
    <t>Software y hardware</t>
  </si>
  <si>
    <t>Apoyo logístico y transporte</t>
  </si>
  <si>
    <t>Realizar mantenimiento y/o rehabilitación de puentes en el departamento del Quindio</t>
  </si>
  <si>
    <t>Ejecución de obras de mantenimiento rutinario y periódico 
Mejorar el nivel de producción agrícola en un 4%
Ofrecer un nivel de operación superior en un 10%</t>
  </si>
  <si>
    <t xml:space="preserve">Apoyo logistico, dotación y transporte </t>
  </si>
  <si>
    <t>Estudios y diseños</t>
  </si>
  <si>
    <t>Equipos para funcionamiento</t>
  </si>
  <si>
    <t>Apoyo técnico, adminsitrativo, financiero, legal y ambiental</t>
  </si>
  <si>
    <t>Socializacion del PDA</t>
  </si>
  <si>
    <t>Inversión para areas de protección del recurso hídrico</t>
  </si>
  <si>
    <t>Interventorías</t>
  </si>
  <si>
    <t>Inversión obra física</t>
  </si>
  <si>
    <t>&lt; = 2%</t>
  </si>
  <si>
    <t xml:space="preserve">27 (SGP) </t>
  </si>
  <si>
    <t>Obra física</t>
  </si>
  <si>
    <t>Aseo</t>
  </si>
  <si>
    <t>Convenios</t>
  </si>
  <si>
    <t>Asesoria técnica y administrativa</t>
  </si>
  <si>
    <t xml:space="preserve">Número de empresas (5) prestadoras de servicios públicos domiciliarios fortalecidas institucionalmente.     </t>
  </si>
  <si>
    <t>157. Construir  la institución educativa san José en la vereda fachadas del Municipio de Filandia Quindío</t>
  </si>
  <si>
    <t>Construcción de aulas</t>
  </si>
  <si>
    <t>Mejoramiento infraestructura física instituciones de educación y cultura</t>
  </si>
  <si>
    <t>Interventoría externa, apoyo técnico, administrativo y financiero</t>
  </si>
  <si>
    <t>Estudios, diseños, levantamientos topográficos, licencias y permisos</t>
  </si>
  <si>
    <t>Apoyo logístico transporte</t>
  </si>
  <si>
    <t>04 (EPD)</t>
  </si>
  <si>
    <t>Interventoría externa</t>
  </si>
  <si>
    <t>Construcción de la Institución Educativa San José vereda Fachadas del Municipio de Filandia</t>
  </si>
  <si>
    <t>Construcción ampliación de escenarios deportivos y recreativos</t>
  </si>
  <si>
    <t>Adecuación de escenarios deportivos y recreativos</t>
  </si>
  <si>
    <t>Estudios, diseños y levantamiento topográfico</t>
  </si>
  <si>
    <t>56 (COFINANCIACIÓN CONVENIOS)</t>
  </si>
  <si>
    <t>Adecuaciones locativas</t>
  </si>
  <si>
    <t>Apoyo técnico adminsitrativo y financiero</t>
  </si>
  <si>
    <t>Instalaciones hidrosanitarias</t>
  </si>
  <si>
    <t xml:space="preserve">Mejoramiento y adecuación </t>
  </si>
  <si>
    <t>JORGE ALENDRO QUINTERO ANGEL</t>
  </si>
  <si>
    <t>20 (RO)</t>
  </si>
  <si>
    <t>04 (EPD)
20 (RO)</t>
  </si>
  <si>
    <t>46 (R-CRÉDITO)
20(RO)
04 (EPD)</t>
  </si>
  <si>
    <t>46 (R-CRÉDITO)
57 (A.P)
20 (R.O)</t>
  </si>
  <si>
    <t>46 (R-CRÉDITO)
57 (A.P)</t>
  </si>
  <si>
    <t>Mantenimiento de sistemas de acueducto y alcantarillado</t>
  </si>
  <si>
    <t xml:space="preserve">Realizar consultoría para los estudios y diseños del embalse multipropósito y obras complementarias. </t>
  </si>
  <si>
    <t>Consultoria Realizada.</t>
  </si>
  <si>
    <t>Gestionar la consecución de recursos del orden nacional</t>
  </si>
  <si>
    <t>Gestión Realizada.</t>
  </si>
  <si>
    <t>3.17.88.107.P.276</t>
  </si>
  <si>
    <t>3.17.88.107.P.277</t>
  </si>
  <si>
    <t>166. Aportes Embalse Multipropósito Departamento del Quindío</t>
  </si>
  <si>
    <t xml:space="preserve">Línea de adecuación y conducción </t>
  </si>
  <si>
    <t>CONTRATO</t>
  </si>
  <si>
    <t>CARGO: SECRETARIO DE AGUAS E INFRAESTRUCTURA</t>
  </si>
  <si>
    <t>CARGO: GERENTE PROMOTORA DE VIVIENDA Y DESARROLLO DEL QUINDIO</t>
  </si>
  <si>
    <t>146. Apoyo a la promotora de vivienda y desarrollo del departamento del Quindío</t>
  </si>
  <si>
    <t xml:space="preserve">3.17.90.108.P.278      </t>
  </si>
  <si>
    <t xml:space="preserve">3.17.90.108.P.279 </t>
  </si>
  <si>
    <t xml:space="preserve">3.17.90.108.P.280  </t>
  </si>
  <si>
    <t xml:space="preserve">3.17.90.108.P.281 </t>
  </si>
  <si>
    <t>Estudios, permisos,licencias, impresiones, formulación, pólizas, suministro y transporte</t>
  </si>
  <si>
    <t>Infraestructura, equipamiento colectivo y comunitario</t>
  </si>
  <si>
    <t>Servicios técnicos y profesionales</t>
  </si>
  <si>
    <t>147. Apoyo a la infraestructura física de las instituciones educativas mantenidas y rehabilitadas en el departamento del Quindío</t>
  </si>
  <si>
    <t xml:space="preserve">3.17.92.109.P.282  </t>
  </si>
  <si>
    <t>Mejorar y rehabilitar la infraestructura de edificaciones educativas del Departamento del Quindío.
(Meta compartida con Secretaria de Infraestructura, con un peso para la misma del 50% para PROVIQUINDIO y el otro 50% para INFRA).</t>
  </si>
  <si>
    <t xml:space="preserve">Estudios, diseños, permisos, licencias </t>
  </si>
  <si>
    <t>Mejoramiento y rehabilitación de la infraestructura física de las instituciones educativas</t>
  </si>
  <si>
    <t xml:space="preserve">3.17.92.142.P.284                 </t>
  </si>
  <si>
    <t>Incrementar el mejoramiento y rehabilitación de los escenarios deportivos y recreativos del Departamento del Quindío.
(Meta compartida con Secretaria de Infraestructura, con un peso para la misma del 50% para PROVIQUINDIO y el otro 50% para INFRA).</t>
  </si>
  <si>
    <t>Dotación, reparación, mantenimiento y rehabilitación de escenarios deportivos y recreativos</t>
  </si>
  <si>
    <t>04 (EDP 30%)</t>
  </si>
  <si>
    <t>53 (IR)</t>
  </si>
  <si>
    <t>JHONNY ALBERTO RODRIGUEZ JARAMILLO</t>
  </si>
  <si>
    <t>Adeccuación del Archivo Central</t>
  </si>
  <si>
    <t xml:space="preserve">Modernización del Archivo Central </t>
  </si>
  <si>
    <t xml:space="preserve">Apoyo Logístico </t>
  </si>
  <si>
    <t>Implementación de Tablas de Valoración</t>
  </si>
  <si>
    <t>20 RO</t>
  </si>
  <si>
    <t>Sostenibilidad de la estrategia de Gobierno en línea</t>
  </si>
  <si>
    <t>Apoyo técnico y/o profesional para el desarrollo de los componentes del ecosistema digital.</t>
  </si>
  <si>
    <t>Soporte a aplicaciones
Servicios de Comunicaciones</t>
  </si>
  <si>
    <t xml:space="preserve">
Compra outsourcing de equipos
Apoyo a las estrategias que permitan el desarrollo, apropiación y masificación de las TIC.</t>
  </si>
  <si>
    <t>Suministros generales para desarrollar la estrategia de actualización de inventarios de bienes devolutivos</t>
  </si>
  <si>
    <t xml:space="preserve">Desarrollo de actividades profesiones inherente a la actualización de los Inventarios devolutivos de la gobernación </t>
  </si>
  <si>
    <t>Apoyo técnico y/o profesional para el desarrollo de los componentes del ecosistema digital</t>
  </si>
  <si>
    <t>Apoyo Logistico, Técnico y Profesional para el acompañamiento a la Secretaría en la Ejecución de Procesos Juridicos y Capacitación en las Normas sustanciales y Procesales Aplicables.</t>
  </si>
  <si>
    <t>CARGO: SECRETARIA DE REPRESENTACIÓN JUDICIAL</t>
  </si>
  <si>
    <t>Asistencia Técnica</t>
  </si>
  <si>
    <t>Capacitación y Asistencia Técnica</t>
  </si>
  <si>
    <t>Respaldar y dar soporte a los nuevos proyectos presentados a la gobernacion del quindio, en el ambito cultural , para asi fomentar las actividades artisticas y culturales con calidad.</t>
  </si>
  <si>
    <t>Implementar mecanismos de asesorias, concertacion y practicas por medio de alianzas estrategicas y convenios para mejorar la calidad de las expresiones artisticasy culturales</t>
  </si>
  <si>
    <t>Promocionar los nuevos eventos artisticos y culturales a travez de la creacion de canales de comunicación, creando convocatorias y dotaciones que hagan reconocimiento a las expresiones culturales.</t>
  </si>
  <si>
    <t xml:space="preserve">Asistencia Técnica y Profesional </t>
  </si>
  <si>
    <t>Eventos Culturales y Artísticos</t>
  </si>
  <si>
    <t>Apoyo a Proyectos de Concertación</t>
  </si>
  <si>
    <t>Servicios Profesionales</t>
  </si>
  <si>
    <t>Publicaciones e Impresos</t>
  </si>
  <si>
    <t>Capacitación</t>
  </si>
  <si>
    <t>Appoyo a Proyectos dirigidos a poblaciones especiales</t>
  </si>
  <si>
    <t>Manifestaciones Culturales alusivas PCC</t>
  </si>
  <si>
    <t xml:space="preserve">Apoyo Lógistico y Operativo a la Difusión del Patrimonio Cultural y Capacitación de Vigias del PCC y seguimiento a la implementación de su plan de Manejo </t>
  </si>
  <si>
    <t>Apoyo a Proyectos de Investigación del Patrimonio cultural PCC</t>
  </si>
  <si>
    <t>Diseñar e implementar un programa de orientación preventiva, para mejorar percepción del riesgo y disminuir la actitud permisiva de la comunidad frente al consumo de sustancias lícitas e ilícitas.</t>
  </si>
  <si>
    <t>Un programa de orientación preventiva implementado.</t>
  </si>
  <si>
    <t>1.2.37.22. P.69</t>
  </si>
  <si>
    <t>34. Diseño e implementación de un programa para la prevención y  reducción del consumo de sustancias psicoactivas en el departamento del Quindío</t>
  </si>
  <si>
    <t>Campañas</t>
  </si>
  <si>
    <t xml:space="preserve">1.6.51.46.P112 </t>
  </si>
  <si>
    <t xml:space="preserve">1.6.51.46.P113 </t>
  </si>
  <si>
    <t>35. Apoyo a la Formulación e implementación de la política púbica de equidad de género del depto. del Quindío</t>
  </si>
  <si>
    <t xml:space="preserve">Apoyo a la Gestión </t>
  </si>
  <si>
    <t xml:space="preserve">Política adoptada e implementada. </t>
  </si>
  <si>
    <t xml:space="preserve">1.6.51.45.P.111 </t>
  </si>
  <si>
    <t>36.  Apoyo  e implementación de  programas y proyectos productivos para mujeres rurales del departamento del Quindío</t>
  </si>
  <si>
    <t>37.  Apoyo a la prevención y atención integral a las mujeres victimas de la violencia intrafamiliar departamento del Quindío</t>
  </si>
  <si>
    <t xml:space="preserve">1.6.51.47.P.114 </t>
  </si>
  <si>
    <t xml:space="preserve">1.6.51.47.P.115 </t>
  </si>
  <si>
    <t>Apoyo a la Gestión 
Eventos y / o Actividades de Socialización y Pafrticipación ciudadana</t>
  </si>
  <si>
    <t>38.  Asistencia y apoyo a los consejos comunitarios municipales y departamentales de mujeres en el Quindío</t>
  </si>
  <si>
    <t>1.6.51.48.P.116</t>
  </si>
  <si>
    <t xml:space="preserve">1.6.51.48.P.117 </t>
  </si>
  <si>
    <t>39.  Apoyo al plan de vida del resguardo indígena DACHI AGORE DRUA del departamento del Quindío</t>
  </si>
  <si>
    <t>Apoyo a la Implementación del Plan de Vida del Resguardo Dachi Agore Drua</t>
  </si>
  <si>
    <t xml:space="preserve">1.7.60.49.P.118 </t>
  </si>
  <si>
    <t>40. Apoyo y caracterización de la población indígena del departamento del Quindío</t>
  </si>
  <si>
    <t xml:space="preserve">1.7.60.50.P.119 </t>
  </si>
  <si>
    <t xml:space="preserve">1.7.60.50.P.120 </t>
  </si>
  <si>
    <t>Apoyo para la construcción de vivienda para los cabildos indígenas del Departamento del Quindío</t>
  </si>
  <si>
    <t xml:space="preserve">1.7.61.52.P.121 </t>
  </si>
  <si>
    <t xml:space="preserve">1.7.61.52.P.122 </t>
  </si>
  <si>
    <t>41. Estudio y caracterización de la población afro descendiente del departamento del Quindío</t>
  </si>
  <si>
    <t>Caracterización de la Población Afrodescendiente del Departamento del Quindío</t>
  </si>
  <si>
    <t>42. Apoyo a la población afro descendiente en el departamento del Quindío</t>
  </si>
  <si>
    <t xml:space="preserve">1.7.61.53.P.123 </t>
  </si>
  <si>
    <t>1.7.61.53.P.124</t>
  </si>
  <si>
    <t xml:space="preserve">1.7.61.53.P.125 </t>
  </si>
  <si>
    <t xml:space="preserve">1.7.61.53.P.126 </t>
  </si>
  <si>
    <t>Apoyo a las Actividades, Programas y Proyectos de la Población Afrodescendiente del Departamento</t>
  </si>
  <si>
    <t xml:space="preserve">1.7.62.54.P.127 </t>
  </si>
  <si>
    <t xml:space="preserve">1.7.62.54.P.128 </t>
  </si>
  <si>
    <t xml:space="preserve">1.7.62.54.P.129 </t>
  </si>
  <si>
    <t xml:space="preserve">1.7.62.54.P.130 </t>
  </si>
  <si>
    <t>Adoptar e implementar la política pública Departamental de discapacidad.</t>
  </si>
  <si>
    <t>Actualizar la caracterización de la población con capacidades  diferentes y construir un sistema de información departamental de discapacidad.</t>
  </si>
  <si>
    <t>Apoyar organizaciones  que presenten atención a población con capacidades diferentes.</t>
  </si>
  <si>
    <t>Fortalecer los  comités de discapacidad</t>
  </si>
  <si>
    <t>Eventos y/o Actividades de Socialización y Participación Ciudadana</t>
  </si>
  <si>
    <t xml:space="preserve">Fortalecimiento a los Comites de Discapacidad </t>
  </si>
  <si>
    <t>Apoyo a las Organizaciones que presten Atención a Personas con Discapacidad</t>
  </si>
  <si>
    <t>43. Asistencia y apoyo a la población con discapacidad en el departamento del Quindío</t>
  </si>
  <si>
    <t>44. Implementación de un programa de fortalecimiento y rehabilitación basada en comunidad en el departamento del Quindío</t>
  </si>
  <si>
    <t xml:space="preserve">1.7.62.55.P.131 </t>
  </si>
  <si>
    <t>1.7.62.55.P.132</t>
  </si>
  <si>
    <t>Implementar una estrategia de rehabilitación basada en comunidad</t>
  </si>
  <si>
    <t xml:space="preserve">1.9.64.59.P.141 </t>
  </si>
  <si>
    <t xml:space="preserve">1.9.64.59.P.142 </t>
  </si>
  <si>
    <t>45.  Asistencia y participación de niños, niñas y adolescentes en los consejos de política social del departamento del Quindío</t>
  </si>
  <si>
    <t>Eventos y / o Actividaes de Socialización de Particiapación Ciudadana</t>
  </si>
  <si>
    <t>Crear e Implementar un programa de fortalecimiento del núcleo familiar de la población con capacidades diferentes.</t>
  </si>
  <si>
    <t>Implementar el programa de rehabilitación basada en comunidad  RBC en el departamento del Quindío</t>
  </si>
  <si>
    <t>Promover al participación de niños niñas y adolescentes en los consejos de política social</t>
  </si>
  <si>
    <t>Mantener en operación los órganos escolares de las instituciones educativas  publicas</t>
  </si>
  <si>
    <t>Disminuir el número de casos de maltrato en niños niñas y adolescentes entre 0 y 17 años.</t>
  </si>
  <si>
    <t>Disminuir el número de casos por abuso sexual.</t>
  </si>
  <si>
    <t>Disminuir el número de casos de maltrato infantil.</t>
  </si>
  <si>
    <t>Apoyar la creación o adecuación de los hogares de paso para la protección de las niñas, niños y adolescentes de 0 a 17 años explotados sexualmente en los municipios del departamento del Quindío.</t>
  </si>
  <si>
    <t>Prevenir la aparición de casos de niños, niñas y adolescentes víctimas de minas anti personas.</t>
  </si>
  <si>
    <t>Adecuación y Monitores de Hogares de Paso</t>
  </si>
  <si>
    <t>Fortalecimiento a agentes educativos comunitarios de niños, niñas y adolescentes</t>
  </si>
  <si>
    <t>46.  Apoyo en la prevención y disminución del maltrato en niños, niñas y adolescentes del departamento del Quindío</t>
  </si>
  <si>
    <t>1.9.64.61.P.148</t>
  </si>
  <si>
    <t xml:space="preserve">1.9.64.61.P.149 </t>
  </si>
  <si>
    <t xml:space="preserve">1.9.64.61.P.150 </t>
  </si>
  <si>
    <t xml:space="preserve">1.9.64.61.P.151 </t>
  </si>
  <si>
    <t>1.9.64.61.P.152</t>
  </si>
  <si>
    <t xml:space="preserve">1.9.64.61.P.153 </t>
  </si>
  <si>
    <t xml:space="preserve">1.9.64.61.P.154 </t>
  </si>
  <si>
    <t xml:space="preserve">1.9.64.61.P.155 </t>
  </si>
  <si>
    <t>47.  Apoyo a la erradicación del trabajo infantil y prevención de la explotación sexual infantil en el departamento del Quindío</t>
  </si>
  <si>
    <t>Eventos y/o Actividaes de Socialización y Participación Ciudadana</t>
  </si>
  <si>
    <t>Apoyo a Actividades, Programas y/o Proyectos de Prevención y Erradicación del Trabajo Infantil</t>
  </si>
  <si>
    <t>Disminuir el número de niños, niñas y adolescentes entre 0 y 17 años explotados sexualmente.</t>
  </si>
  <si>
    <t>Apoyar un programa dirigido a la formación integral de los niños, niñas y adolescentes (14 a 17 años) infractores del Departamento.</t>
  </si>
  <si>
    <t>Apoyar la conformación y funcionamiento de los comités municipales de erradicación del trabajo infantil.</t>
  </si>
  <si>
    <t>Apoyar el comité departamental de erradicación del trabajo infantil (CETI).</t>
  </si>
  <si>
    <t>Disminuir  el número de niños, niñas y adolescentes (5 a 17 años) que participan en una actividad remunerada o no.</t>
  </si>
  <si>
    <t>Disminuir  el número de niños, niñas y adolescentes (5 a 17 años) que trabajan 15 horas o más en oficios del hogar.</t>
  </si>
  <si>
    <t>Realizar procesos de formación en competencias para la vida y consolidación de una cultura de la sexualidad responsable y proyecto de vida. (NNA 6 a 17 años).</t>
  </si>
  <si>
    <t>Formular el Plan de Acción Departamental que ponga en marcha la ruta de prevención urgente y la ruta de protección en prevención.</t>
  </si>
  <si>
    <t>Disminuir el número de niños niñas y adolescentes entre 14 y 17 años infractores de la Ley penal vinculados a procesos judiciales.
(Corresponsabilidad cn otras Institutciones del Estado)</t>
  </si>
  <si>
    <t>Disminuir el número de adolescentes entre 14 y 17 años infractores de la Ley penal reincidentes.
(Corresponsabilidad cn otras Institutciones del Estado)</t>
  </si>
  <si>
    <t>Disminuir el número de adolescentes entre 14 y 17 años privados de libertad procesados conforme a la Ley.
(Corresponsabilidad cn otras Institutciones del Estado)</t>
  </si>
  <si>
    <t>1.9.64.62.P.156</t>
  </si>
  <si>
    <t xml:space="preserve">1.9.64.62.P.157 </t>
  </si>
  <si>
    <t xml:space="preserve">1.9.64.62.P.158
</t>
  </si>
  <si>
    <t>48.  Apoyo al menor infractor del departamento del Quindío</t>
  </si>
  <si>
    <t>Apoyo a Actividades, Programas y/o Proyectos dirigidos a Menores Infractores de la Ley Penal en Departamento</t>
  </si>
  <si>
    <t>49. Apoyo a la formulación de la política pública de infancia y adolescencia en el departamento del Quindío</t>
  </si>
  <si>
    <t>Formular e implementar la Política Publica Departamental de primera infancia, infancia y adolescencia.</t>
  </si>
  <si>
    <t>Apoyar la gestión municipal en lo referente a la implementación de políticas públicas de infancia y adolescencia.</t>
  </si>
  <si>
    <t>1.9.64.63.P.159</t>
  </si>
  <si>
    <t xml:space="preserve">1.9.64.63.P.160 </t>
  </si>
  <si>
    <t>50. Diseño e implementación de la política pública de juventud del departamento del Quindío</t>
  </si>
  <si>
    <t>Diseñar e implementar la política pública de juventud departamental, con el apoyo del sistema departamental de juventud.</t>
  </si>
  <si>
    <t xml:space="preserve">1.9.69.64.P.161 </t>
  </si>
  <si>
    <t>51. Diseño e implementación de estrategias de participación de la juventud del departamento del Quindío</t>
  </si>
  <si>
    <t>1.9.69.65.P.162</t>
  </si>
  <si>
    <t>1.9.69.65.P.163</t>
  </si>
  <si>
    <t xml:space="preserve">1.9.69.65.P.165 </t>
  </si>
  <si>
    <t xml:space="preserve">1.9.69.65.P.164 </t>
  </si>
  <si>
    <t>Promover la participación de los jóvenes emprendedores en la red departamental de emprendimiento .</t>
  </si>
  <si>
    <t xml:space="preserve">Implementar la estrategia presidencial GOLOMBIAO con  el acompañamiento del programa presidencial Colombia joven. </t>
  </si>
  <si>
    <t xml:space="preserve">Implementar acciones dirigidas al fortalecimiento de las expresiones culturales, artísticas y empresariales de los jóvenes integrantes de comunidades alternas. </t>
  </si>
  <si>
    <t>Impulsar la creación del centro ideológico de prácticas políticas , empresariales y sociales.</t>
  </si>
  <si>
    <t>Eventos y/o Actividades de Socialización y Particiapación Ciudadana</t>
  </si>
  <si>
    <t>Apoyo a Actividades, programas y/o proyectos de Fortalecimiento de Jóvenes del Departamento</t>
  </si>
  <si>
    <t>52.  Apoyo a los programas y proyectos de ciencia y tecnología e innovación de la población juvenil del departamento del Quindío</t>
  </si>
  <si>
    <t xml:space="preserve">Formular el plan de promoción de la ciencia, tecnología e innovación. </t>
  </si>
  <si>
    <t>Poner en marcha el programa de fomento de la ciencia, la tecnología y la innovación.</t>
  </si>
  <si>
    <t>Apoyo a proyectos innovadores.</t>
  </si>
  <si>
    <t xml:space="preserve">1.9.69.66.P.166   </t>
  </si>
  <si>
    <t xml:space="preserve">1.9.69.66.P.167 </t>
  </si>
  <si>
    <t xml:space="preserve">1.9.69.66.P.168 </t>
  </si>
  <si>
    <t>Apoyo a Actividades, programas y/o proyectos de Ciencia técnogia e Innovación dirigido a Jóvenes del Departamento</t>
  </si>
  <si>
    <t>Generar  convenios anuales interinstitucionales para el fomento de la prevención, recuperación y rehabilitación dirigido a jóvenes en situación de previa o avanzada drogo-dependencia.</t>
  </si>
  <si>
    <t>53.  Apoyo a los programas de instituciones para la atención y rehabilitación de jóvenes en situación de farmacodependencia el el departamento del Quindío</t>
  </si>
  <si>
    <t xml:space="preserve">1.9.69.67.P.169  </t>
  </si>
  <si>
    <t>54.  Apoyo a la población LGBTI del departamento del Quindío</t>
  </si>
  <si>
    <t>1.9.69.68.P.170</t>
  </si>
  <si>
    <t xml:space="preserve">1.9.69.68.P.171 </t>
  </si>
  <si>
    <t>Desarrollar campañas de sensibilización y educación frente al respeto y tolerancia por la diferencia.</t>
  </si>
  <si>
    <t>Promover acciones dirigidas al fortalecimiento de las expresiones culturales, artísticas y empresariales de la población LGTBI</t>
  </si>
  <si>
    <t>Apoyar el desarrollo el objetivo de política “ninguno sin familia” contemplado en la ley de infancia y adolescencia.</t>
  </si>
  <si>
    <t>Crear e implementar programas de apoyo, acompañamiento y fortalecimiento de las familias Quindianas.</t>
  </si>
  <si>
    <t>Apoyo a actividades, programas y/o proyectos de población LGTBI</t>
  </si>
  <si>
    <t>55.  Apoyo y fortalecimiento del programa centro de atención familiar integral en el departamento del Quindío</t>
  </si>
  <si>
    <t xml:space="preserve">1.9.70.69.P.172 </t>
  </si>
  <si>
    <t xml:space="preserve">1.9.70.69.P.173 </t>
  </si>
  <si>
    <t>56.  Apoyo al bienestar integral de las personas mayores del departamento del Quindío</t>
  </si>
  <si>
    <t xml:space="preserve">1.9.70.70.P.174 </t>
  </si>
  <si>
    <t xml:space="preserve">1.9.70.70.P.175 </t>
  </si>
  <si>
    <t>57.  Implementación del programa de migración y desarrollo para el ciudadano migrante del departamento del Quindío</t>
  </si>
  <si>
    <t>Beneficiar a la población adulta mayor con programas sociales, de generación de ingresos y atención integral.</t>
  </si>
  <si>
    <t>Apoyar lugares para la vida (CBA) y Centros Vida</t>
  </si>
  <si>
    <t>Implementar el plan de acompañamiento al ciudadano migrante (el que sale y el que retorna).</t>
  </si>
  <si>
    <t>Implementar el plan de acompañamiento para el empleo en el exterior  en escenarios corresponsables de cooperación internacional y desarrollo</t>
  </si>
  <si>
    <t>58.  Implementación del plan de acompañamiento para el empleo en el exterior a la población migrante del departamento del Quindío</t>
  </si>
  <si>
    <t xml:space="preserve">1.10.71.71.P.176 </t>
  </si>
  <si>
    <t xml:space="preserve">1.10.71.72.P.177 </t>
  </si>
  <si>
    <t>CARGO: SECRETARIO DE FAMILIA</t>
  </si>
  <si>
    <t>CARGO: SECRETARIO DE CULTURA</t>
  </si>
  <si>
    <t>CARGO: SECRETARIA DE TURISMO, INDUSTRIA Y COMERCIO</t>
  </si>
  <si>
    <t>MARIA NELLY APONTE VALENCIA</t>
  </si>
  <si>
    <t>Logistica Operativa</t>
  </si>
  <si>
    <t>Apoyo Técnico y/o Profesional</t>
  </si>
  <si>
    <t>Convenios
Apoyo Técnico y/o Profesional 
Logistica Operativa</t>
  </si>
  <si>
    <t>Apoyo Técnicoy/o Profesional</t>
  </si>
  <si>
    <t>Apoyo Técnico y/o Profesional para redactar el Plan de Proyectos estratégicos de Ciencia Técnogía e Innovación</t>
  </si>
  <si>
    <t>Apoyo a las Actividades Investigativas en Ciencia Técnología e Investigación</t>
  </si>
  <si>
    <t xml:space="preserve">Apoyar la Implementación y Fortalecimiento del Ecosistema Digital del Departamento </t>
  </si>
  <si>
    <t>Apoyar tecnica y/o profesionalmente los diferentes Sectores Ecnómicos del Departamento en la apropiación de Tic´s</t>
  </si>
  <si>
    <t>Mejorar el SUIT (sistema único de información turística).</t>
  </si>
  <si>
    <t>Sistema único de información Turistica</t>
  </si>
  <si>
    <t xml:space="preserve">Ténologías de la Información y  Comunicación en el Sector Turístico </t>
  </si>
  <si>
    <t>Asistencia Técnica
Diseño de Producto Turistico</t>
  </si>
  <si>
    <t>Procesos de Información Turistica</t>
  </si>
  <si>
    <t>Asistencia Técnica y Logistica Operativa</t>
  </si>
  <si>
    <t>Apoyo a Instituciones Gremios y/o entidades del sector Turistico</t>
  </si>
  <si>
    <t>Turismo de aventura cultura y tematico</t>
  </si>
  <si>
    <t>CARGO: SECRETARIO JURIDICO Y DE CONRRATACIÓN</t>
  </si>
  <si>
    <t>Capacitar a los funcionarios que tienen vínculos con la contratación</t>
  </si>
  <si>
    <t>Revisar, ajustar y publicar el manual de contratación</t>
  </si>
  <si>
    <t>Revisar y ajustar el proceso de contratación del departamento</t>
  </si>
  <si>
    <t>Actualizar el inventario ordenanzal vigente</t>
  </si>
  <si>
    <t xml:space="preserve">CARGO: SECRETARIO DE AGRICULTURA, DESARROLLO RURAL Y MEDIO AMBIENTE </t>
  </si>
  <si>
    <t>Formular el Plan estratégico de Desarrollo Rural</t>
  </si>
  <si>
    <t>Brindar asistencia técnica a los Municipios en la Implementación Plan Estratégico de Desarrollo Rural</t>
  </si>
  <si>
    <t>Incrementar el Número de comites Municipales de de Desarrollo Rural conformados y operando</t>
  </si>
  <si>
    <t>Implementar el EVA/SIG(1) en los Muncipios del Departamento</t>
  </si>
  <si>
    <t>Implementar política agropecuaria 2010 -2014</t>
  </si>
  <si>
    <t>Apoyar la Implementación de la Estrategia de desarrollo Rural con enfoque territorial 2010-2014 en los Municipios del Quindío</t>
  </si>
  <si>
    <t>Formular el plan estratégico de Desarrollo Rural.</t>
  </si>
  <si>
    <t>Brindar asistencia técnica a los municipios en la implementacióndel plan estratégico de Desarrollo Rural.</t>
  </si>
  <si>
    <t>Conformar y operar el CONSEA (Consejo  Seccional de Desarrollo Agropecuario, Pesquero, Forestal comercial y de Desarrollo Rural).</t>
  </si>
  <si>
    <t>Incrementar el número de Comités Municipales de Desarrollo Rural conformados y operando</t>
  </si>
  <si>
    <t>Implementar el EVA / SIG en los municipios del departamento.</t>
  </si>
  <si>
    <t>Implementar Política Agropecuaria 2010-2014</t>
  </si>
  <si>
    <t>Apoyar la implementación de  la estrategia de desarrollo rural con enfoque territorial 2010-2014 en los municipios del Quindío.</t>
  </si>
  <si>
    <t xml:space="preserve">2.11.72.73.P.178  </t>
  </si>
  <si>
    <t xml:space="preserve">2.11.72.73.P.179 </t>
  </si>
  <si>
    <t xml:space="preserve">2.11.72.73.P.180 </t>
  </si>
  <si>
    <t xml:space="preserve">2.11.72.73.P.181 </t>
  </si>
  <si>
    <t xml:space="preserve">2.11.72.73.P.182 </t>
  </si>
  <si>
    <t xml:space="preserve">2.11.72.73.P.183 </t>
  </si>
  <si>
    <t>2.11.72.73.P.184</t>
  </si>
  <si>
    <t>Apoyar y fortalecer  procesos de encadenamiento productivo departamental y regional enmarcados dentro de las cadenas productivas reconocidas por el ministerio de agricultura y desarrollo rural.</t>
  </si>
  <si>
    <t xml:space="preserve">Apoyar convenios para programas de buenas prácticas e iniciativas fito y zoosanitarias. </t>
  </si>
  <si>
    <t>Apoyar líneas agropecuarias productivas tradicionales del departamento del Quindío</t>
  </si>
  <si>
    <t>Apoyar el diseño e implementación del PIDERT</t>
  </si>
  <si>
    <t>Apoyar Programa de apoyos financiero directo a sectores agropecuarios de importancia estratégica.</t>
  </si>
  <si>
    <t>2.11.72.74.P.185</t>
  </si>
  <si>
    <t xml:space="preserve">2.11.72.74.P.186
</t>
  </si>
  <si>
    <t xml:space="preserve">2.11.72.74.P.187
</t>
  </si>
  <si>
    <t xml:space="preserve">2.11.72.74.P.188
</t>
  </si>
  <si>
    <t xml:space="preserve">2.11.72.74.P.189
</t>
  </si>
  <si>
    <t>Apoyo a Procesos de Encadenamiento Productivo Regional y Departamental, con la suscripción de convenios para crear seguros de cosechas</t>
  </si>
  <si>
    <t>Apoyo para fortalecer convenios a Programas de Buenas Prácticas e Iniciativas fito y Zoosanitarias</t>
  </si>
  <si>
    <t>Apoyo para fortalecer líneas agropecuariasproductivas tradicionales del Departamento del  Quindío</t>
  </si>
  <si>
    <t>Apoyo y acompañamiento para el diseño e implementación del PIDERT</t>
  </si>
  <si>
    <t>Logística Operativa</t>
  </si>
  <si>
    <t>20 R.O</t>
  </si>
  <si>
    <t>20  R.O</t>
  </si>
  <si>
    <t>2.11.72.75.P.190</t>
  </si>
  <si>
    <t>Apoyar programas de investigación aplicada a la producción sustentable.</t>
  </si>
  <si>
    <t>2.11.72.75.P.191</t>
  </si>
  <si>
    <t>Apoyar  programas de actualización ó transferencia de tecnología y conocimiento.</t>
  </si>
  <si>
    <t>2.11.72.75.P.192</t>
  </si>
  <si>
    <t>Vincular jóvenes a programas de relevo generacional en el agro.</t>
  </si>
  <si>
    <t>Apoyo y acompañamiento a Programas de Actualización o Transferencia de Técnología y Conocimiento.</t>
  </si>
  <si>
    <t xml:space="preserve">Apoyar proyectos productivos con énfasis en seguridad alimentaria dirigidos a grupos poblacionales vulnerables. </t>
  </si>
  <si>
    <t xml:space="preserve">Incrementar el número de convenios en ejecución para consecución y/o suministro de material de propagación de los productos agropecuarios considerados dentro de los proyectos de seguridad alimentaria. </t>
  </si>
  <si>
    <t>Realizar asistencia técnica a proyectos de mejora en centros de abastecimiento urbano municipales.</t>
  </si>
  <si>
    <t xml:space="preserve">2.11.72.76.P.193 </t>
  </si>
  <si>
    <t xml:space="preserve">2.11.72.76.P.194 </t>
  </si>
  <si>
    <t xml:space="preserve">2.11.72.76.P.195 </t>
  </si>
  <si>
    <t xml:space="preserve">Incrementar el número de convenios en ejecución para consecución y/o suministro de material de propagación de los productos agropecuarios considerados dentro de los proyectos de seguridad alimentaria </t>
  </si>
  <si>
    <t>Apoyo y acompañamiento a proyectos de mejora en centros de abastecimiento urbanos Municipales</t>
  </si>
  <si>
    <t xml:space="preserve">Apoyar a los municipios en la incorporación de áreas destinadas al cultivo de café </t>
  </si>
  <si>
    <t xml:space="preserve">Realizar estudio de viabilidad de sistemas productivos con valor agregado, aplicables en zonas tradicionales productoras. </t>
  </si>
  <si>
    <t>Apoyar  programas de fomento de la producción cafetera con jóvenes rurales.</t>
  </si>
  <si>
    <t>2.11.73.77.P.196</t>
  </si>
  <si>
    <t xml:space="preserve">2.11.73.77.P.197
</t>
  </si>
  <si>
    <t xml:space="preserve">2.11.73.77.P.198
</t>
  </si>
  <si>
    <t>Apoyo a la Municipios en la incorporación de áreas destinadas al cultivo del café</t>
  </si>
  <si>
    <t>Apoyo a programas de fomento en la producción cafetera con jóvenes rurales</t>
  </si>
  <si>
    <t>Apoyo logistico</t>
  </si>
  <si>
    <t>Apoyar el incremento de las hectáreas de café sembradas en el departamento</t>
  </si>
  <si>
    <t xml:space="preserve">2.11.73.78.P.199
</t>
  </si>
  <si>
    <t xml:space="preserve">2.11.73.78.P.200
</t>
  </si>
  <si>
    <t>Apoyar el incremento de las hectareas de café sembradas en el Departamento</t>
  </si>
  <si>
    <t>Incrementar el número de predios participantes en proyectos de mejoramiento y conservación del medio ambiente
Logística Operativa</t>
  </si>
  <si>
    <t>Armonizar los procesos de gestión para la protección del recurso hídrico en las cuencas abastecedoras, según los lineamientos de la Corporación Autónoma Regional CRQ</t>
  </si>
  <si>
    <t xml:space="preserve">4.18.94.114.P.293
</t>
  </si>
  <si>
    <t>Asistencia Técnica y/o Servicios Profesionales</t>
  </si>
  <si>
    <t>Compra de predios e implementación de estrategías de manejo y protección ambiental en áreas de importancia estrategica para la conservación del recurso hídrico (art. 111 ley 99 de 93) en el departamento del Quindío</t>
  </si>
  <si>
    <t>Apoyar a la CRQ al aumento del número de áreas protegidas; áreas en conservación y rondas hídricas con programas de educación ambiental.</t>
  </si>
  <si>
    <t xml:space="preserve">4.18.95.116.P.295
</t>
  </si>
  <si>
    <t xml:space="preserve">Apoyar programas de educación ambiental en áreas protegidas del departamento de acuerdo a su biodiversidad en flora, fauna y recursos hídricos </t>
  </si>
  <si>
    <t xml:space="preserve">Fortalecer los comités interinstitucionales relacionados con el Sistema Departamental de Áreas Protegidas, el Distritos integrado de la cuenca Alta del Río Quindío y el Comité Interinstitucional de Educación Ambiental (CIDEA) </t>
  </si>
  <si>
    <t xml:space="preserve">4.18.95.117.P.296
</t>
  </si>
  <si>
    <t xml:space="preserve">4.18.95.117.P.297
</t>
  </si>
  <si>
    <t>Servicios técnicos y/o profesionales</t>
  </si>
  <si>
    <t>4.18.95.118.P.298</t>
  </si>
  <si>
    <t>Apoyar el proceso de asistencia pedagógica  para la actualización y fortalecimiento del componente ambiental en los PEI , con énfasis en: Paisaje  Cultural Cafetero, cambio climático; gestión del riesgo; cultura del agua; biodiversidad y el comparendo ambiental.</t>
  </si>
  <si>
    <t xml:space="preserve">Apoyar instituciones y organizaciones ambientales al desarrollo de programas de buenas prácticas ambientales acorde con el desarrollo productivo del departamento. </t>
  </si>
  <si>
    <t xml:space="preserve">4.18.96.119.P.299
</t>
  </si>
  <si>
    <t xml:space="preserve">Apoyar a los sectores productivos para la sostenibilidad ambiental a través de convenios, como apoyo de acuerdos para producción limpia y sostenible. </t>
  </si>
  <si>
    <t>Promover actividades de aprovechamiento forestal</t>
  </si>
  <si>
    <t>4.18.96.120.P.300</t>
  </si>
  <si>
    <t xml:space="preserve">4.18.96.120.P.301
</t>
  </si>
  <si>
    <t>Estudios, ténicos y/o profesionales para la aplicación de sistemas de producción limpia y sostenible</t>
  </si>
  <si>
    <t>4.18.96.122.P.303</t>
  </si>
  <si>
    <t>Apoyar y acompañar a los municipios en el desarrollo de las determinantes de prevención, mitigación y corrección de impactos ambientales para los sectores productivos priorizados que deben incorporarse a los POTs municipales, y acompañar a los municipios en su implementación.</t>
  </si>
  <si>
    <t>Acompañar el proceso de ejecución  del Plan Departamental de Mercados Verdes y Biocomercio.</t>
  </si>
  <si>
    <t>Contribuir a la promoción y apoyo a  la comercialización de productos.</t>
  </si>
  <si>
    <t xml:space="preserve">4.18.96.123.P.304
</t>
  </si>
  <si>
    <t xml:space="preserve">4.18.96.123.P.305
</t>
  </si>
  <si>
    <t>100. Apoyo a la implementación de mercados verdes y biocomercio en el Quindío</t>
  </si>
  <si>
    <t>Apoyar y acompañar técnica y/o profesionalmente la implementación del plan Departamental de mercados verdes y bio comercio</t>
  </si>
  <si>
    <t>Brindar apoyo técnico a las entidades territoriales para incorporar los objetivos de calidad paisajística en un instrumento de ordenamiento territorial supramunicipal para áreas urbanas y rurales.</t>
  </si>
  <si>
    <t>Apoyar la elaboración de un documento técnico que estudie, identifique y proponga la  cartografía de los paisajes del Quindío como base para su gestión sustentable.</t>
  </si>
  <si>
    <t>Fomentar la legalización de las actividades de pequeña minería y pequeña empresa en los municipios del Quindío.</t>
  </si>
  <si>
    <t xml:space="preserve">Proteger el paisaje de los efectos que pueda causar la megaminería mediante vías legales y movilización social </t>
  </si>
  <si>
    <t xml:space="preserve">4.19.98.126.P.315
</t>
  </si>
  <si>
    <t xml:space="preserve">4.19.98.126.P.316
</t>
  </si>
  <si>
    <t xml:space="preserve">4.19.98.126.P.317
</t>
  </si>
  <si>
    <t xml:space="preserve">4.19.98.126.P.318
</t>
  </si>
  <si>
    <t>101.  Apoyo manejo y gestión sustentable del paisaje departamento del Quindío</t>
  </si>
  <si>
    <t>Servicios profesional y/o técnicos</t>
  </si>
  <si>
    <t>Apoyo Logistico</t>
  </si>
  <si>
    <t xml:space="preserve">CARGO: SECRETARIO DESALUD </t>
  </si>
  <si>
    <t>José Antonio Correa López</t>
  </si>
  <si>
    <t>JOSE ANTONIO CORREA LOPEZ</t>
  </si>
  <si>
    <t>Continuidad a la Afiliación al Regimen Subsidiado en Salud a la Población de los Niveles 1 y 2 del Sisben</t>
  </si>
  <si>
    <t>Prestación de Servicios de Salud en el Departamento del Quindío</t>
  </si>
  <si>
    <t>Planta de personal Garantizada</t>
  </si>
  <si>
    <t>Gastos Generales Secretaria de Salud</t>
  </si>
  <si>
    <t>Servicio Personal Indirecto
Transferencias Secretaría de Salud</t>
  </si>
  <si>
    <t>Apoyo a la implementación de la estrategia RBC
Apoyo a los servicios de atención integral con enfoque diferencial, para las personas mayores del Departamento del Quindío
Asistencia a víctimas del conflicto armado y protección de los derechos de la población vulnerable.</t>
  </si>
  <si>
    <t>OBJETIVO GENERAL DEL PROYECTO</t>
  </si>
  <si>
    <t>Capacitacitar y asesorar cada una de IPS, públicas para la articulación del plan de emergencia</t>
  </si>
  <si>
    <t>Regulación de emergencias puntuales en Departamento del Quindío</t>
  </si>
  <si>
    <t>Contratación de monitoreo, seguimiento AIEPI comunitario y clínico y vacunación</t>
  </si>
  <si>
    <t>Contratación  y/o convenio para posicionar el programa nacional de actividad física "Colombia activa y saludable"</t>
  </si>
  <si>
    <t>Convenio con entidad de educación superior para el fortalecimiento de la maternidad segura en el Departamento</t>
  </si>
  <si>
    <t>Prestación de servicios para apoyo en el fortalecimiento del modelo de servicios de salud amigables para jóvenes</t>
  </si>
  <si>
    <t>Contratación de prestación de servicios profesionales para el fortalecimiento del area de salud ambiental-saneamiento básico</t>
  </si>
  <si>
    <t>Contratación de prestación de servicios profesionales para el fortalecimiento del área de salud ambiental, sustancias químicas y residuos hospitalarios</t>
  </si>
  <si>
    <t>Desarrollo e implemetación de software de informacion para salud ambiental</t>
  </si>
  <si>
    <t>Aplicar listas de chequeo en las empresas del Departamento del Quindío y realizar la caracterización de la Información.</t>
  </si>
  <si>
    <t>Aplicar listas de chequeo en las empresas del Departamento del Quindío y realizar la caracterización de la Información.
Insumos (estrategia de información, educación y comunicación)</t>
  </si>
  <si>
    <t>12</t>
  </si>
  <si>
    <t>CARGO: SECRETARIO OFICINA PRIVADA</t>
  </si>
  <si>
    <t>Acciones de saneamiento fiscal e institucional</t>
  </si>
  <si>
    <t>Apoyo a la divulgación y promoción de productos bienes servicios del departamento del Quindío.</t>
  </si>
  <si>
    <t>Servicos profesionales y/o tecnicos</t>
  </si>
  <si>
    <t>Publicidad</t>
  </si>
  <si>
    <t>Apoyo a instituciones públicas, privadas, cívicas y sociales</t>
  </si>
  <si>
    <t xml:space="preserve">
66(RECURSOS PROPIOS)
04((RECURSOS PROPIOS)
58(RO)
42 (RO)
20  RO
</t>
  </si>
  <si>
    <t>Maria Aleyda Roa Espinosa</t>
  </si>
  <si>
    <t>MARIA ALEYDA ROA ESPINOSA</t>
  </si>
  <si>
    <t>CARGO: SECRETARIA DE PLANEACION</t>
  </si>
  <si>
    <t>Asistencia técnica a los entes territoriales en la aplicación de la directrices y orientaciones de ordenamiento territorial</t>
  </si>
  <si>
    <t xml:space="preserve">Validar y/o modificar la información de los procesos de ordenamiento territorial Departamental </t>
  </si>
  <si>
    <t>Apoyo Logístico y/o Suminstros</t>
  </si>
  <si>
    <t>20  RO
56 CONV</t>
  </si>
  <si>
    <t>Número de planes estratégicos formulados</t>
  </si>
  <si>
    <t xml:space="preserve">5.20.101.133.P.335
</t>
  </si>
  <si>
    <t>Formular el Plan de Desarrollo Departamental 2012-2015.</t>
  </si>
  <si>
    <t>Plan de Desarrollo Formulado.</t>
  </si>
  <si>
    <t>5.20.50.134.P.339</t>
  </si>
  <si>
    <t>Servcios Profesionales</t>
  </si>
  <si>
    <t>Compra de equipos</t>
  </si>
  <si>
    <t>Actualización de procesos y procedimientos</t>
  </si>
  <si>
    <t>Apoyo Logístico y/o Suministros</t>
  </si>
  <si>
    <t>Promocionar los sectores y productos del Quindío</t>
  </si>
  <si>
    <t>Apoyo al fortalecimiento a la herramienta SIG Quindío desde el ordenamiento territorial
Convenios</t>
  </si>
  <si>
    <t>Apoyo logístico y/o suministros
Servicios Profesionales</t>
  </si>
  <si>
    <t>Adquisición Modulo</t>
  </si>
  <si>
    <t xml:space="preserve">Servicios profesionales </t>
  </si>
  <si>
    <t>Apoyo logístico</t>
  </si>
  <si>
    <t>CARGO: SECRETARIA DE HACIENDA</t>
  </si>
  <si>
    <t xml:space="preserve">Mejoramiento de las finanzas del departamento del quindío.                                              </t>
  </si>
  <si>
    <t>Adquisición de un módulo</t>
  </si>
  <si>
    <t>148. Apoyo a la infraestructura de los escenarios deportivos mantenidos y rehabilitados en el departamento del Quindío</t>
  </si>
  <si>
    <t xml:space="preserve"> F-PLA-06- SEGUMIENTO AL PLAN DE ACCIÓN -          VIGENCIA 2013        Versión 04         06-14-2013</t>
  </si>
  <si>
    <t>FUNCIONARIO RESPONSABE</t>
  </si>
  <si>
    <t>FUNCIONARIO RESPONSABLE</t>
  </si>
  <si>
    <t>FUNCIONARIO
RESPONSABLE</t>
  </si>
  <si>
    <t>ANA MARIA ARROYAVE MORENO</t>
  </si>
  <si>
    <t>HINDERMAN FIGUEROA RODRÍGUEZ</t>
  </si>
  <si>
    <t xml:space="preserve">CONTRATOS </t>
  </si>
  <si>
    <t>1.9.64.60.P143</t>
  </si>
  <si>
    <t>1.9.64.60.P145</t>
  </si>
  <si>
    <t>1.9.64.60.P144</t>
  </si>
  <si>
    <t>1.9.64.60.P146</t>
  </si>
  <si>
    <t>1.9.64.60.P147</t>
  </si>
  <si>
    <t>CARGO: SECRETARIA DE ADMINISTRATIVA</t>
  </si>
  <si>
    <t>DEPENDENCIA:  SECRETARIA ADMINISTRATIVA</t>
  </si>
  <si>
    <t>Implementar mecanismos  de planificación para el desarrollo y crecimiento del sector agropecuario</t>
  </si>
  <si>
    <t>Fortalecer la competitividad y desarrollo del sector rural en Departamento del Quindio</t>
  </si>
  <si>
    <t xml:space="preserve">Fortalecer La Producción Agropecuaria Sostenible En El Departamento Del Quindío.                                                                                                                                                        Meta Asociada: Fortalecimiento de 1 programa de investigacion aplicada a la produccion sustentable, apoyar 1 programa de actualización ó transferencia de tecnología y conocimiento, vinculacion de 100 jovenes rurales. </t>
  </si>
  <si>
    <t xml:space="preserve">Aumentar la produccion de alimentos sanos e inocuos para el autoconsumo de la poblacion mas vulnerable en el Departamento del Quindio.                            Meta asociada: Apoyar  tres (3) estrategias para aumentar la produccion de aliementos sanos e inocuos que permita apoyar convenios y proyectos en seguridad alimentaria y asistencia tecnica e incrementar el numero de convenios en ejecucion para sonsecucion y/o suministros de material de propagacion de los productos agropecuarios considerados dentro de los proyectos de seguridad alimentaria realizando asistencia tecnica a proyectos de mejora en centros de abastecimiento urbano muncipal. </t>
  </si>
  <si>
    <t>Fortalecer las estrategias para la sostenibilidad productiva del paisaje cultural cafetero.                                                                                                                                                  Meta Asoaciada: Realizar el acompañamiento y apoyo a los 12 municipios para la creación de mecanismos que permitan la incorporación de áreas destinadas al cultivo del café, con valor agregado y con la inclusión de jóvenes rurales al proceso productivo.</t>
  </si>
  <si>
    <t xml:space="preserve">Fortalecimiento a la sostenibilidad productiva y ambiental al paisaje cultural cafetero en el departamento del Quindio.                                                                       Meta Asociada:  1- Número de hectáreas participantes en proyectos de mejoramiento y conservación del medioambiente en el departamento del quindio.  2- apoyar el incremento de las hectareas de café sembradas en el Departamento del Quindio   
 </t>
  </si>
  <si>
    <t>Articular procesos de gestión para la protección del recurso hídrico en las cuencas abastecedoras.                                                                                                                        Meta Asociada: 40% de los procesos de gestión de protección ambiental aplicados</t>
  </si>
  <si>
    <t xml:space="preserve">Implementar actividades de los PMA en los predios de protección ambiental.                                                                                                                                                                </t>
  </si>
  <si>
    <t xml:space="preserve">Contribuir a la conservación ecosistemas de las areas de protección.                                                                                                                                                                                    </t>
  </si>
  <si>
    <t>Disminución del deterioro ambiental del departamento.                                                                                                                                                                                                            Meta Asociada: mediante la aplicación de estrategias de educación ambiental fomentar la construcción de conciencia ambiental en las áreas protegidas y comités relacionados que coadyuven a la mitigación y disminución del deterioro ambiental del departamento contribuir en un 10% en el cumplimiento de la meta resultado del plan de desarrollo del programa biodiversidad y servicios ecosistémicos subprograma educación ambiental en áreas protegidas (SIDAP y RESNATUR) coadyuvando a la disminución del deterioro ambiental del Departamento.</t>
  </si>
  <si>
    <t xml:space="preserve">Disminución del deterioro ambiental del departamento.                                                                                                                                                                                                           Meta Asociada: mediante el apoyo al proceso de asistencia pedagógica para la actualización y fortalecimiento del componente ambiental en los PEI fomentar conciencia ambiental en las instituciones educativas. </t>
  </si>
  <si>
    <t xml:space="preserve">Disminución del deterioro ambiental del departamento.                                                                                                                                                                                                           Meta Asociada: Diseñar de buenas prácticas ambientales acordes con el desarrollo productivo del departamento fomentar la construcción de conciencia ambiental  que coadyuve a la mitigación y disminución del deterioro ambiental. </t>
  </si>
  <si>
    <t xml:space="preserve">Fortalecer la  sostenbilidad ambiental en los sistemas productivos en el departamento del quindio.                                                                                                                  Meta Asociada: Firmar un acuerdo para fortalecer la sostenibilidad ambiental en los sistemas productivos. </t>
  </si>
  <si>
    <t xml:space="preserve">Implementar la valoracion de impactos ambientales en los sectores productivos como una herramienta de plainificacion en los POT´s municipales.           Meta Asociada: Apoyar 5 Municipios para la implmentacion de prevencion y mitigacion de impactos ambientales por actividades productivas. </t>
  </si>
  <si>
    <t>Disminución del deterioro paisaje quindiano.                                                                                                                                                                                                                          Meta Asociada: mediante el incremento de la cobertura de apoyo y asistencia a los municipios en iniciativas de desarrollo territorial con base en la conservación y gestión sustentable del paisaje.</t>
  </si>
  <si>
    <t xml:space="preserve">Apoyar la implementacion de modelos de comercializacion sostenibles y eficaces en el departamento del quindio.                                                                                               Meta Asociada:  Apoyar la consolidacion de  1 empresa o marca en el departamento en este mercado.  </t>
  </si>
  <si>
    <t>Fecha : ENERO 17 DE 2014</t>
  </si>
  <si>
    <t>Aumentar las transferencias por rentas cedidas para salud.</t>
  </si>
  <si>
    <t>Millones de pesos de recurso financiero recibido.</t>
  </si>
  <si>
    <t xml:space="preserve">Realizar campañas para promover las garantías laborales en los funcionaros de los concesionarios de la gobernación del Quindío. </t>
  </si>
  <si>
    <t xml:space="preserve">Número de campañas realizadas al mes  </t>
  </si>
  <si>
    <t>Número de atenciones electivas ambulatorias resueltas.</t>
  </si>
  <si>
    <t>58-Rentas Cedidas</t>
  </si>
  <si>
    <t>196. Asistencia en salud a la población no afiliada al sistema general de seguridad social en salud en el departamento del quindío</t>
  </si>
  <si>
    <t>FECHA DE CORTE DE SEGUIMIENTO: DICIEMBRE 31 DE 2013</t>
  </si>
  <si>
    <t xml:space="preserve">5.22.104.137.P.353    </t>
  </si>
  <si>
    <t>Número de estudiantes que mejoran los resultados en las pruebas SABER 5.</t>
  </si>
  <si>
    <t>Número de estudiantes que mejoran los resultados en las pruebas SABER 9.</t>
  </si>
  <si>
    <t>Número de instituciones que suben de rango en las pruebas externas SABER 11</t>
  </si>
  <si>
    <t>Apoyo a la Gestión</t>
  </si>
  <si>
    <t>Eventos y/o actividades de socialización y participación cuidadana</t>
  </si>
  <si>
    <t>Socialización de La Política Pública</t>
  </si>
  <si>
    <t>Implementación de la Política Pública</t>
  </si>
  <si>
    <t xml:space="preserve">Apoyo a la Gestión 
</t>
  </si>
  <si>
    <t>Capacitación, Asesoría y Acompañamiento a Iniciativas Productivas de Mujeres Rurales</t>
  </si>
  <si>
    <t xml:space="preserve">
Eventos y /o Actividades de Socialización y Particiapación Ciudadana</t>
  </si>
  <si>
    <t>Apoyo a Programas y Proyectos de Producción Cafetera con Mujeres Rurales</t>
  </si>
  <si>
    <t xml:space="preserve">Apoyo a la gestión </t>
  </si>
  <si>
    <t>Apoyo a actividades, programas y/o proyectos para población migrante del Departamento del Quindío</t>
  </si>
  <si>
    <t>Implementar el plan de empleo en el exterior para Quindianos Migrantes</t>
  </si>
  <si>
    <t xml:space="preserve">Servicios profesionales
</t>
  </si>
  <si>
    <t>Servicios Profesionales y/o Técnicos</t>
  </si>
  <si>
    <t>Apoyo lógistico y/o suministro</t>
  </si>
  <si>
    <t>Transporte</t>
  </si>
  <si>
    <t>Adecuación técnología</t>
  </si>
  <si>
    <t>Campañas de comunicación información y educación</t>
  </si>
  <si>
    <t>Obras de adecuación de edificaciones públicas</t>
  </si>
  <si>
    <t xml:space="preserve">
Estudios, diseños, levantamientos topográficos, licencias y permisos</t>
  </si>
  <si>
    <t>Diseñar y construir</t>
  </si>
  <si>
    <t xml:space="preserve"> 
Interventoria externa, apoyo técnico, administrativo y financiero
</t>
  </si>
  <si>
    <t>Mejoramiento y adecuación</t>
  </si>
  <si>
    <t xml:space="preserve">Asesoría, apoyo logístico, técnico y administrativo </t>
  </si>
  <si>
    <t>Apoyo para fortalecer programas de apoyos financieros directo a sectores agropecuarios de importancia estrategica</t>
  </si>
  <si>
    <t>Apoyo y acompañamiento a programas de investigación aplicadas a producción sustentable</t>
  </si>
  <si>
    <t>Apoyo y acompañamiento para vincular a jóvenes a programas de relevo generacional en el Agro.</t>
  </si>
  <si>
    <t>Apoyar proyectos productivos con énfasis en seguridad alimentaria dirigido a grupos poblaciones vulnerables</t>
  </si>
  <si>
    <t>Estrategia de Protección del recurso Hidrico</t>
  </si>
  <si>
    <t xml:space="preserve">4.18.94.115.P.294
</t>
  </si>
  <si>
    <t>Guianzas ambientales</t>
  </si>
  <si>
    <t xml:space="preserve">Senderos ecológicos habilitados
</t>
  </si>
  <si>
    <t xml:space="preserve">Apoyo Técnico y/o Profesional </t>
  </si>
  <si>
    <t xml:space="preserve"> Apoyo Logístico</t>
  </si>
  <si>
    <t xml:space="preserve">
Apoyo Logístico</t>
  </si>
  <si>
    <t xml:space="preserve">Apoyo Técnico y/o Profesional  
</t>
  </si>
  <si>
    <t xml:space="preserve">Campañas </t>
  </si>
  <si>
    <t>Apoyo a Programas y Proyectos de Prevención y/o Atención a las Mujeres Victimas de la Violencia Intrafamiliar</t>
  </si>
  <si>
    <t>Eventos y/o Actividades de Socialización de Particiapación Ciudadana</t>
  </si>
  <si>
    <t>Apoyo a Programas y Proyectos de los Cansejos Comunitarios Municiapales y Departamental de Mujer</t>
  </si>
  <si>
    <t xml:space="preserve">Apoyo a la Actividades, Programas y Proyectos de los Cabildos Indigenas del Departamento </t>
  </si>
  <si>
    <t>Caracterización de la Población Indígena del Departamento del Quindío</t>
  </si>
  <si>
    <t xml:space="preserve">
Apoyo a la Gestión </t>
  </si>
  <si>
    <t>Pograma implementado</t>
  </si>
  <si>
    <t>Numero de consejos de política social en los que participan niños, niñas y adolescentes</t>
  </si>
  <si>
    <t>Numero de instituciones publicas con gobiernos escolares operando</t>
  </si>
  <si>
    <t>Diseño de la Politica Pública</t>
  </si>
  <si>
    <t>Implementacion de la Politica Pública</t>
  </si>
  <si>
    <t>Apoyo a la Estrategia Nacional Golombiao</t>
  </si>
  <si>
    <t>Apoyo a los CBA  y centros Vida del Departamento</t>
  </si>
  <si>
    <t>Dotación de elementos para actividades lúdicas y socioculturales</t>
  </si>
  <si>
    <t>Eventos y/o actividades de socialización y participación Ciudadana</t>
  </si>
  <si>
    <t>Implementación de la Politica Pública de Infancia Y Adolescencia</t>
  </si>
  <si>
    <t>Apoyar el nucleo Familiar de las Personas con Discapacidad</t>
  </si>
  <si>
    <t xml:space="preserve">Campañas
</t>
  </si>
  <si>
    <t>Mejoramiento o adecuacion de infraestructura fisica</t>
  </si>
  <si>
    <t>Eventos</t>
  </si>
  <si>
    <t xml:space="preserve">Apoyo  a la gestión
</t>
  </si>
  <si>
    <t>Eventos y/o actividades de socialización de participación Ciudadana</t>
  </si>
  <si>
    <t xml:space="preserve">Apoyo a la gestión 
</t>
  </si>
  <si>
    <t>Sevicio técnico y/o profesional</t>
  </si>
  <si>
    <t>Asesoria técnica y/o profesional a los acuerdos firmados por algunos de los sectores productivos del Departamento para su puesta en marcha y cumplimiento</t>
  </si>
  <si>
    <t>Apoyo ténico y/o profesional para la priorisación de los sectores productivos e identificación de impactos ambientales</t>
  </si>
  <si>
    <t xml:space="preserve">Apoyo ténico y/o Profesional e incorporación de los POT´S Municipales el desarrollo de las determinantes (Prevención, mitigación y corrección) de Impactos Ambientales
</t>
  </si>
  <si>
    <t>Acompañamiento técnico y/o profesional</t>
  </si>
  <si>
    <t>Apoyar las consolidacion de unidades productivas de poblaciones de discapacitados</t>
  </si>
  <si>
    <t xml:space="preserve">Actividad de Promoción del destino en el terrritorio Nacional </t>
  </si>
  <si>
    <t>Actividad de Promoción del destino a nivel Mundial</t>
  </si>
  <si>
    <t>Asistencia Técnica y/o Logística operativa</t>
  </si>
  <si>
    <t xml:space="preserve">Asistencia Técnica </t>
  </si>
  <si>
    <t>Actividades de Fortalecimiento a Productos Turisticos</t>
  </si>
  <si>
    <t xml:space="preserve">Logística operativa
</t>
  </si>
  <si>
    <t>Apoyos de Inversión Turistica</t>
  </si>
  <si>
    <t>Gestión de la calidad</t>
  </si>
  <si>
    <t>Outsoursing programa de infoconsumo  de licores y cigarrillos</t>
  </si>
  <si>
    <t>Correo y publicación de notificaciones de actos administrativos en la fiscalización y cobro coactivo de los tributos el departamento</t>
  </si>
  <si>
    <t xml:space="preserve">5.22.104.138.P.356  </t>
  </si>
  <si>
    <t xml:space="preserve">Apoyo a la gestión en cobranza y control de impuesto
</t>
  </si>
  <si>
    <t xml:space="preserve">Servicios de apoyo a la gestión financiera y administrativa
</t>
  </si>
  <si>
    <t>Control de evasión fiscal y contrabando</t>
  </si>
  <si>
    <t>Implementación y dotación</t>
  </si>
  <si>
    <t>Apoyo a escuelas de formación artística</t>
  </si>
  <si>
    <t>Difusión del Patrimonio</t>
  </si>
  <si>
    <t>Apoyar Proyectos de Patrimonio cultural</t>
  </si>
  <si>
    <t>Un plan BIOCULTURA diseñado y puesto en funcionamiento.</t>
  </si>
  <si>
    <t>Construcción de vivienda</t>
  </si>
  <si>
    <t>Difusión de bienes y servicios</t>
  </si>
  <si>
    <t>Mejoramiento de vivienda</t>
  </si>
  <si>
    <t>Ejecución de un proceso MECI en la vigencia 2010, de la Gobernación del Quindío.</t>
  </si>
  <si>
    <t>Mejoramiento continuo en los procesos y actividades en la Gobernación del Quindío en un 100%.  Contratación de un Asesor para el proceso MECI.</t>
  </si>
  <si>
    <t>Adquirir 1modulo de planeacionprecontractual, ajustado al modelo de enfoque poblacional - Mejorar en un 90% la funcionalidad del proceso de seguimiento de los proyectos de inversión pública - Sistematización en un 90% del proceso de seguimiento a las metas del Plan de Desarrollo</t>
  </si>
  <si>
    <t>RESULTADO OBTENIDO</t>
  </si>
  <si>
    <t>12 municipios apoyados.</t>
  </si>
  <si>
    <t>12 municipios con listados censales incluyentes de las poblaciones vulnerables.</t>
  </si>
  <si>
    <t>Numero de ESE que realizan simulacros de atención de emergencias al año.</t>
  </si>
  <si>
    <t>2 ESE con planes de emergencia hospitalaria actualizado y articulado con los planes locales de emergencia.</t>
  </si>
  <si>
    <t>2 ESE que realizan simulacros de atención de emergencias al año.</t>
  </si>
  <si>
    <t>Número de ESE municipales con PIC Plan de Intervenciones Colectivas</t>
  </si>
  <si>
    <t>Número de municipios con modelo de APS mental implementado</t>
  </si>
  <si>
    <t>5 entidades apoyadas</t>
  </si>
  <si>
    <t>Porcentaje anual de Prestadores de servicios de salud verificados</t>
  </si>
  <si>
    <t xml:space="preserve">1.2.6.13.P.369   </t>
  </si>
  <si>
    <t xml:space="preserve">1.2.7.17.P.370     </t>
  </si>
  <si>
    <r>
      <t xml:space="preserve">Canalizar acciones de promoción de la salud en el desarrollo de la política nacional de sexualidad, derechos sexuales y reproductivos.
</t>
    </r>
    <r>
      <rPr>
        <b/>
        <sz val="14"/>
        <color indexed="8"/>
        <rFont val="Calibri"/>
        <family val="2"/>
      </rPr>
      <t>Meta creada por Ordenanza No. 010 del 4 de octubre  de 2013, mediante la cual se modificó el PLAN DE DESARROLLO 2012-2015, para articular el PLAN DECENAL DE SALUD.</t>
    </r>
  </si>
  <si>
    <t>Número de municipios con acciones de promoción de la salud en la política nacional de sexualidad, derechos sexuales y reproductivos.</t>
  </si>
  <si>
    <t xml:space="preserve">1.2.7.17.P.371     </t>
  </si>
  <si>
    <r>
      <t xml:space="preserve">Seguimiento al cumplimiento en la adherencia a la norma técnicas en las acciones de salud pública individual. 
</t>
    </r>
    <r>
      <rPr>
        <b/>
        <sz val="14"/>
        <color indexed="8"/>
        <rFont val="Calibri"/>
        <family val="2"/>
      </rPr>
      <t>Meta creada por Ordenanza No. 010 del 4 de octubre  de 2013, mediante la cual se modificó el PLAN DE DESARROLLO 2012-2015, para articular el PLAN DECENAL DE SALUD.</t>
    </r>
  </si>
  <si>
    <t xml:space="preserve">Número de municipios descentralizados en salud e IPS municipales asesorados y supervisados en las acciones de salud pública individual. </t>
  </si>
  <si>
    <t xml:space="preserve">1.2.7.18.P.372      </t>
  </si>
  <si>
    <r>
      <t xml:space="preserve">Garantizar los insumos y las acciones de IVC de factores de riesgo del ambiente que afectan la salud humana y para el control de vectores y zoonosis. 
</t>
    </r>
    <r>
      <rPr>
        <b/>
        <sz val="14"/>
        <color indexed="8"/>
        <rFont val="Calibri"/>
        <family val="2"/>
      </rPr>
      <t xml:space="preserve">Meta creada por Ordenanza No. </t>
    </r>
    <r>
      <rPr>
        <b/>
        <sz val="14"/>
        <rFont val="Calibri"/>
        <family val="2"/>
      </rPr>
      <t>010 del 4 de octubre  de 2013,, mediante la cual se modificó el PLAN DE DES</t>
    </r>
    <r>
      <rPr>
        <b/>
        <sz val="14"/>
        <color indexed="8"/>
        <rFont val="Calibri"/>
        <family val="2"/>
      </rPr>
      <t>ARROLLO 2012-2015, para articular el PLAN DECENAL DE SALUD.</t>
    </r>
  </si>
  <si>
    <t xml:space="preserve">1.2.9.19.P.373      </t>
  </si>
  <si>
    <r>
      <t xml:space="preserve">Garantizar la adquisición y suministro de medicamentos de control especial, monopolio del estado y programas especiales.
</t>
    </r>
    <r>
      <rPr>
        <b/>
        <sz val="14"/>
        <color indexed="8"/>
        <rFont val="Calibri"/>
        <family val="2"/>
      </rPr>
      <t xml:space="preserve">Meta creada por Ordenanza No. </t>
    </r>
    <r>
      <rPr>
        <b/>
        <sz val="14"/>
        <rFont val="Calibri"/>
        <family val="2"/>
      </rPr>
      <t xml:space="preserve">010 del 4 de octubre  de 2013,, mediante la cual se </t>
    </r>
    <r>
      <rPr>
        <b/>
        <sz val="14"/>
        <color indexed="8"/>
        <rFont val="Calibri"/>
        <family val="2"/>
      </rPr>
      <t>modificó el PLAN DE DESARROLLO 2012-2015, para articular el PLAN DECENAL DE SALUD.</t>
    </r>
  </si>
  <si>
    <t>Número de establecimientos autorizados para la compra y comercialización de medicamentos de control especial.</t>
  </si>
  <si>
    <t xml:space="preserve">1.2.9.19.P.374      </t>
  </si>
  <si>
    <r>
      <t xml:space="preserve">Garantizar el fortalecimiento departamental y municipal en Salud para la implementación de las competencias territoriales.
</t>
    </r>
    <r>
      <rPr>
        <b/>
        <sz val="14"/>
        <color indexed="8"/>
        <rFont val="Calibri"/>
        <family val="2"/>
      </rPr>
      <t>Meta creada por Ordenanza No.</t>
    </r>
    <r>
      <rPr>
        <b/>
        <sz val="14"/>
        <rFont val="Calibri"/>
        <family val="2"/>
      </rPr>
      <t xml:space="preserve"> 010 del 4 de octubre  de 2013,</t>
    </r>
    <r>
      <rPr>
        <b/>
        <sz val="14"/>
        <color indexed="8"/>
        <rFont val="Calibri"/>
        <family val="2"/>
      </rPr>
      <t>, mediante la cual se modificó el PLAN DE DESARROLLO 2012-2015, para articular el PLAN DECENAL DE SALUD.</t>
    </r>
  </si>
  <si>
    <t xml:space="preserve">1.2.9.19.P.375      </t>
  </si>
  <si>
    <r>
      <t xml:space="preserve">Garantizar el fortalecimiento institucional del laboratorio de Salud Pública para la vigilancia y control sanitario, y de vigilancia de eventos de interés en salud pública. 
</t>
    </r>
    <r>
      <rPr>
        <b/>
        <sz val="14"/>
        <color indexed="8"/>
        <rFont val="Calibri"/>
        <family val="2"/>
      </rPr>
      <t xml:space="preserve">Meta creada por Ordenanza No. </t>
    </r>
    <r>
      <rPr>
        <b/>
        <sz val="14"/>
        <rFont val="Calibri"/>
        <family val="2"/>
      </rPr>
      <t xml:space="preserve">010 del 4 de octubre  de 2013, mediante la cual se modificó el </t>
    </r>
    <r>
      <rPr>
        <b/>
        <sz val="14"/>
        <color indexed="8"/>
        <rFont val="Calibri"/>
        <family val="2"/>
      </rPr>
      <t>PLAN DE DESARROLLO 2012-2015, para articular el PLAN DECENAL DE SALUD.</t>
    </r>
  </si>
  <si>
    <t>Número de áreas del laboratorio de salud pública acompañadas</t>
  </si>
  <si>
    <t xml:space="preserve">1.2.9.19.P.376      </t>
  </si>
  <si>
    <r>
      <t xml:space="preserve">Garantizar el sistema de vigilancia en Salud Pública y el diagnóstico situacional de salud.
</t>
    </r>
    <r>
      <rPr>
        <b/>
        <sz val="14"/>
        <color indexed="8"/>
        <rFont val="Calibri"/>
        <family val="2"/>
      </rPr>
      <t>Meta creada por Ordenanza No.</t>
    </r>
    <r>
      <rPr>
        <b/>
        <sz val="14"/>
        <rFont val="Calibri"/>
        <family val="2"/>
      </rPr>
      <t xml:space="preserve"> 010 del 4 de octubre  de 2013</t>
    </r>
    <r>
      <rPr>
        <b/>
        <sz val="14"/>
        <color indexed="8"/>
        <rFont val="Calibri"/>
        <family val="2"/>
      </rPr>
      <t>, mediante la cual se modificó el PLAN DE DESARROLLO 2012-2015, para articular el PLAN DECENAL DE SALUD.</t>
    </r>
  </si>
  <si>
    <t>Número de municipios con sistema de vigilancia en salud pública implementados.</t>
  </si>
  <si>
    <t xml:space="preserve">1.2.37.23.P.377   </t>
  </si>
  <si>
    <r>
      <t xml:space="preserve">Garantizar la atención integral a las víctimas de violencia y su núcleo familiar.
</t>
    </r>
    <r>
      <rPr>
        <b/>
        <sz val="14"/>
        <color indexed="8"/>
        <rFont val="Calibri"/>
        <family val="2"/>
      </rPr>
      <t>Meta creada por Ordenanza No. 010 del 4 de octubre de 2013, mediante la cual se modificó el PLAN DE DESARROLLO 2012-2015, para articular el PLAN DECENAL DE SALUD.</t>
    </r>
  </si>
  <si>
    <t>Porcentaje de atenciones integrales autorizadas.</t>
  </si>
  <si>
    <r>
      <t xml:space="preserve">Resolver las  atenciones electivas  ambulatorias
</t>
    </r>
    <r>
      <rPr>
        <b/>
        <sz val="11"/>
        <color indexed="8"/>
        <rFont val="Arial"/>
        <family val="2"/>
      </rPr>
      <t xml:space="preserve">Meta modificada mediante Ordenanza No. </t>
    </r>
    <r>
      <rPr>
        <b/>
        <sz val="11"/>
        <rFont val="Calibri"/>
        <family val="2"/>
      </rPr>
      <t>010 del 4 de octubre, en cuanto a la META 2015.</t>
    </r>
  </si>
  <si>
    <t>780 niñas y niños menores de 5 años vinculados a programas de educación inicial.</t>
  </si>
  <si>
    <t>5 Convenios suscritos.</t>
  </si>
  <si>
    <t>85 docentes de preescolar y madres comunitarias capacitadas en nuevas tecnologías y bilingüismo para la promoción de competencias en educación inicial.</t>
  </si>
  <si>
    <t>Los resultados de la vigencia 2013, se informan a mediados de la vigencia 2014.</t>
  </si>
  <si>
    <t>1 plan de formación y capacitación implementados.</t>
  </si>
  <si>
    <t>1 Plan de lectura y escritura implementado.</t>
  </si>
  <si>
    <t>1 Plan de apoyo a la educación rural fortalecido.</t>
  </si>
  <si>
    <t>40 Sedes Educativas con jornadas extendidas para la profundización en ciencia y tecnología.</t>
  </si>
  <si>
    <t>1700 docentes y directivos docentes formados en competencias ciudadanas y la construcción de ambientes democráticos.</t>
  </si>
  <si>
    <t>29 sedes educativas con jornadas extendidas para profundización en deporte.</t>
  </si>
  <si>
    <t>48 instituciones educativas que implementan la propuesta articuladora desde la quindianidad al paisaje cafetero.</t>
  </si>
  <si>
    <t>11 sedes educativas ejecutando la política nacional  de educación ambiental con todas sus estrategias.</t>
  </si>
  <si>
    <t>73 sedes beneficiadas con nuevos y mejores espacios mediante la construcción, ampliación, mejoramiento y dotación de infraestructura educativa.</t>
  </si>
  <si>
    <t>3256 estudiantes en el nivel de preescolar.</t>
  </si>
  <si>
    <t>20464 estudiantes en el nivel de básica primaria.</t>
  </si>
  <si>
    <t>113 analfabetas.</t>
  </si>
  <si>
    <t>13745 copagos recibidos por almuerzos escolares.</t>
  </si>
  <si>
    <t>16524 estudiantes en el nivel de básica secundaria.</t>
  </si>
  <si>
    <t>5701 estudiantes en el nivel de media.</t>
  </si>
  <si>
    <t>3320 beneficiarios del subsidio de transporte.</t>
  </si>
  <si>
    <t>1472 desertores escolares.</t>
  </si>
  <si>
    <t>2253 reprobados escolares.</t>
  </si>
  <si>
    <t>1 programas académicos implementados  de etnoeducación.</t>
  </si>
  <si>
    <t>3 modelos flexibles y proyectos pedagógicos implementados</t>
  </si>
  <si>
    <t>66 bachilleres que ingresan a pregrados en programas técnicos, tecnológicos o profesionales</t>
  </si>
  <si>
    <t>La relación computador /estudiante fue de 1/11.</t>
  </si>
  <si>
    <t>210 sedes educativas conectadas a internet.</t>
  </si>
  <si>
    <t>1 plan implementado.</t>
  </si>
  <si>
    <t>878 docentes capacitados en nuevas tecnologías.</t>
  </si>
  <si>
    <t>150 docentes que incorporan las nuevas tecnologías en el aula de clase.</t>
  </si>
  <si>
    <t>4 sedes educativas pilotos de bilingüismo.</t>
  </si>
  <si>
    <t>17 sedes con énfasis en bilingüismo.</t>
  </si>
  <si>
    <t>22 estudiantes de grado once con dominio B1 en inglés.</t>
  </si>
  <si>
    <t>247 docentes con nivel A1, A2, B1 y B2.</t>
  </si>
  <si>
    <t>1 Plan fortalecido.</t>
  </si>
  <si>
    <t>1 pilotaje sostenido</t>
  </si>
  <si>
    <t>42 instituciones educativas articuladas a la educación superior técnica y tecnológica.</t>
  </si>
  <si>
    <t>11 medias técnicas fortalecidas.</t>
  </si>
  <si>
    <t>1 Plan de formación y capacitación docente, en el uso de nuevas tecnologías aplicadas a estrategias y métodos didácticos, en las áreas obligatorias</t>
  </si>
  <si>
    <t>54 instituciones educativas publicas presentando rendición de cuentas</t>
  </si>
  <si>
    <t>1 rendicion de cuentas realizada</t>
  </si>
  <si>
    <t>8 aplicativos fortalecidos.</t>
  </si>
  <si>
    <t>1 mejoramiento y dotación realizados</t>
  </si>
  <si>
    <t>1 mecanismo tecnológico de comunicación implementado</t>
  </si>
  <si>
    <t>7 estudios técnicos actualizados de acuerdo a las normas vigentes.</t>
  </si>
  <si>
    <t>1 Plan Departamental Biocultura 2012-2022 adoptado.</t>
  </si>
  <si>
    <t>30 actores del sector cultural y artístico capacitados.</t>
  </si>
  <si>
    <t>7 consejos de cultura, de área y patrimonio en funcionamiento.</t>
  </si>
  <si>
    <t>1 Estampilla Pro-Cultura creada  para el departamento.</t>
  </si>
  <si>
    <t>Se ha implementado a la fecha de corte el 14% del Sistema de Información Cultural Departamental creado.</t>
  </si>
  <si>
    <t>110 proyectos nuevos apoyados en el programa departamental de concertación.</t>
  </si>
  <si>
    <t>30 eventos y actividades artísticas y culturales apoyados.</t>
  </si>
  <si>
    <t>7 proyectos apoyados en el programa departamental de estímulos.</t>
  </si>
  <si>
    <t>15 Escuelas de formación artística y salas apoyadas.</t>
  </si>
  <si>
    <t>17  bibliotecas y ludotecas apoyadas y articuladas a la red.</t>
  </si>
  <si>
    <t>2 Políticas departamentales de formación, estímulos, concertación de proyectos, lectura, escritura y bibliotecas.</t>
  </si>
  <si>
    <t>9 libros publicados.</t>
  </si>
  <si>
    <t>2 emisoras comunitarias y escolares vinculadas.</t>
  </si>
  <si>
    <t>10 gestores culturales involucrados en procesos de formación.</t>
  </si>
  <si>
    <t>3 proyectos apoyados.</t>
  </si>
  <si>
    <t xml:space="preserve">En esta vigencia se avanzó un 40% en el Proyecto de Investigación del Patrimonio Publico Cultural. Con el 25% logrado en el 2012, se acumula un avance del 65%. </t>
  </si>
  <si>
    <t>10 actividades realizadas.</t>
  </si>
  <si>
    <t>10 personas formadas como vigías.</t>
  </si>
  <si>
    <t>4 proyectos apoyados.</t>
  </si>
  <si>
    <t>RESULTADOS OBTENIDOS</t>
  </si>
  <si>
    <t>Política formulada e implementada.</t>
  </si>
  <si>
    <t>Comicios electorales apoyados</t>
  </si>
  <si>
    <t>Número de campañas realizadas.</t>
  </si>
  <si>
    <t>Número de programas fortalecidos.</t>
  </si>
  <si>
    <t>Número de personas capacitadas.</t>
  </si>
  <si>
    <t>Programa creado e  implementado</t>
  </si>
  <si>
    <t>1 Política formulada e implementada.</t>
  </si>
  <si>
    <t>2 Municipios con el PNVCC implementado.</t>
  </si>
  <si>
    <t>1 subestaciones o guarniciones construidas, adecuadas o refaccionadas.</t>
  </si>
  <si>
    <t>No se dieron Comisiones Electorales.</t>
  </si>
  <si>
    <t>4 campañas realizadas.</t>
  </si>
  <si>
    <t>2 programas fortalecidos.</t>
  </si>
  <si>
    <t>1 Mecanismo alternativo apoyado</t>
  </si>
  <si>
    <t>2667 personas capacitadas.</t>
  </si>
  <si>
    <t>600 metros lineales de señalización.</t>
  </si>
  <si>
    <t>Número de programas  municipales fortalecidos.</t>
  </si>
  <si>
    <t>Número de subestaciones o
guarniciones construidas,  adecuadas o refaccionadas.</t>
  </si>
  <si>
    <t>Mecanismos alternativos  apoyados</t>
  </si>
  <si>
    <t>Tasa de población atendida
sobre el total de población remitida.</t>
  </si>
  <si>
    <t>1 programa municipal fortalecido.</t>
  </si>
  <si>
    <t>3 Municipios con programas de prevención y garantía de derecho.</t>
  </si>
  <si>
    <t>Reducir tasa de lesiones por accidentes de tránsito.
Reducir tasa de muertes por accidentes de tránsito.</t>
  </si>
  <si>
    <t xml:space="preserve">En cuanto a esta meta, el Departamento contribuyó, con el IDTQ, dandole en comodato la CAMIONETA, para que la Escuela de Enseñanza, llenara los requisitos para su habilitación y acreditación, por parte de la Nación. En la vigencia 2013  se apoyo la señalizacion vial y las clases de Conducción. </t>
  </si>
  <si>
    <t xml:space="preserve">Este Plan ya se encuentra elaborado, solamente queda para las vigencias siguientes su implementación y actualización. </t>
  </si>
  <si>
    <t>1 Comité fortalecido</t>
  </si>
  <si>
    <t>Se atendió el 60% del total de la Población víctima de desplazamiento forzado remitida.</t>
  </si>
  <si>
    <t>Se atendieron 870 personas del  total de población victima con enfoque diferencial remitida.</t>
  </si>
  <si>
    <t>13 PARIV apoyados, actualizados y/o implementados.</t>
  </si>
  <si>
    <t xml:space="preserve">A la fecha este programa se encuentra formulado en un 100%, queda pendiente su implementación en los dos años siguientes. </t>
  </si>
  <si>
    <t>13 Planes municipales formulados,
ejecutados y/o implementados</t>
  </si>
  <si>
    <t>1 campaña desarrollada</t>
  </si>
  <si>
    <t xml:space="preserve">Através de la gestión con Colombia Humanitaria y el Fondo Nacional de Calamidades,  se logro  reubicar veintiun (21) personas con sus familias en el municipio de Quimbaya a través del pago de arrendamientos, esto teniendo en cuenta que dichas personas se vieron afectadas, en la ola invernalen los años 2010-2011.   </t>
  </si>
  <si>
    <t xml:space="preserve">No se apoyó ningún Municipio en investigación de amenaza y vulnerabilidad. </t>
  </si>
  <si>
    <t xml:space="preserve">25 capacitaciones realizadas sobre gestión del riesgo </t>
  </si>
  <si>
    <t>1 proceso de fortalecimiento a los organismos de socorro e instituciones que hacen parte de la unidad de prevención y atención de desastres apoyado.</t>
  </si>
  <si>
    <t>1 Proceso de mejora en dotación del centro de reserva de la unidad de prevención y atención de desastres realizado.</t>
  </si>
  <si>
    <t>3 PMGR elaborados con asistencia técnica departamental.</t>
  </si>
  <si>
    <t xml:space="preserve">Despues de la creación del Fondo Departamental de Gestión del Riesgo bajo la Ordenanza 032 de 2012,  en el 2013 se inicio el proceso de socialización de los objetivos, alcances y recursos necesarios para el funcionamiento del  mismo; esto a nivel interinstitucional e interadministrativo. Sin embargo a la fecha no se cuenta con recursos para su aplicación. </t>
  </si>
  <si>
    <t>En la vigencia 2013, se actualizaciòn del Plan Departamental de Gestiòn del Riesgo de Desastres (PDGRD, el cual fue formulado en el 2012.</t>
  </si>
  <si>
    <t xml:space="preserve">672 procesos de elección y reconocimiento de los organismos comunales. Fortalecidos..  </t>
  </si>
  <si>
    <t xml:space="preserve">Mediante decreto de diciembre de 2013, se reglamentó el BPPID (Banco de Proyectos y Programas de Inversión Departamental), incluyendo en él las especificaciones para la presentación de proyectos por parte de los Organismos Comunales del Departamento.     </t>
  </si>
  <si>
    <t xml:space="preserve">No se ha cumplido con esta meta, por cuanto dicho proceso va en contra de los principios constitucionales y el detrimento del patrimonio publico de acuerdo al  artículo 355 de la constitución política de Colombia, del articulo 3 y 6 de la ley 610 de 2000, y el numeral de los artículos 34 y 35 de la ley 734 de 2002.   </t>
  </si>
  <si>
    <t>Se impulsaron 300 procesos de formación a dignatarios comunales.</t>
  </si>
  <si>
    <t>Se apoyó y promovió la organización comunitaria de las familias para su desarrollo en  3 municipios.</t>
  </si>
  <si>
    <t>11 entidades territoriales asistidas en la formulación e implementación de sus POT.</t>
  </si>
  <si>
    <t xml:space="preserve">3 municipios con asistencia técnica. </t>
  </si>
  <si>
    <t>1 procesos asociativos supramunicipales apoyados.</t>
  </si>
  <si>
    <t>12 municipios apoyados en la aplicación de los instrumentos de gestión urbano y rural.</t>
  </si>
  <si>
    <t xml:space="preserve">Comision regional de ordenamiento territoria fue creada y en funcionamiento. </t>
  </si>
  <si>
    <t>Se construyeron 3 temáticas cartográficas (SISBEN, MOD Quindio, Equipamientos Culturales y educativos), pero aun no han sido incorporadas al SIG Quindío.</t>
  </si>
  <si>
    <t>1 gestiónr ealizada.</t>
  </si>
  <si>
    <t xml:space="preserve">Se acompañaron en cuanto al seguimiento y monitoreo de sus trámites, en los diferentes Ministerios y/o Entidades de la Nación, donde los Muniicpios, Entidades Descentralizadas y Secretarías del Departamento, radicaron los 132 proyectos, que se encuentran en el BPP de la Nación. </t>
  </si>
  <si>
    <t xml:space="preserve">Gestionar ante los diferentes Ministerios y/o Entidades del orden Nacional, todos los PROYECTOS, radicados por los Municipos, Secretarías y Entidades del Departamento, que soliciten la intervansión de la Casa Delegada del Quyindío en Bogotá. </t>
  </si>
  <si>
    <t xml:space="preserve">Teniendo en cuenta que elSIG QUINDIO, se encuentra ya diseñado, el Departamento en convenio con el IGAC y la CRQ, son responsables de su funcionamiento, para el cumplimiento de los objetivos para los cuales fue creado. En respuestaa ello, se generó información georeferenciada de los Beneficiarios del SISBEN y su aplicación en los diferentes programas del Gobierno Nacional en los Municipios de Buenavista, </t>
  </si>
  <si>
    <t>12 Municipios asesorados.</t>
  </si>
  <si>
    <t>A la fecha de corte, apenas se da inicio por parte de laSecretaría Administrativa, a la contratación de este Aplicativo de PLANEACION, que integrara con el PCT Financiero ya existente.</t>
  </si>
  <si>
    <t>Se apoyó la formulación e implementación de 6 proyectos estratégicos, que buscan aceder a  recursos de la Nación.</t>
  </si>
  <si>
    <t>Se formuló el Plan Estrategico de Cooperación Internacional, debiendosé programar su cocilización e con las diferentes Secretarias, Institutos  y Entes Territoriales del Quindio.</t>
  </si>
  <si>
    <t>Formular Plan estratégico de Cooperación Internacional</t>
  </si>
  <si>
    <t xml:space="preserve">Se conceptúo el PLAN ESTRATEGICO BIOCULTURA, que le permitirá al Departamento, por su intermedio, la formulación de proyectos, con acceso a recursos de otras Entidades del orden Nacional e Internacional. De igual manera se aprobó el PLAN ESTRATEGICO DE COOPERACIÓN INTERNACIONAL, con el mismo objetivo de acceder legalmente a recursos que financien proyectos, para el bien de la comunidad. </t>
  </si>
  <si>
    <t xml:space="preserve">12 municipios asesorados. </t>
  </si>
  <si>
    <t xml:space="preserve">16 Proyectos para ser financiados con recursos de REGALIAS, fueron presentados, con el acompañamiento de la Secretaría de Planeación, por los Municipios del Departamento. </t>
  </si>
  <si>
    <t xml:space="preserve">Se apoyó con el fin de garantizar el funcionamiento el Funcionamiento del Consejo Territorial de Planeación Departamental. </t>
  </si>
  <si>
    <t xml:space="preserve">Se aprobó mediante ORDENANZA 010 de octubre 10 de 2013, una modificación al PLAN DE DESARROLLO 2012-2015, con el fin de articular en el mismo las metas que establece el PLAN DECENAL DE SALUD. Este acto administrativo, modifica 2 metas ya existentes las identificadas con los números 48 y 49 y crea 9, las cuales se identificaron con los números del 369 al 377.  </t>
  </si>
  <si>
    <t>Se actualizó el SISCAR y actualmente se encuentra en funcionamiento.</t>
  </si>
  <si>
    <t xml:space="preserve">Se adecuaron 15 puntos en las  Notarias del departamento y la Camara de Comercio,  para el recaudo del impuesto al registro; un punto para el recaudo de estampillas en tesorería y dos puntos para el recaudo del impuesto a vehiculos en la Oficina de Gestión Tributaria.  </t>
  </si>
  <si>
    <t>En la vigencia 2013, se recibieron transferencias para la Salud, por concepto de RENTAS CEDIDAS, por la suma de $18,453 mil pesos.</t>
  </si>
  <si>
    <t>Se realizo mantenimiento en el 2013 al programa de INFOCONSUMO; SE ACTUALIZÓ versón del SISCAR, con el ingreso de nuevos componentes  y el sistema VUR.</t>
  </si>
  <si>
    <t xml:space="preserve">Para el año 2013, se logro un recaudo de $3.242.891 mil pesos, de los cuales corresponden a RECOBRO DE CARTERA MOROSA, la suma de $1.485 millones de pesos, superandose la meta programada en $235 millones. </t>
  </si>
  <si>
    <t xml:space="preserve">No se han realizao campañas para el cumplimiento de esta meta, teniendo en cuenta que se trata de empleados de los CONSECIONARIOS, donde la intervención no es del Estado. </t>
  </si>
  <si>
    <t>Procesos de sostenibilidad financiera e institucional ejecutados en un 100%   -  un (1) proceso integral de planificación a ejecutar en la Gobernación del Quindío - Una entidad (1) con acciones de reorganización administrativa y financiera ejecutada</t>
  </si>
  <si>
    <t>12 municipios con interventoría a contratos de aseguramiento.</t>
  </si>
  <si>
    <t>12 municipios con contratos de prestación de servicios para la población no asegurada y víctimas del conflicto armado.</t>
  </si>
  <si>
    <t>12  Municipios con auditoría a los contratos de prestación de servicios</t>
  </si>
  <si>
    <t xml:space="preserve">Esta Meta fue modificada mediante Ordenanza No. 010 del 4 de octubre de 2013, en cuanto a la META 2015, razón por la cual de 250 atenciones electivas ambulatorias propuestas para los dos años siguientes en el 2013, se resolvieron 350. </t>
  </si>
  <si>
    <t>67 IPS pública y privadas con cumplimiento de estándares.</t>
  </si>
  <si>
    <r>
      <t>No se programaron IPS públicas de 2º y 3</t>
    </r>
    <r>
      <rPr>
        <vertAlign val="superscript"/>
        <sz val="11"/>
        <color indexed="8"/>
        <rFont val="Arial"/>
        <family val="2"/>
      </rPr>
      <t>er</t>
    </r>
    <r>
      <rPr>
        <sz val="11"/>
        <color indexed="8"/>
        <rFont val="Arial"/>
        <family val="2"/>
      </rPr>
      <t xml:space="preserve"> nivel, para ser acreditadas en el 2013. </t>
    </r>
  </si>
  <si>
    <t>Se acompañaron 5 ESEs en el  proceso de suficiencia de la red pública departamental.</t>
  </si>
  <si>
    <r>
      <t xml:space="preserve">Incrementar visitas de verificación de requisitos de habilitación a prestadores de servicios de salud públicos y privados
</t>
    </r>
    <r>
      <rPr>
        <b/>
        <sz val="11"/>
        <color indexed="8"/>
        <rFont val="Arial"/>
        <family val="2"/>
      </rPr>
      <t>Meta creada por Ordenanza No. 010 del 4 de octubre de 2013, mediante la cual se modificó el PLAN DE DESARROLLO 2012-2015, para articular el PLAN DECENAL DE SALUD.</t>
    </r>
    <r>
      <rPr>
        <sz val="11"/>
        <color indexed="8"/>
        <rFont val="Arial"/>
        <family val="2"/>
      </rPr>
      <t xml:space="preserve">
</t>
    </r>
  </si>
  <si>
    <t xml:space="preserve">El cumplimiento de esta meta, se programará en el Plan Indicativo para el 2014 . </t>
  </si>
  <si>
    <t>3 municipios con estrategia AIEPI implementada.</t>
  </si>
  <si>
    <t>11  ESE con normas técnicas implementadas para la atención del binomio madre-hijo.</t>
  </si>
  <si>
    <t>12 municipios con promoción de hábitos higiénicos.</t>
  </si>
  <si>
    <t>12 Municipios con grupos de búsqueda activa de sintomáticos respiratorios activos.</t>
  </si>
  <si>
    <t>11 municipios apoyados para implementación de la estrategia de espacios públicos y de trabajo sin humo.</t>
  </si>
  <si>
    <t>7 municipios apoyados para la implementación de patrones alimentarios adecuados en la primera infancia.</t>
  </si>
  <si>
    <t>1 Consejo Territorial de Zoonosis operando.</t>
  </si>
  <si>
    <t>108 Establecimientos farmacéuticos con visitas de I.V.C.</t>
  </si>
  <si>
    <t>155 Establecimientos que manejan sustancias potencialmente tóxicas con visitas de I.V.C.</t>
  </si>
  <si>
    <t>756 Establecimientos de alimentos calificados de alto riesgo con visitas de I.V.C.</t>
  </si>
  <si>
    <t>100 Sujetos de atención en saneamiento básico con visitas de I.V.C.</t>
  </si>
  <si>
    <t>12 Municipios apoyados en la conformidad del comité local de salud ocupacional operando</t>
  </si>
  <si>
    <t>5 Campañas de promoción elaboradas</t>
  </si>
  <si>
    <t>11  ESE municipales con PIC Plan de Intervenciones Colectivas</t>
  </si>
  <si>
    <t xml:space="preserve">El cumplimiento de esta meta, se programará en el Plan Indicativo para el 2014  Y 2015 respectivamente. </t>
  </si>
  <si>
    <t>12 Municipios con sistema de vigilancia en salud pública implementados.</t>
  </si>
  <si>
    <t xml:space="preserve">En la vigencia 2013, se implementó e Programa de Orientación Preventiva en un 25%. </t>
  </si>
  <si>
    <t xml:space="preserve">No se cuenta a la fecha con ningún Municipio con un Modelo de APS mental implementado, sin embargo se  sensibilizó e identificaron los equipos basicos de atención de  11  IPS del departamento del Quindio.  </t>
  </si>
  <si>
    <t>12 Municipios con acciones de promoción de la salud y prevención de los riesgos</t>
  </si>
  <si>
    <t xml:space="preserve">En la Vigencia 2013, no se realizaron jornadas de registro e identificación para los niños, niñas y adolescentes. </t>
  </si>
  <si>
    <t xml:space="preserve">RESULTADOS OBTENIDOS </t>
  </si>
  <si>
    <t>El Plan de Estratégico Desarrollo Rural fue formulado en el 2013, en un 80%.</t>
  </si>
  <si>
    <t>No se brindó asistencia técnica a los 2 Municipios programados en el 2013,</t>
  </si>
  <si>
    <t xml:space="preserve">Se conformó el CONSEA,, con operación a la fecha. </t>
  </si>
  <si>
    <t>3 Comités Municipales de Desarrollo Rural conformados y operando</t>
  </si>
  <si>
    <t>3 Municipios con el  EVA/SIG, implementado</t>
  </si>
  <si>
    <t xml:space="preserve">Se difundió por medio de herramientas informáticas, la Implementación de las Estrategias de Desarrollo Rural y la Política Nacional 2010- 2014, por medio del uso de herramientas informáticas, para la difusión y acercamiento de la información al Sector Rural del Departamento.
</t>
  </si>
  <si>
    <t>No se dio cumplimiento a esta Meta.</t>
  </si>
  <si>
    <t xml:space="preserve">5 Encadenamientos Productivos  enmarcados dentro de las cadenas productivas, reconocidas por el Ministerio de Agricultura y Desarrollo Rural, apoyadas y/o fortalecidas </t>
  </si>
  <si>
    <t>Esta meta no fue programada para el 2013.</t>
  </si>
  <si>
    <t>Un Convenio apoyado, con la Corporación Autónoma Regional del Quindío CRQ, para un programa de BUENAS PRACTICAS PORCICOLAS, en donde se van a beneficiar 5 Asociaciones de Productores PORCICOLAS del Departamento del Quindío.</t>
  </si>
  <si>
    <t xml:space="preserve">5 iniciativas apoyadas.. Se están apoyando las  LÍNEAS AGROPECUARIAS PRODUCTIVAS TRADICIONALES del Departamento del Quindío. </t>
  </si>
  <si>
    <t xml:space="preserve">En desarrollo del PROGRAMA DE APOYOS FINANCIERO DIRECTO A SECTORES AGROPECUARIOS DE IMPORTANCIA ESTRATÉGICA, se han apoyado 3 programas especificos. </t>
  </si>
  <si>
    <t>Se gestionó con los laboratorios del Centro Agroindustrial del SENA, para hacer la caracterización físico química del PLÁTANO, en la cual se va a realizar un análisis para el porcentaje de pulpa, calibre, defecto, características frente a la norma técnica empaques y almacenamiento; de la misma manera se realizara una charla de pos cosecha.  ASOCIACIÓN QUINQUINAGRO (Quimbaya) y APROPLAN de Montenegro.</t>
  </si>
  <si>
    <t>Se está apoyando el programa de transferencia tecnológica,  aplicada en CULTIVOS DE SÁBILA Y ACUAPONIA, donde se está desarrollando un monitoreo a los diferentes cultivos que hay en el Quindío, para la explotación de la sábila y haciendo abono orgánico con los desechos de los peces que salen de los estanques.</t>
  </si>
  <si>
    <t>100 jóvenes vinculados a programas de relevo generacional.</t>
  </si>
  <si>
    <t>Se apoyaron 13  Predios en el ejercicio de implementación y auditoria interna del sello verde de producción limpia, RAINFOREST y con el Convenio 066 de 2012,  con el Comité de Cafeteros, se apoyaron los Municipios de Salento, Calarcá, Córdoba y Génova en la incorporación de las HECTREAS DE CAFE.</t>
  </si>
  <si>
    <t>1) Se consolidó el proyecto de impacto regional  LA ESCUELA NACIONAL DE LA CALIDAD DEL CAFÉ. 2) Se estructuró y se gestionó un proyecto que le apunta al valor agregado del CAFÉ PERGAMINO SECO DE ALTA CALIDAD. 3) Se logró crear una nueva asociación de cafés de calidad, desde el punto de vista de la cadena de valor.</t>
  </si>
  <si>
    <t>1) Acompañamiento a procesos de certificación y obtención de sellos de los predios y asociaciones de CAFÉ ESPECIAL en el Departamento, en los Municipios de Buenavista, Filandia y Circasia.  2) Acompañamiento al desarrollo de actividades del sector del café especial. 3) Procesos de BPA (Buenas Prácticas Agrícolas), en 15  predios del Departamento; apoyo y acompañamiento en  rutas de gestión para participación de ferias internacionales, nacionales y locales a productores de café especial, agrupados en las diferentes Asociaciones de CAFÉ ESPECIAL del Departamento.</t>
  </si>
  <si>
    <t>80 predios participantes en proyectos de saneamiento, mejoramiento y conservación del medioambiente.</t>
  </si>
  <si>
    <t>2919 hectáreas de café sembradas en el Departamento</t>
  </si>
  <si>
    <t xml:space="preserve">5 acciones realizadas en los municipios con cuencas abastecedoras para la protección del recurso hídrico articulado con CRQ. </t>
  </si>
  <si>
    <r>
      <t xml:space="preserve">Incrementar el número de predios participantes en proyectos de mejoramiento y conservación del medio ambiente.
</t>
    </r>
    <r>
      <rPr>
        <b/>
        <sz val="14"/>
        <color indexed="8"/>
        <rFont val="Calibri"/>
        <family val="2"/>
      </rPr>
      <t>Modificada mediante Decreto 0839 del 1 de agosto de 2012.</t>
    </r>
  </si>
  <si>
    <r>
      <t xml:space="preserve">Número de predios participantes en proyectos de mejoramiento y conservación del medio ambiente.
</t>
    </r>
    <r>
      <rPr>
        <b/>
        <sz val="14"/>
        <color indexed="8"/>
        <rFont val="Calibri"/>
        <family val="2"/>
      </rPr>
      <t>Modificada mediante Decreto 0839 del 1 de agosto de 2012.</t>
    </r>
  </si>
  <si>
    <t>Como ESTRATEGIA DE MANEJO Y PROTECCIÓN DE ECOSISTEMAS ESTRATÉGICOS, se logró el pago de 36 incentivos para la conservación para la protección de la cuenca alta del rio Quindío.</t>
  </si>
  <si>
    <t>Se encuentran en revisión 5 PLANES DE MANEJO en los predios de San Martin y el Vergel, para el inicio de la implementación en estas áreas con sus respectivos programas de educación ambiental. Sin embargo cabe aclarar que las 16 áreas de conservación  del Departamento en sus Planes de Manejo cuentan con Programas de Educación Ambiental y serán implementados.</t>
  </si>
  <si>
    <t>Hay 5 predios con programas de EDUCACIÓN AMBIENTAL establecido en Convenio 041 con la CRQ, estos son: TRIBUNA LA CUMBRE, BRISAS, EL VERGEL, LA RUSIA  y SAN MARTIN.</t>
  </si>
  <si>
    <t>Se apoyaron y fortalecieron en un 100% los siguientes COMITES: CIDEA, COMEDAS Filandia, Tebaida, Montenegro, Salento, Córdoba, Pijao, Génova, Quimbaya y  Calarcá y los tres Distritos DRMI (REFERIR ESTA SIGLA) Salento y Génova: DCS BARBAS - BREMEN y  SIMAP de Calarcá.</t>
  </si>
  <si>
    <t xml:space="preserve">6 Centros Educativos Rurales asistidos pedagógicamente en educación ambiental </t>
  </si>
  <si>
    <t xml:space="preserve">1 Instituciones y organizacion ambiental apoyada en buenas prácticas ambientales. </t>
  </si>
  <si>
    <t xml:space="preserve">1 acuerdos apoyado para la aplicación de sistemas de producción limpia y sostenible a los sectores productivos. </t>
  </si>
  <si>
    <t>Se promovio, brindo apoyo y acompañamiento en la reactivación de la cadena forestal. La reunión se dio como iniciativa,   para firmar  Acuerdos Regionales, entre empresas y personas naturales, reforestadores y transformadores de la madera, algunos  de ellos organizados,      Promoción del Certificado de incentivo forestal en los municipios de Calarca y Filandia.</t>
  </si>
  <si>
    <t xml:space="preserve">3 Municipios apoyados en el desarrollo de determinantes de prevención, mitigación y corrección de impactos ambientales para los sectores productivos priorizados. </t>
  </si>
  <si>
    <t>2 acompañamientos en la ejecución  del Plan Departamental de Biocomercio 2012-2017.</t>
  </si>
  <si>
    <t xml:space="preserve">1 marca consolidada en el departamento en este mercado. </t>
  </si>
  <si>
    <t>Se ha trabajado de forma articulada el MODELO DE OCUPACIÓN DEPARTAMENTAL, dentro del componente natural, por medio del cual se pretende llegar a los 12 Municipios del Departamento.</t>
  </si>
  <si>
    <t>3.16.86.98.P.252</t>
  </si>
  <si>
    <t>Apoyar el plan de manejo de la cuenca del Magdalena – Cauca (PMC).</t>
  </si>
  <si>
    <t>No se realizó ningún apoyo al Plan de Manejo de la CUENCA del Río MAGDALENA, CAUCA.</t>
  </si>
  <si>
    <t xml:space="preserve">ESTUDIO SEMIDETALLADO DE SUELOS y Apoyo y acompañamiento en el Contrato Interadministrativo de Cooperación para el desarrollo del SISTEMA DE INFORMACIÓN GEOGRÁFICO PARA EL DEPARTAMENTO DEL QUINDÍO, fase II (CRQ- GOERNACIÓN - IGAC) Nro. J 184 de 2013; objeto: Soporte y mantenimiento del aplicativo SIG Fase II, incluir contenidos temáticos agropecuarios entre otros, actualización general de la información por la generada por el IGAC y derivada de las actualizaciones de los POT  de los municipios.  </t>
  </si>
  <si>
    <t>Convenio Interadministrativo con la CRQ para "Aunar esfuerzos técnicos, económicos y logísticos para la realizar actividades de apoyo, manejo y gestión sustentable del paisaje del Departamento.</t>
  </si>
  <si>
    <t>1 Manual de contratación revisado, actualizado y publicado.</t>
  </si>
  <si>
    <t>1 Proceso de contratación revisado y ajustado.</t>
  </si>
  <si>
    <t>493 Número de funcionarios capacitaciones.</t>
  </si>
  <si>
    <t xml:space="preserve">Se encuentra actualizado en un 90% el Inventario  Ordenanzal. </t>
  </si>
  <si>
    <t>8% de adultos mayores en pobreza extrema que cuentan con una fuente de ingreso o sustento económico.</t>
  </si>
  <si>
    <t>2% de familias de la RED UNIDOS que participan en procesos de generación de capacidades laborales.</t>
  </si>
  <si>
    <t>1 proyecto de vinculación laboral para familias UNIDOS promovidos.</t>
  </si>
  <si>
    <t xml:space="preserve">A la fecha de corte, se encuentra formulada, pendiente del concepto de Planeación y de la Aprobación de la Asamblea Departamental, la Poítica Pública Departamental para la Generación de Ingresos. Por lo anterior el avance de la meta se logró en un 40%, más el 10% de avance del 2012, consolida un porcentaje del 50%. </t>
  </si>
  <si>
    <t>El Plan se formulará a partir de la aprobación de la Política Pública para la Generación de Ingresos.</t>
  </si>
  <si>
    <t>3 Unidades productivas de personas con capacidad especial apoyadas.</t>
  </si>
  <si>
    <t xml:space="preserve">Se elaboró un diagnóstico de las Remesas que ingresan al departamento caracterizando los municipios y los hogares beneficiados por el mismo. A la fecha de corte, se encuentra formulado, pendiente del concepto de Planeación el Plan Integral de Remesas y generación de alternativas económicas para la población migrante del Departamento. Por lo anterior el avance de la meta se logró en un 30%. 
</t>
  </si>
  <si>
    <t>250 proveedores y empresarios vinculados al Banco de Proveedores Locales.</t>
  </si>
  <si>
    <t>5 pequeños comerciantes o empresarios Mipymes  vinculados a procesos de certificación en calidad.</t>
  </si>
  <si>
    <t>100 empresas que reciben asistencia técnica.</t>
  </si>
  <si>
    <t>7 actividades gremiales apoyadas.</t>
  </si>
  <si>
    <t>1 programa apoyado.</t>
  </si>
  <si>
    <t>2 programas de financiamiento apoyados.</t>
  </si>
  <si>
    <t>Se conformó el Clúster de Café, a través del convenio firmado con Cámara de Comercio (Convernio Inpulsa IFR005) para la RUTA KALDIA</t>
  </si>
  <si>
    <t xml:space="preserve">Se apoyaron 3 municipios con esquemas colaborativos de Organizaciones Productivas:  Armenia, Circasia y Montenegro. </t>
  </si>
  <si>
    <t xml:space="preserve">Se creó el SISTEMA REGIONAL DE COMPETITIVIDAD, (SRC). </t>
  </si>
  <si>
    <t>El OBSERVATORIO  DE COMPETTIVIDAD E INNOVACIÓN, registra un avance del 50%, represetnado en un  diagnóstico con respecto a los datos que se encuentran en los diferentes entes, que son partícipes de las diferentes mesas de trabajo, con las cuales se conformó el Plan Regional de Competitividad.</t>
  </si>
  <si>
    <t>A la fecha no se hab adelantado gestiones para la puesta en marcha del FONDO PARA EL DESARROLLO DEL QUINDIO.</t>
  </si>
  <si>
    <t>1 Programa</t>
  </si>
  <si>
    <t xml:space="preserve">Se elaboró el diagnóstico del sector exportador en el Departamento del Quindío como insumo para el Plan de Negocios Internacionales del Departamento. También se elaboró un resúmen ejecutivo sobre el Plan Estratégico Exportador.A la fecha se encuentra formulado el Plan en un 30%, 20 del 2013 y 10%  del 2012.
</t>
  </si>
  <si>
    <t>51 Empresarios vinculados a procesos de intercambio de conocimientos con el exterior.</t>
  </si>
  <si>
    <t>3 Municipios con asistencia técnica brindada.</t>
  </si>
  <si>
    <t>La formulación corresponde al 50% de la meta. Se ha recopilado información secundaria sobre la  Marca Quindío; se tiene el estudio de planes de marketing exitosos en el país; se realizó el diagnóstico, antecedentes, marco teórico, marco conceptual, objetivos y recomendaciones del plan de marketing territorial. Realización de mesas de trabajo en el municipio de Circasia, Génova y Buenavista</t>
  </si>
  <si>
    <t>2 Espacios de promoción económica del Departamento gestionados.</t>
  </si>
  <si>
    <t xml:space="preserve">El PECTI se encuentra en  ejecución, por parte de TICs de la Secretaría Administrativa. </t>
  </si>
  <si>
    <t xml:space="preserve">No se apoyaron proyecots de investigación aplicada, para  cofinanciación con COÑCIENCIAS. </t>
  </si>
  <si>
    <t>10 municipios fortalecidos.</t>
  </si>
  <si>
    <t>10 municipios acompañados.</t>
  </si>
  <si>
    <t>10 municipios apoyados.</t>
  </si>
  <si>
    <t>1 sector con el programa TICs para la competitividad.</t>
  </si>
  <si>
    <t xml:space="preserve">10 municipios con asistencia técnica. </t>
  </si>
  <si>
    <t>El Plan de Promoción Turística, se encuentra formulado y validado, en proceso de ejecución A la fecha registra un avance del 55%, 15 en el 2012 y 40 en el 2013.</t>
  </si>
  <si>
    <t>5 productos y/o servicios turísticos consolidados.</t>
  </si>
  <si>
    <t xml:space="preserve">El Sistema Único de Información Turística, ha sido mejorado en un 30%, teniendo en cuenta que el 10% programado en el 2012, no fue cumplido. </t>
  </si>
  <si>
    <t>15 empresarios del sector Turístico que incorporan TICs.</t>
  </si>
  <si>
    <t>2 proyectos aprobados de infraestructura y señalización turística.</t>
  </si>
  <si>
    <t>9 municipios asistidos y apoyados técnicamente en iniciativas de marketing territorial con base en la gestión y promoción sustentable del paisaje.</t>
  </si>
  <si>
    <t xml:space="preserve">El Plan de Control de Calidad Interinstitucional, se encuentra formulado, pendiente del concepto de Planeación. Ala fecha la meta registra un avance del 45%, el 15% en el 2012  y el 30% en el 2013. </t>
  </si>
  <si>
    <t>Se ha sensibilizado a los gerentes de las empresas de transporte de Willys, acerca de la importancia de la asociatividad; se han gestionado para capacitaciones  y talleres para la población piloto (40 Yiperos). Se realizó el inventario de los posibles empresarios que integraran la red empresarial.</t>
  </si>
  <si>
    <t>1 Modelo de negocio elaborado e implementado.</t>
  </si>
  <si>
    <t>3 sectores relacionados con la cadena productiva del turismo, capacitados.</t>
  </si>
  <si>
    <t>Esta Meta no fue programada para el 2013.</t>
  </si>
  <si>
    <t>7 actividades que contribuyen a la creación y/o fortalecimiento de líneas de producto en las modalidades de turismo apoyadas.</t>
  </si>
  <si>
    <t>2 procesos ambientalmente amigables incorporados.</t>
  </si>
  <si>
    <t>En el 2013, se logró un avance del 30%, porcentaje que sumado al 10% ejecutado en el 2012, consolida un total de logro del 40%. Se ha diseñado la ruta de atención a jovenes en situación de farmacodependencia, siendo éste un insumo importante para el diseño e implmentacion del Programa de Orientación preventiva, para mejorar la percepción del riesgo y disminuir la actitud permisiva de la comunidad frente al consumo de sustancias lícitas e ilícitas.</t>
  </si>
  <si>
    <t xml:space="preserve">La formulación de la Política Pública de EQUIDAD DE GENERO,  registra un avance del 40%, más el 10% del 2012, consolida un avance para los dos años del 50%. </t>
  </si>
  <si>
    <t>Se registró un incremento de 2 Oportunidades oportunidades rurales para las mujeres.</t>
  </si>
  <si>
    <t>Se apoyó 1 Proyecto de Fomento de la producción cafetera con mujeres rurales.</t>
  </si>
  <si>
    <t>Se Promovieron accione de capacitación y sensibilización para la prevención de la violencia contra la mujer, en los 12 municipios</t>
  </si>
  <si>
    <t>Se apoyaron 12 Consejos municipales de mujer.</t>
  </si>
  <si>
    <t>Se presenta un avance del 30%, más el 10% del 2012, consolida un total del 40%., el cual se encuentra representado en: - Nombramiento de las Juntas Directivas de algunos Consejos Comunitarios Municipales. - Construcción de un cronograma de actividades para los Consejos Comunitarios.- Revisión del documento borrador del Consejo Departamental de Mujeres.</t>
  </si>
  <si>
    <t>Se firmo un Convenio Interadministrativo con el Resguardo Indigena  DACHI AGORE DRUA y el Departamento del Quindio No. 200 de 2013, consistente en seguridad alimentaria y proyecto productivo.</t>
  </si>
  <si>
    <t>Se encuentra en u n 30% elaborado el estudio  de caracterización de la población indígena asentada en el departamento del Quindío.</t>
  </si>
  <si>
    <t>Se cumplio con la primera fase del Convenio realizado con la Unversidad del Quindío, en la elaboración del instrumento para recolectar la información. Se han hecho encuestas en los municipios de: Montenegro, La Tebaida, Calarcá y Asentamientos de Armenia.</t>
  </si>
  <si>
    <t>Se elaboró el diseño del sistema de información de afro descendiente en el Quindío.</t>
  </si>
  <si>
    <t>Se apoyaron 3 Unidades Productivas, de las comunidades afro descendientes del Departamento.</t>
  </si>
  <si>
    <t>1 Proyecto diseñado para el fortalecimiento y recuperación de la identidad cultural de la población afro descendiente del departamento.</t>
  </si>
  <si>
    <t>Se apoyó el Plan de Desarrollo de la comunidad Afro Descendiente del Departamento del Quindío,  con énfasis en cultura, educación y salud.</t>
  </si>
  <si>
    <t>Se diseñó e implemenór un proyecto de formación, conocimiento y organización de las personas afro descendientes y las organizaciones de base afro descendiente del Departamento del Quindío.</t>
  </si>
  <si>
    <t xml:space="preserve">Se registra para el 2013, un avance del 30%, los que sumados al 10% del 2012, totalizan el 40%, con respecto a la Política Departamental de DISCAPACIDAD. </t>
  </si>
  <si>
    <t xml:space="preserve">Existe un sistema Integrado de Registro Nacional de localización y  caractertización de personas con discapacidad del Ministerio de Salud y Proteccion Social, implementandose una base generadora de datos de cada municipio. - La Secretaría ha realizado la identificación de las personas con DISCAPACIDAD, que aún no estan caracterizadas y de acuerdo a su ubicación se ha enviado al municipio correspondiente. Este avance esta representado para el 2013 en el 30%. </t>
  </si>
  <si>
    <t>4 Organizaciones apoyadas, que presenten atención a población con capacidades diferentes.</t>
  </si>
  <si>
    <t>13 Comités de Discapacidad fortalecidos.</t>
  </si>
  <si>
    <t xml:space="preserve">Se registra un avance del 40% en la implementación del Programa de fortalecimiento del núcleo familiar de la población con capacidades diferentes, el 10% en el 2012 y el 30 en el 2013. </t>
  </si>
  <si>
    <t xml:space="preserve">Se registra un avance del 40% en la implementación del Programa de Rehabilitación  basada en comunidad  RBC, en el Departamento del Quindío, con capacidades diferentes, el 10% en el 2012 y el 30 en el 2013. </t>
  </si>
  <si>
    <t xml:space="preserve">Se realizaron  4 Consejos de Política Social, en los cuales participaron niños, niñas, adolescentes y jóvenes  a través del Gabinete de Infantil, y el delegado como representante de los estudiantes: Asi mismo se logró la promoción y reactivación de los Gobiernos Escolares, quienes participaron activamente en la construcción de la Política Pública del Departamento, cumpliendo así con la categoría de CIUDADANÍA. </t>
  </si>
  <si>
    <t>54 Instituciones Publicas con gobiernos escolares operando.</t>
  </si>
  <si>
    <t>No se reportan daros de casos denunciados por maltrato en niños, niñas y adolescentes entre 0 y 17 años.</t>
  </si>
  <si>
    <t>No se reportan datos de casos de denuncia por abuso sexual en niños, niñas y adolescentes.</t>
  </si>
  <si>
    <t>No se reportan valoraciones médico legales por presunto delito de maltrato infantil.</t>
  </si>
  <si>
    <t>Meta no programada para el 2013.</t>
  </si>
  <si>
    <t>Se apoyo 1 Programa dirigido a la formación integral de los niños, niñas y adolescentes (14 a 17 años) infractores del Departamento.</t>
  </si>
  <si>
    <t>3 comités apoyados</t>
  </si>
  <si>
    <t xml:space="preserve">Se apoyaron 2  HOGARES DE PASO, con insumos para la atencion de NNA para el proceso de restablecimiento de derechos
</t>
  </si>
  <si>
    <t>Se apoyó el Comité Departamental de Erradicación del trabajo infantil (CETI), en un 40%.</t>
  </si>
  <si>
    <t>No se registran datos de niños, niñas y adolescentes que trabajan 15 horas o más en oficios del hogar.</t>
  </si>
  <si>
    <t>1 Programa creado y apoyado</t>
  </si>
  <si>
    <t>No se ha formulado el Plan Plan de Acción Departamental que ponga en marcha la ruta de prevención urgente y la ruta de protección en prevención.</t>
  </si>
  <si>
    <t>No se reportan datos de adolescentes entre 14 y 17 años infractores de la ley penal reincidentes.</t>
  </si>
  <si>
    <t>No se reportan datos de  adolescentes entre 14 y 17 años privados de libertad procesados conforme a la ley.</t>
  </si>
  <si>
    <t>Se formuló, disaeñó, actualizó el l diagnóstico y validó la plataforma estrategica de la politica y    proyeccion económica y por competencias, con planes de desarrollo municipales.Se queda a la espoera de que la Asamblea Departamental, apruebe la Política Pública de IPRIMERA INFANCIA, NFANCIA y ADOLESCENCIA.</t>
  </si>
  <si>
    <t>Se registra para el 20113, un avance del 30%, en la formulación de la Política pública de juventud departamental, con el apoyo del sistema departamental de juventud.</t>
  </si>
  <si>
    <t>Está pendiente la adopción por acto administrativo, de la Asociación Departamental de  Jovenes Empresarios, para vincularlos formalmente a la Red, de acuerdo a la Ley 1014 del 2006.</t>
  </si>
  <si>
    <t xml:space="preserve">Se implementó la estrategia de participacion presidencial GOLOMBIAO, con  el acompañamiento del programa Presidencial COLOMBIA JOVEN, en todo el Departamento. </t>
  </si>
  <si>
    <t>3 Acciones implementadas</t>
  </si>
  <si>
    <t xml:space="preserve">Se estructuraron los estatutos del Centro Ideológico; se realizó el Plan de Medios; se consolidó el primer ciclo de formación y se encuetnra lista la base de datos de las personas que van a estar en dicho proceso. Avance el 40%. </t>
  </si>
  <si>
    <t xml:space="preserve">El Plan se encuentra construido por el Observatorio Nacional de Ciencia, Tecnología e Innovación. Se apoyaron 200 proyectos innovadores con 2000  niños y adolescentes beneficados por asesoria, consolidación y ejecucion de proyectos y partidas presupuestales. Este proceso se realizó en convenio con la Universidad del Quindío.
</t>
  </si>
  <si>
    <t>1 Programa de fomento de la ciencia, la tecnología y la innovación en ejecución.</t>
  </si>
  <si>
    <t>125 niños, niñas y adolescentes vinculados a proyecto de innovación.</t>
  </si>
  <si>
    <t xml:space="preserve">Se realizaron  dos (2) Convenios con la Fundación APRENDIENDO A VIVIR y CIMCA. 
</t>
  </si>
  <si>
    <t>Se realizó una campaña, un ciclo de cine en los municipios de Armenia, Córdoba, Calarcá, Montenegro, Quimbaya, Circasia.</t>
  </si>
  <si>
    <t>Se apoyó el proyecto producttivo de la mesa municipal de  LGTBI de Córdoba y de Pijao. Se han apoyado dos (2) empresas, de DISEÑO y  de ARTESANIA de poblacion LGTBI, en la Rueda de Negocios, en la Rueda Empresarial de la Semana de Emprendimiento y en la Feria Cultural, Artistico y Empresarial de poblaicon LGTBI.2 Acciones promovidas</t>
  </si>
  <si>
    <t>Se apoyó el componente de pol{itica: - Implementación del programa "FAMILIAS FIRMES", en Instituciones Educativas de los Municipios de Armenia, Calarcá, La Tebida, Montenegro, Circasia, Filandia y Quimbaya. Se apoyó la implementación de la estrategia  CAFI en los Municipios de Armenia, La Tebaida, Calarcá, Quimbaya, Circasia y Montenegro, a través de orientación pedagóica a niños, niñas y adolescentes.</t>
  </si>
  <si>
    <t>En  vigencia 2013 se crearon los programas de: "FAMILIAS QUINDIANAS EN CARNAVAL UNA RAZON PARA SOÑAR", -"ECOMUNDO FAMILIAR",  "FAMILIAS FIRMES" y "DELINQUIR NO PAGA", dirigido a poblaicones vulnerables del departamento del Quindío. Se entregaron 72.086    elementos ludicos didácticos y recreativos, a NNA vulnerables del Departamento del Quindío a través del desarrollo de los programas: FAMILIAS QUINDIANAS EN CARNAVAL y UNA RAZON PARA SOÑAR, en la época decembrina.</t>
  </si>
  <si>
    <t>No se registraron datos de adultos mayores beneficiados con programas sociales, de generación de ingresos y atención integral..</t>
  </si>
  <si>
    <t xml:space="preserve">Por problemas de carácter legal no se apoyaron, CBA. </t>
  </si>
  <si>
    <t>Se avanzó en un 20% en el implementación del Plan de acompañamiento al ciudadano migrante. (El que sale y el que retorna).</t>
  </si>
  <si>
    <t xml:space="preserve">El plan de acompañamiento para el empleo en el exterior  en escenarios corresponsables de cooperación internacional, fue formulado en un 10%. </t>
  </si>
  <si>
    <t>8 capacitaciones realizadas.</t>
  </si>
  <si>
    <t>Esta meta registra un avance de tan solo el 10%, del Archivo adecuado de acuerdo a la Normatividad vigente. Se adquireron equipos de computo que fortalecio el proceso de actualización del software Sevener - ventanilla unica;  Dicha adquisición incluye impresora, impresora de sticker y escanner.  También se contrato servicios asistenciales de apoyo de las comunicaciones oficiales.</t>
  </si>
  <si>
    <t>No se registran datos de niños, niñas y adolescentes que participan en una actividad remunerada o no. El cuimplimiento de la meta depende  de forma exclusiva de los datos oficiales a cierre de vigencia 2013, del ICBF, MEDICINA LEGAL, DEFENSORIA DEL PUEBLOI Y FISCALIA GENERAL DE LA NACION.</t>
  </si>
  <si>
    <t>No se reportan datos de niños, niñas y adolescentes entre 14 y 17 años infractores de la ley penal vinculados a procesos judiciales. 
El cumplimiento de la meta depende  de forma exclusiva de los datos oficiales a cierre de vigencia 2013, del ICBF, MEDICINA LEGAL, DEFENSORIA DEL PUEBLOI Y FISCALIA GENERAL DE LA NACION.</t>
  </si>
  <si>
    <t>En la vigencia 2013, se implementó el pago en linea, ajustado al modulo de transparencia.</t>
  </si>
  <si>
    <t>Soporte aplicaciones, adquisición de equipos, soporte técnico y/o´ profesional, adquisición de servidores.</t>
  </si>
  <si>
    <t>4 fueron los componentes del Ecosistema Digital al servicio de la Administracion Departamental., así: Implementación del Aplicativo SEVENET; capacitación y apropiación TIC; adquisición de equipos tecnológicos; servicios ofrecidos, PCT, humanos entre otros.</t>
  </si>
  <si>
    <t>El avance en la meta para el año 2013 del 10%  correspondiente a la actualización en el registro de los bienes devolutivos.</t>
  </si>
  <si>
    <t>Se coofinanciaron 2 subsidios para la construccion de vivienda nueva en el proyecto denominado CAMINO REAL en el Municipio de la Tebaida.                                                                  Se coofinanciaron 48 subsidios de vivienda proyecto de vivienda: Fundadores en el Municipio de Filandia.</t>
  </si>
  <si>
    <t xml:space="preserve">Se realizan 727 mejoramientos de vivienda en los siguientes municipios de Armenia, Buenavista, Calarca, Circasia, Cordoba, Genova, Filandia, Montenegro, Quimbaya, La Tebaida, Quimbaya, Salento y se cofinancio con ANSPE la interventoria para el mejoramiento de 194 viviendas en los municipios de ARMENIA Y LA TEBAIDA por el sistema de autoconstruccion.                                                                                                              </t>
  </si>
  <si>
    <t>Se apoyaron los 12 Municipios en obras de infraestructura, equipamiento colectivo y comunitario.</t>
  </si>
  <si>
    <r>
      <t xml:space="preserve">Gestionar y/o ejecutar obras de infraestructura, equipamiento colectivo y comunitario. 
</t>
    </r>
    <r>
      <rPr>
        <b/>
        <sz val="11"/>
        <color indexed="8"/>
        <rFont val="Arial"/>
        <family val="2"/>
      </rPr>
      <t xml:space="preserve">Modificada mediante DECRETO 0839 del 1 de agosto de 2012. </t>
    </r>
  </si>
  <si>
    <r>
      <t xml:space="preserve">Numero de municipios apoyados
</t>
    </r>
    <r>
      <rPr>
        <b/>
        <sz val="11"/>
        <color indexed="8"/>
        <rFont val="Arial"/>
        <family val="2"/>
      </rPr>
      <t xml:space="preserve">Modificada mediante DECRETO 0839 del 1 de agosto de 2012. </t>
    </r>
  </si>
  <si>
    <t>No se programó esta Meta para el 2013.</t>
  </si>
  <si>
    <t xml:space="preserve">8 Instituciones educativas  y 8 sedes mantenidas y rehabilitadas:  </t>
  </si>
  <si>
    <t>Se realizó mantenimiento y rehabilitacion de escenarios deportivos y recreativos  discriminados asi: ARMENIA:  Escenario deportivo Barrio El Placer, Escenario Deportivo Barrio El Popular, Parque infantil Barrio la Adiela, y cancha de futbol Barrio La Pavona,  cancha multiple barrio Universal, Salazar, Simon Bolivar, Coinca, La fachada, la Virginia y Mercedes del Norte , Polideportivo el Cafetero. PIJAO:  Cancha Barrio el Paraiso y Coliseo Alterno</t>
  </si>
  <si>
    <t>2,35 kmsconstruidos, mejorados y rehabilitados de la red vial secundaria.</t>
  </si>
  <si>
    <t>170,87 km con  mantenimiento en la red vial secundaria.</t>
  </si>
  <si>
    <t>12 municipios con emergencias viales  apoyados.</t>
  </si>
  <si>
    <t>6 estudios y diseños y 15 asesorías, apoyo técnico y administrativo  para la ejecución del plan vial departamental,</t>
  </si>
  <si>
    <t>Esta Meta no fue programada para la vigencia 2013.</t>
  </si>
  <si>
    <t>Ejecución de 1 obra complementaria para la conservación de la red vial del Departamento del Quindío, así: construcción obras  de contención  y estabilización para  la vía Quimbaya-paraíso- Filandia, cod.29bqn05, Municipio de  Filandia, Departamento del Quindío.</t>
  </si>
  <si>
    <t xml:space="preserve">Se ha mantenido la unidad para la gestoría, que se encarga de implementar acciones técnicas, administrativas, financieras, legales y ambientales para el desarrollo del plan departamental de aguas del Quindío </t>
  </si>
  <si>
    <t>Se mantuvo el IRCA en 2%, através del Convenio Interadministrativo entre el Departamento del  Quindío y la EMPRESA SANITARIA DEL QUINDÍO “ESAQUIN S.A.  E.S.P", No. 03,  para adelantar los proyectos de obra pública de optimización de las plantas de tratamiento de agua potable de los municipios de Filandia, Quimbaya y Génova del Departamento del Quindío.</t>
  </si>
  <si>
    <t>Se gestionó hasta en 98,30% el aumento de la proporción de la población urbana con acceso a métodos de abastecimiento de agua adecuados.</t>
  </si>
  <si>
    <t>No se registra % de aumento de la proporción de la población rural con acceso a métodos de abastecimiento de agua adecuados.</t>
  </si>
  <si>
    <t>No se registra %  el aumento en cobertura del tratamiento de aguas residuales domésticas.  de Aguas Tratadas.</t>
  </si>
  <si>
    <t xml:space="preserve">Se  gestionó el aumento  de la cobertura de la población urbana hasta el 95,52%  con acceso a métodos de saneamiento adecuado. “Convenio Interadministrativo No. 02, suscrito  entre el departamento del Quindío y ESAQUIN S.A. E.S.P. para ejecutar  los proyectos de obra  pública de optimización de redes de acueducto y alcantarillado el departamento del Quindío”.   </t>
  </si>
  <si>
    <t xml:space="preserve">No se registra a % de aumento en la Cobertura  Rural, por acato a la Función de Advertencia de la Contraloría General de la República </t>
  </si>
  <si>
    <t xml:space="preserve">No se registra avance en el cumplimiento de esta Meta. </t>
  </si>
  <si>
    <t xml:space="preserve">No se registra el % de IANC. Se está a la espera de los reportes del Sistema Único de Información - SUI, por parte del Operador.    </t>
  </si>
  <si>
    <t>% de IANC.</t>
  </si>
  <si>
    <t xml:space="preserve">No se registra avance, por cuanto los procesos contractuales que aseguran el fortalecimiento de 2 Empresas Prestadoras de servicios públicos domiciliarios,  ESAQUIN y ESACOR , quedqron en Reserva Presupuestal y en CDP en Página respectivamente. </t>
  </si>
  <si>
    <t xml:space="preserve">Esta Meta no fue programada para la vigencia 2013.No obstante se suscribió el  Convenio CUR 076 de 2012,  Entre el Ministerio de Ambiente, Vivienda y Desarrollo Territorial hoy Ministerio de Vivienda, Ciudad y Territorio y el Departamento. Para los "Estudios de viabilidad del proyecto embalse del Quindío", el que a la fecha de corte quedo en Reserva Presupuestal. </t>
  </si>
  <si>
    <t xml:space="preserve">Se mejraró y rehabilitó la infraestructura de una  edificación educativa del Departamento del Quindío, así: "Ampliación aula de sistemas Institución Educativa Antonia Santos del Municipio de Quimbaya (Quindío).    </t>
  </si>
  <si>
    <t>No se registra avance par esta meta en la vigencia 2013.</t>
  </si>
  <si>
    <t>2 instituciones de salud pública y bienestar social mejoradas y rehabilitadas, así: Adecuación y mejoramiento de las baterías sanitarias  del hospital la misericordia del municipio de Calarcá (Quindío) y Obras de mejoramiento  de las baterías sanitarias  del hospital San Vicente de Paúl del municipio de Génova (Quindío)</t>
  </si>
  <si>
    <t xml:space="preserve">Mejoramiento y rehabilitación de 2 escenarios deportivos y recreativos del Departamento del Quindío, así: construcción de gimnasio al aire libre y adecuación parque malecón en el Municipio de Pijao, Departamento del Quindío. Adecuación  áreas recreativas mediante la construcción de  gimnasio al aire libre en el parque de recreación del mirador del Municipio de Buenavista Quindío.   
                                             </t>
  </si>
  <si>
    <t>Mejoramiento y rehabilitación de 3 instituciones de seguridad y justicia en el Departamento del Quindío</t>
  </si>
  <si>
    <t>6 equipamientos y/o espacios para el desarrollo turístico y cultural, mejorados y rehabilitados.</t>
  </si>
  <si>
    <t>No se registra avance en esta Meta, para la vigencia 2013,</t>
  </si>
  <si>
    <t xml:space="preserve">Se apoyaron 9 proyectos estratégicos municipales de impacto regional, financiados con REGALÍAS. </t>
  </si>
  <si>
    <t>Convenio  con la Promotora de Vivienda para aunar esfuerzos para la materialización de obras en equipamientos colectivos  y comunitarios en los Municipios del Departamento del Quindío. Convenios con los Municipios y ESAQUIN.</t>
  </si>
  <si>
    <t xml:space="preserve">
25 asistencia técnica y logística a estudios, asesorías y diseños de equipamientos de infraestructura pública para el desarrollo social, </t>
  </si>
  <si>
    <t xml:space="preserve">1 construcción de redes de saneamiento básico y agua potable para vivienda nueva y/o ampliación de cobertura. convenio interadministrativo. </t>
  </si>
  <si>
    <t>30 escuelas deportivas apoyadas.</t>
  </si>
  <si>
    <t>10 juegos inter-colegiados realizados y/o eventos.</t>
  </si>
  <si>
    <t>2 eventos realizados</t>
  </si>
  <si>
    <t>16  ligas apoyadas.</t>
  </si>
  <si>
    <t>5 ligas apoyadas.</t>
  </si>
  <si>
    <t>4 programas ejecutados.</t>
  </si>
  <si>
    <t>RESULTADOS 
OBTENIDOS</t>
  </si>
  <si>
    <t xml:space="preserve">Se realizó un Convenio Interadminsitrativo con el DPS, para el tema de Seguridad Alimentaria, bebeficiandose los Cabildos Indígenas de Calarcá, Córdoba y Buenavista. Se otorgaron 30 subsidios para arreglo de vivienda  para 10  Cabildos y un Resguardo. </t>
  </si>
  <si>
    <t>No se registran datos estadisticos de niños, niñas y adolescentes entre 14 y 17 años infractores de la ley penal vinculados a procesos judiciales. 
El cumplimiento de la meta depende  de forma exclusiva de los datos oficiales a cierre de vigencia 2013, del ICBF, MEDICINA LEGAL, DEFENSORIA DEL PUEBLOI Y FISCALIA GENERAL DE LA NACION.</t>
  </si>
  <si>
    <t>4 Actores vinculados al nodo de información geográfica e  infraestructura de datos espaciales del Quindío: Alcaldías de Córdoba, Montenegro y Quimbaya, Universidad La Gran Colombia.</t>
  </si>
  <si>
    <t>11 Planes de ordenamiento territorial apoyados para la inclusión de  directrices de manejo del PCC.</t>
  </si>
  <si>
    <t>12 Municipios asistidos en el ordenamiento sostenible de usos productivos en suelo urbano y rural.</t>
  </si>
  <si>
    <t xml:space="preserve">Se ajustó el Plan Táctico ajustado. Se rediseño y difundió el Mapa de Procesos acorde al decreto 00768 de 2012. </t>
  </si>
  <si>
    <t xml:space="preserve">Se expedieron los Decretos 0084 y  0085 de 2013 por medio del cual se definen los roles del SIGA Se dictó  capacitación a 16 procesos frente a la Cultura de la Calidad, Operación del SIGA e Indicadores de Gestión. </t>
  </si>
  <si>
    <t xml:space="preserve">3 Sectores y productos promocionados. </t>
  </si>
  <si>
    <t>1 Oficina de atención al quindiano implementada.</t>
  </si>
  <si>
    <t>4 Estrategia implementada y desarrolladas.</t>
  </si>
  <si>
    <t xml:space="preserve">2070 horas de atención a la comunidad, expresadas a través de las diferentes actividades ejecutadas por la Señora Gobernadora y su Equipos de Gobierno. </t>
  </si>
  <si>
    <t>Se dio cumplimiento al PROGRAMA DE SANEAMIENTO FISCAL, para el Sector Salud, con una transferencia de $7.717.318.721, toda ella con destino al Instituto Seccional de Salud en Liquidación. El Programa de Saneamiento Fiscal terminó en Diciembre de 2013, conforme lo dispuso la Asamblea Departamental.</t>
  </si>
  <si>
    <t xml:space="preserve">Se realizaron 2 seguimientos, a través del estudio de negociación del Pliego de solicitudes, por parte de los dos SINDICATOS: SINTRADEPARTAMENTAL QUINDIO: (Empleados Departamentales) y SINTRENAL: (Administrativos Educación). </t>
  </si>
  <si>
    <t xml:space="preserve">Se realizaron 43 encuentros, con Entidades Públicas, Privadas y comunidad en general.  </t>
  </si>
  <si>
    <t>24 instituciones apoyada, 12 Públicas y 12 Privadas.</t>
  </si>
  <si>
    <t xml:space="preserve">Se gestionó por parte de la Gobernadora, para el financiamiento de proyecto, la suma de $48.627.340.104,17 y en especie la suma de $1.381.331.507,17, para un total de $50.008.671.611,34. </t>
  </si>
  <si>
    <t>1 proyecto  apoyado.</t>
  </si>
  <si>
    <t>1 Convenio en ejecución para consecución y/o suministro de material de propagación.</t>
  </si>
  <si>
    <t>1 proyectos de mejora en centros de abastecimiento urbano municipales que reciben asistencia técnica.</t>
  </si>
  <si>
    <t>LUIS FERNANDO ECHEVERRY PARRA</t>
  </si>
  <si>
    <t xml:space="preserve">JORGE IVAN PUERTA JARAMILLO </t>
  </si>
  <si>
    <t xml:space="preserve">JULIO ERNESTO OSPINA GOMEZ </t>
  </si>
  <si>
    <t xml:space="preserve">JJULIO ERNESTO OSPINA GOMEZ </t>
  </si>
  <si>
    <t>WILFREDY JARAMILLO TORO</t>
  </si>
  <si>
    <t>GLORIA INES GUIERREZ MEJIA</t>
  </si>
  <si>
    <t>23 (ACPM) 
20 (R.O)</t>
  </si>
  <si>
    <t>162. Mantenimiento y mejoramiento de las vías terciarias en jurisdicción del Departamento del Quindío. Convenio INVIAS, 2708/2012.</t>
  </si>
  <si>
    <t>163. Mantenimiento y mejoramiento de las vías terciarias en jurisdicción del Departamento del Quindío. Convenio INVIAS, 2709/2012.</t>
  </si>
  <si>
    <t>164. Mantenimiento y mejoramiento de las vías terciarias en jurisdicción del Departamento del Quindío. Convenio INVIAS, 2710/2012.</t>
  </si>
  <si>
    <t xml:space="preserve">Mantenimiento y mejoramiento de las vías terciarias en jurisdicción del Departamento del Quindío. </t>
  </si>
  <si>
    <t xml:space="preserve">Estudio de Suelos, Geotecnia y Diseño.
Rehabilitación de estructura de rodadura con material granulado en un tramo de 74kms
Gastos de Mantenimiento.
</t>
  </si>
  <si>
    <t>Estos Proyectos quedaron en proceso de ejecución</t>
  </si>
  <si>
    <t>134. Fortalecimiento  de participación social y comunitaria de los grupos vulnerables en el departamento del Quindío.</t>
  </si>
  <si>
    <t>173. Asistencia a desplazados en el Quindío.</t>
  </si>
  <si>
    <t>178. Fortalecimiento de la promoción social con enfoque diferencial en el Quindío..</t>
  </si>
  <si>
    <t>Prestación de servicios de salud</t>
  </si>
  <si>
    <t>Compra de ayudas tecnicas.
Conformacion de los Concejos  Departamentales, municipales de Adulto Mayor.
Aplicación, seguimiento y monitoreo de los estandares de calidad en los Centros que brinden servicios a las personas mayores.
Acciones de fortalecimiento, articulación, educación, inspección, vigilancia, control, asistencia  y promoción social para la población victima del conflicto armado.</t>
  </si>
  <si>
    <t xml:space="preserve">Asistencia a las personas Desplazadas por la Violencia, que llegan al Quindío. </t>
  </si>
  <si>
    <t>183. Aportes para vectores funcionamiento en el Quindío.</t>
  </si>
  <si>
    <t>181. Prevención de la Tuberculosis.</t>
  </si>
  <si>
    <t>182. Prevención de la Lepra en el Quindío.</t>
  </si>
  <si>
    <t>Servicios Profesionales, Técnicos y/o Entidades.</t>
  </si>
  <si>
    <t>Servicios Profesionales, Técnicos y/o Entidades.
Compra de insumos y reactivos programa de TBC</t>
  </si>
  <si>
    <t>Fortalecimiento del área de salud a través de la contratación de un profesional en el tema.</t>
  </si>
  <si>
    <t>195. Fortalecimiento estrategia de gestión integral vectores y cambio climático.</t>
  </si>
  <si>
    <t>184. Aportes para Vectores e inversión, fenómeno de la Niña en el Quindío.</t>
  </si>
  <si>
    <t>Elaboración de mapas de riesgo.
Adquisición de insumos, equipos y elementos de laboratorio y de trabajo.
Mantenimiento y/o insumos, logística operacional.</t>
  </si>
  <si>
    <t>Promoción, prevención e inteligencia epidemiológica y reducción de la letalidad por Dengue.
Promoción de la Salud, Prevención de la mortalidad y capacitación de la metodología COMBI.</t>
  </si>
  <si>
    <t>170. Control Vectores de inversión departamento del Quindío.</t>
  </si>
  <si>
    <t>Adquisición vehículo para la realización de acciones operativas del programa de prevención, vigilancia y control de Vectores.
Elaboración de mapas de riesgo.
Adquisición de equipos y elementos de trabajo de Laboratorio.
Mantenimiento y/o apoyo logístico.</t>
  </si>
  <si>
    <t>180. Fortalecimiento de acciones en salud infantil en el Quindío.</t>
  </si>
  <si>
    <t>174. Prevención de la salud y vigilancia en salud publica en el Quindío.</t>
  </si>
  <si>
    <t>Servicio Tecnico y/o Profesional.
Apoyo Logistico.</t>
  </si>
  <si>
    <t>Servicios Profesionales
Apoyo a la gestión.
Dotación de las salas de infección respiratoria aguda.
Convenio Universidad del Quindio.</t>
  </si>
  <si>
    <t>137. Control y vigilancia en las acciones de intervención inherentes a  la Salud Publica Quindío.</t>
  </si>
  <si>
    <t>Fortalecimiento y apoyo al tejido social.
Estrategia de información, educación y comunicación.
Compra de refrigeradores para conservación de biológicos y contratación de esterilización Canina.
Contratación de monitoreo, seguimiento AIEPI comunitario y clínico y vacunación.
Fortalecimiento del área de salud a través de la contratación de un profesional con experiencia  en el tema.
Contratación  de Profesional para posicionar el Programa Nacional de Actividad Física "COLOMBIA ACTIVA Y SALUDABLE".
Prestación de servicios para apoyo en el fortalecimiento del modelo de servicios de salud amigables para jóvenes.
Alquiler de transporte para realizar visitas de IVC  y mantenimiento de equipos de la red de frio.
Contratación de monitoreo de acciones de P y D y recurso humano de nutrición. 
Acciones de IVC.</t>
  </si>
  <si>
    <t>161. Gestión para el desarrollo operativo y funcional, del plan departamental de salud pública.</t>
  </si>
  <si>
    <t xml:space="preserve">Realizar seguimiento al cumplimiento de las normas técnicas para atención segura del binomio madre- hijo en las ESE, del Departamento del Quidío. </t>
  </si>
  <si>
    <t>192. Control salud ambiental Fondo Rotatorio de Estupefacientes Departamento del Quindío.</t>
  </si>
  <si>
    <t>138. Control Salud Ambiental Departamento del Quindío.</t>
  </si>
  <si>
    <t>160, Fortalecimiento de las actividades de vigilancia y control, en el laboratorio de Salud Pública, en el Departamento del Quindío.</t>
  </si>
  <si>
    <t>156. Gestión para el desarrollo operativo y funcional, del Plan Departamental de Salud Pública.</t>
  </si>
  <si>
    <t>193. Fortalecimiento de la capacidad operativa del Laboratorio Departamental de Salud Pública Quindío.</t>
  </si>
  <si>
    <t>Compra de insumos, medios, reactivos y equipos para realizar los análisis de alimentos y bebidas alcohólicas en el Laboratorio Departamental de Salud Pública.
Resurso Humano.</t>
  </si>
  <si>
    <t>Plan de medios. Fichas y materiales impresos. 
Servicio técnico y/o profesional con experiencia y experticia en el tema.
Compra de insumos para el control de roedores (RODENTICIDAS).
Viáticos y acción de Plan Decenal de Salud Pública. 
Compra de equipos de laboratorio, insumos, reactivos, mantenimiento y calibración de equipos. 
Compra de equipos de cómputo.
Servicio técnico y/o profesional en las áreas de salud oral, TBC y Lepra, AIEPI.</t>
  </si>
  <si>
    <t>Fortalecimiento del Recurso Humano en Acciones de Calidad para el Laboratoriao.</t>
  </si>
  <si>
    <t>Aumentar las visita de I.V.C. en los establecimientos del departamento que manejan sustancias potencialmente tóxicas.</t>
  </si>
  <si>
    <t>141. Asistencia atención a las personas y prioridades en salud publica en el Quindío.</t>
  </si>
  <si>
    <t>167. Plan de Intervenciones Colectivas. (PIC)</t>
  </si>
  <si>
    <t>155. Asistencia y atención a la vigilancia en Salud Publica en el Quindío..</t>
  </si>
  <si>
    <t>Planta de personal garantizada.</t>
  </si>
  <si>
    <t>Prestación de Servicios de Salud para el desarrollo del Plan de Salud pública de Intervenciones Colectivas.</t>
  </si>
  <si>
    <t>Monitoreo de coberturas de vacunación a menores de 5 años.
Fortalecimiento del Sistema de Informacion.
Fortalecimiento del Talento Humano.
Servicios tecnico y/o profesional.</t>
  </si>
  <si>
    <t>142. Fortalecimiento y promoción de la salud, una razón más para sonreír en el Departamento del Quindío.</t>
  </si>
  <si>
    <t>175. Prevención en Salud Mental en el Quindío.</t>
  </si>
  <si>
    <t>Desarrollar acciones de asistencia técnica y prevención de los factorres de riesgo en la población del Quindío: Alertas tempranas, consumo de sustancia Psicoactivas.</t>
  </si>
  <si>
    <t>Desarrollar y Fortalecer las actividades, procedimientos e intervenciones de promoción de la salud y prevención primaria en Salud Mental en el departamento del Quindío.</t>
  </si>
  <si>
    <t>143. Fortalecimiento promoción de la salud y prevención primaria en Salud Mental en el Departamento del Quindío.</t>
  </si>
  <si>
    <t>177. Apoyo en la reducción de sustancias psicoactivas en el Quindío..</t>
  </si>
  <si>
    <t>Cofinanciacion proyecto "implementacion de la estrategia APS en salud mental con personal de IPS".
Accciones de Prevencion y Promocion.</t>
  </si>
  <si>
    <t>Desarrollo de acciones en mitigación y fortalecimiento comunitario con consumidores de alto riesgo.
Implementación de la estrategia de APS en salud mental con personal de IPS en el Departamento del Quindío.</t>
  </si>
  <si>
    <t>179. Fortalecimiento de acciones de alerta temprana en violencia doméstica y consumo de spa en LGTB en el Quindío..</t>
  </si>
  <si>
    <t>Acciones de promoción de factores protectores  y prevención de las violencias y el  consumo de sustancias psicoactivas con población en alta vulnerabilidad.</t>
  </si>
  <si>
    <t>144. Implementación de programas especiales en salud en el Departamento del Quindío.</t>
  </si>
  <si>
    <t>190. Asistencia a víctimas del conflicto armado y protección de los derechos de la población vulnerable, en el Depto. del Quindío.</t>
  </si>
  <si>
    <t>186. Fortalecimiento de acciones a población en condiciones especiales en el Quindío.</t>
  </si>
  <si>
    <t>176. Fortalecimiento de acciones a Discapacitados en el Quindío.</t>
  </si>
  <si>
    <t>189. Fortalecimiento de las acciones de vigilancia de control sanitario y en salud pública, en  los establecimientos carcelarios y penitenciarios.</t>
  </si>
  <si>
    <t>Prestación de servicios de salud
Prestación de servicios de salud Imputables del Departamento del Quindío
Prestación de Servicios de Salud en el Departamento del Quindío</t>
  </si>
  <si>
    <t>Información, educación, comunicación, inspección, vigilancia y control en las acciones desde salud para la población vulnerable del Departamento.</t>
  </si>
  <si>
    <t>Acciones de inspección y vigilancia.</t>
  </si>
  <si>
    <t>Ayudas técnicas. 
Fortalecimiento a organizaciones y personas con discapacidad y comités municipales de discapacidad.
Rehabilitación Basada en la Comunidad.</t>
  </si>
  <si>
    <t>Acciones de inspeccion, vigilancia  y control en los centros penintenciarios del departamento del Quindio.</t>
  </si>
  <si>
    <t>Canalizar acciones de promoción de la salud y de prevención de los riesgos hacia poblaciones especiales y vulnerables en los muicipios del Quindío.</t>
  </si>
  <si>
    <t>171. Implementación Seguridad Sanitaria y Ambiental.</t>
  </si>
  <si>
    <t>185. Asistencia a Inimputables en el Quindío..</t>
  </si>
  <si>
    <t>58 Renta Cedida
64 Ley 1391</t>
  </si>
  <si>
    <t>58 Renta Cedida
59 SGP Salud 
60 SGP Salud 
65 Coof.Nal. Salud
68 Coof.Nal. Salud SSF</t>
  </si>
  <si>
    <t>58 Rentas Cedidas
65 Coof.Nal. Salud
61 SGP Slaud Pública CSF</t>
  </si>
  <si>
    <t>58 Rentas Cedidas</t>
  </si>
  <si>
    <t>65 Coof.Nal. Salud</t>
  </si>
  <si>
    <t>20 Recurso Ordinario</t>
  </si>
  <si>
    <t>61 SGP Slaud Pública CSF
65 Coof.Nal. Salud</t>
  </si>
  <si>
    <t>61 SGP Slaud Pública CSF</t>
  </si>
  <si>
    <t>65  Coof.Nal. Salud</t>
  </si>
  <si>
    <t xml:space="preserve">
63 Fondo Estupefacientes</t>
  </si>
  <si>
    <t>60 SGP Sslud Aportes  Patronales S.S.F
61 SGP Slaud Pública CSF
65 Coof. Nal, Salud</t>
  </si>
  <si>
    <t>65 Coof. Nal, Salud</t>
  </si>
  <si>
    <t>61 SGP Slaud Pública CSF
58 Rentas Cedidas</t>
  </si>
  <si>
    <t>65 Coof. Nacional Salud</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</si>
</sst>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yy;@"/>
    <numFmt numFmtId="173" formatCode="0.0%"/>
    <numFmt numFmtId="174" formatCode="_(* #.##0.00_);_(* \(#.##0.00\);_(* &quot;-&quot;??_);_(@_)"/>
    <numFmt numFmtId="175" formatCode="_(* #,##0_);_(* \(#,##0\);_(* &quot;-&quot;??_);_(@_)"/>
    <numFmt numFmtId="176" formatCode="0.0"/>
    <numFmt numFmtId="177" formatCode="#,##0.0"/>
    <numFmt numFmtId="178" formatCode="0.000"/>
    <numFmt numFmtId="179" formatCode="0;[Red]0"/>
    <numFmt numFmtId="180" formatCode="#,##0.00_);\-#,##0.00"/>
    <numFmt numFmtId="181" formatCode="#,##0.000"/>
    <numFmt numFmtId="182" formatCode="#,##0.0000"/>
    <numFmt numFmtId="183" formatCode="[$-240A]dddd\,\ dd&quot; de &quot;mmmm&quot; de &quot;yyyy"/>
    <numFmt numFmtId="184" formatCode="_(* #,##0.0_);_(* \(#,##0.0\);_(*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
    <numFmt numFmtId="190" formatCode="0.0000%"/>
    <numFmt numFmtId="191" formatCode="_-* #,##0.00\ &quot;€&quot;_-;\-* #,##0.00\ &quot;€&quot;_-;_-* &quot;-&quot;??\ &quot;€&quot;_-;_-@_-"/>
    <numFmt numFmtId="192" formatCode="_-[$$-240A]\ * #,##0.00_ ;_-[$$-240A]\ * \-#,##0.00\ ;_-[$$-240A]\ * &quot;-&quot;??_ ;_-@_ "/>
  </numFmts>
  <fonts count="81">
    <font>
      <sz val="11"/>
      <color theme="1"/>
      <name val="Calibri"/>
      <family val="2"/>
    </font>
    <font>
      <sz val="11"/>
      <color indexed="8"/>
      <name val="Calibri"/>
      <family val="2"/>
    </font>
    <font>
      <sz val="9"/>
      <name val="Tahoma"/>
      <family val="2"/>
    </font>
    <font>
      <b/>
      <sz val="10"/>
      <name val="Arial"/>
      <family val="2"/>
    </font>
    <font>
      <sz val="10"/>
      <name val="Arial"/>
      <family val="2"/>
    </font>
    <font>
      <b/>
      <sz val="9"/>
      <name val="Tahoma"/>
      <family val="2"/>
    </font>
    <font>
      <b/>
      <sz val="9"/>
      <name val="Arial"/>
      <family val="2"/>
    </font>
    <font>
      <sz val="9"/>
      <name val="Arial"/>
      <family val="2"/>
    </font>
    <font>
      <b/>
      <i/>
      <sz val="9"/>
      <name val="Tahoma"/>
      <family val="2"/>
    </font>
    <font>
      <i/>
      <sz val="9"/>
      <name val="Tahoma"/>
      <family val="2"/>
    </font>
    <font>
      <sz val="11"/>
      <color indexed="8"/>
      <name val="Arial"/>
      <family val="2"/>
    </font>
    <font>
      <b/>
      <sz val="11"/>
      <color indexed="8"/>
      <name val="Arial"/>
      <family val="2"/>
    </font>
    <font>
      <sz val="11"/>
      <name val="Arial"/>
      <family val="2"/>
    </font>
    <font>
      <vertAlign val="superscript"/>
      <sz val="11"/>
      <color indexed="8"/>
      <name val="Arial"/>
      <family val="2"/>
    </font>
    <font>
      <sz val="11"/>
      <color indexed="45"/>
      <name val="Arial"/>
      <family val="2"/>
    </font>
    <font>
      <sz val="11"/>
      <color indexed="40"/>
      <name val="Arial"/>
      <family val="2"/>
    </font>
    <font>
      <sz val="11"/>
      <name val="Algerian"/>
      <family val="5"/>
    </font>
    <font>
      <sz val="11"/>
      <name val="Calibri"/>
      <family val="2"/>
    </font>
    <font>
      <b/>
      <sz val="11"/>
      <name val="Arial"/>
      <family val="2"/>
    </font>
    <font>
      <b/>
      <sz val="14"/>
      <name val="Calibri"/>
      <family val="2"/>
    </font>
    <font>
      <b/>
      <sz val="14"/>
      <color indexed="8"/>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25"/>
      <color indexed="39"/>
      <name val="Calibri"/>
      <family val="2"/>
    </font>
    <font>
      <u val="single"/>
      <sz val="8.25"/>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i/>
      <sz val="11"/>
      <color indexed="8"/>
      <name val="Calibri"/>
      <family val="2"/>
    </font>
    <font>
      <sz val="11"/>
      <color indexed="8"/>
      <name val="Cambria"/>
      <family val="1"/>
    </font>
    <font>
      <sz val="8"/>
      <name val="Calibri"/>
      <family val="2"/>
    </font>
    <font>
      <sz val="9"/>
      <color indexed="8"/>
      <name val="Arial"/>
      <family val="2"/>
    </font>
    <font>
      <sz val="10"/>
      <color indexed="8"/>
      <name val="Arial"/>
      <family val="2"/>
    </font>
    <font>
      <sz val="11"/>
      <color indexed="8"/>
      <name val="AraL"/>
      <family val="0"/>
    </font>
    <font>
      <sz val="12"/>
      <color indexed="8"/>
      <name val="Calibri"/>
      <family val="2"/>
    </font>
    <font>
      <sz val="8"/>
      <color indexed="8"/>
      <name val="Calibri"/>
      <family val="2"/>
    </font>
    <font>
      <sz val="11"/>
      <color indexed="8"/>
      <name val="Algerian"/>
      <family val="5"/>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25"/>
      <color theme="10"/>
      <name val="Calibri"/>
      <family val="2"/>
    </font>
    <font>
      <u val="single"/>
      <sz val="8.2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family val="2"/>
    </font>
    <font>
      <sz val="11"/>
      <color theme="1"/>
      <name val="Arial"/>
      <family val="2"/>
    </font>
    <font>
      <b/>
      <sz val="11"/>
      <color theme="1"/>
      <name val="Arial"/>
      <family val="2"/>
    </font>
    <font>
      <sz val="11"/>
      <color theme="1"/>
      <name val="Cambria"/>
      <family val="1"/>
    </font>
    <font>
      <sz val="9"/>
      <color theme="1"/>
      <name val="Arial"/>
      <family val="2"/>
    </font>
    <font>
      <sz val="10"/>
      <color theme="1"/>
      <name val="Arial"/>
      <family val="2"/>
    </font>
    <font>
      <sz val="11"/>
      <color rgb="FF000000"/>
      <name val="Calibri"/>
      <family val="2"/>
    </font>
    <font>
      <sz val="11"/>
      <color theme="1"/>
      <name val="AraL"/>
      <family val="0"/>
    </font>
    <font>
      <sz val="12"/>
      <color theme="1"/>
      <name val="Calibri"/>
      <family val="2"/>
    </font>
    <font>
      <sz val="12"/>
      <color rgb="FF000000"/>
      <name val="Calibri"/>
      <family val="2"/>
    </font>
    <font>
      <i/>
      <sz val="11"/>
      <color theme="1"/>
      <name val="Calibri"/>
      <family val="2"/>
    </font>
    <font>
      <b/>
      <sz val="11"/>
      <color rgb="FF000000"/>
      <name val="Arial"/>
      <family val="2"/>
    </font>
    <font>
      <sz val="11"/>
      <color theme="1"/>
      <name val="Algerian"/>
      <family val="5"/>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color indexed="23"/>
      </right>
      <top style="medium">
        <color indexed="23"/>
      </top>
      <bottom>
        <color indexed="63"/>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style="thin">
        <color indexed="23"/>
      </left>
      <right style="medium">
        <color indexed="2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2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color indexed="23"/>
      </right>
      <top style="thin"/>
      <bottom>
        <color indexed="63"/>
      </bottom>
    </border>
    <border>
      <left style="thin"/>
      <right style="thin">
        <color indexed="23"/>
      </right>
      <top>
        <color indexed="63"/>
      </top>
      <bottom>
        <color indexed="63"/>
      </bottom>
    </border>
    <border>
      <left style="thin"/>
      <right style="thin">
        <color indexed="23"/>
      </right>
      <top>
        <color indexed="63"/>
      </top>
      <bottom style="thin"/>
    </border>
    <border>
      <left>
        <color indexed="63"/>
      </left>
      <right style="thin"/>
      <top style="thin"/>
      <bottom>
        <color indexed="63"/>
      </botto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91" fontId="0" fillId="0" borderId="0" applyFont="0" applyFill="0" applyBorder="0" applyAlignment="0" applyProtection="0"/>
    <xf numFmtId="0" fontId="60" fillId="31" borderId="0" applyNumberFormat="0" applyBorder="0" applyAlignment="0" applyProtection="0"/>
    <xf numFmtId="0" fontId="4" fillId="0" borderId="0">
      <alignment/>
      <protection/>
    </xf>
    <xf numFmtId="0" fontId="1"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142">
    <xf numFmtId="0" fontId="0" fillId="0" borderId="0" xfId="0" applyFont="1" applyAlignment="1">
      <alignment/>
    </xf>
    <xf numFmtId="0" fontId="10" fillId="0" borderId="0" xfId="0" applyFont="1" applyAlignment="1">
      <alignment horizontal="center" vertical="center"/>
    </xf>
    <xf numFmtId="0" fontId="10" fillId="0" borderId="10" xfId="0" applyFont="1" applyBorder="1" applyAlignment="1">
      <alignment horizontal="justify" vertical="center" wrapText="1"/>
    </xf>
    <xf numFmtId="0" fontId="10" fillId="0" borderId="10"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0" fillId="0" borderId="0" xfId="0" applyFont="1" applyAlignment="1">
      <alignment horizontal="justify" vertical="center"/>
    </xf>
    <xf numFmtId="0" fontId="12" fillId="0" borderId="10" xfId="0" applyFont="1" applyBorder="1" applyAlignment="1">
      <alignment horizontal="justify" vertical="center" wrapText="1"/>
    </xf>
    <xf numFmtId="0" fontId="12" fillId="0" borderId="10" xfId="58" applyFont="1" applyFill="1" applyBorder="1" applyAlignment="1">
      <alignment horizontal="justify" vertical="center" wrapText="1"/>
      <protection/>
    </xf>
    <xf numFmtId="0" fontId="67" fillId="0" borderId="10" xfId="0" applyFont="1" applyBorder="1" applyAlignment="1">
      <alignment horizontal="justify" vertical="center" wrapText="1"/>
    </xf>
    <xf numFmtId="0" fontId="10" fillId="0" borderId="0" xfId="0" applyFont="1" applyBorder="1" applyAlignment="1">
      <alignment horizontal="justify" vertical="center"/>
    </xf>
    <xf numFmtId="0" fontId="10" fillId="0" borderId="10" xfId="0" applyFont="1" applyBorder="1" applyAlignment="1">
      <alignment horizontal="center" vertical="center"/>
    </xf>
    <xf numFmtId="0" fontId="68" fillId="0" borderId="0" xfId="0" applyFont="1" applyAlignment="1">
      <alignment horizontal="center" vertical="center"/>
    </xf>
    <xf numFmtId="0" fontId="10" fillId="0" borderId="10" xfId="0" applyFont="1" applyFill="1" applyBorder="1" applyAlignment="1">
      <alignment horizontal="center" vertical="center" wrapText="1"/>
    </xf>
    <xf numFmtId="9" fontId="10" fillId="0" borderId="10" xfId="0" applyNumberFormat="1" applyFont="1" applyBorder="1" applyAlignment="1">
      <alignment horizontal="center" vertical="center" wrapText="1"/>
    </xf>
    <xf numFmtId="0" fontId="10" fillId="0" borderId="0" xfId="0" applyFont="1" applyBorder="1" applyAlignment="1">
      <alignment horizontal="center" vertical="center"/>
    </xf>
    <xf numFmtId="0" fontId="10" fillId="0" borderId="10" xfId="0" applyFont="1" applyBorder="1" applyAlignment="1">
      <alignment horizontal="justify" vertical="center"/>
    </xf>
    <xf numFmtId="0" fontId="1" fillId="0" borderId="10" xfId="0" applyFont="1" applyFill="1" applyBorder="1" applyAlignment="1">
      <alignment horizontal="justify" vertical="center" wrapText="1"/>
    </xf>
    <xf numFmtId="0" fontId="10" fillId="0" borderId="10" xfId="0" applyFont="1" applyBorder="1" applyAlignment="1">
      <alignment horizontal="center" vertical="center" wrapText="1"/>
    </xf>
    <xf numFmtId="3" fontId="10" fillId="0" borderId="10" xfId="0" applyNumberFormat="1" applyFont="1" applyBorder="1" applyAlignment="1">
      <alignment horizontal="center" vertical="center" wrapText="1"/>
    </xf>
    <xf numFmtId="0" fontId="68" fillId="0" borderId="10" xfId="0" applyFont="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0" fillId="0" borderId="11" xfId="0" applyFont="1" applyFill="1" applyBorder="1" applyAlignment="1">
      <alignment horizontal="justify" vertical="center" wrapText="1"/>
    </xf>
    <xf numFmtId="0" fontId="68" fillId="0" borderId="10" xfId="0" applyFont="1" applyFill="1" applyBorder="1" applyAlignment="1">
      <alignment horizontal="justify" vertical="center" wrapText="1"/>
    </xf>
    <xf numFmtId="0" fontId="10" fillId="0" borderId="11" xfId="0" applyFont="1" applyBorder="1" applyAlignment="1">
      <alignment horizontal="center" vertical="center"/>
    </xf>
    <xf numFmtId="0" fontId="10" fillId="0" borderId="10" xfId="0" applyFont="1" applyFill="1" applyBorder="1" applyAlignment="1">
      <alignment horizontal="center" vertical="center" wrapText="1"/>
    </xf>
    <xf numFmtId="0" fontId="68" fillId="0" borderId="0" xfId="0" applyFont="1" applyFill="1" applyAlignment="1">
      <alignment horizontal="center" vertical="center"/>
    </xf>
    <xf numFmtId="0" fontId="69" fillId="0" borderId="0" xfId="0" applyFont="1" applyFill="1" applyAlignment="1">
      <alignment horizontal="center" vertical="center"/>
    </xf>
    <xf numFmtId="0" fontId="10" fillId="0" borderId="10" xfId="0" applyFont="1" applyFill="1" applyBorder="1" applyAlignment="1">
      <alignment horizontal="justify" vertical="center" wrapText="1"/>
    </xf>
    <xf numFmtId="0" fontId="10" fillId="0" borderId="10" xfId="0" applyFont="1" applyFill="1" applyBorder="1" applyAlignment="1">
      <alignment horizontal="center" vertical="center"/>
    </xf>
    <xf numFmtId="3" fontId="10" fillId="0" borderId="10" xfId="0" applyNumberFormat="1" applyFont="1" applyFill="1" applyBorder="1" applyAlignment="1">
      <alignment horizontal="center" vertical="center" wrapText="1"/>
    </xf>
    <xf numFmtId="172" fontId="10" fillId="0" borderId="10" xfId="0" applyNumberFormat="1" applyFont="1" applyFill="1" applyBorder="1" applyAlignment="1">
      <alignment horizontal="justify" vertical="center" wrapText="1"/>
    </xf>
    <xf numFmtId="0" fontId="68" fillId="0" borderId="0" xfId="0" applyFont="1" applyFill="1" applyAlignment="1">
      <alignment horizontal="justify" vertical="center"/>
    </xf>
    <xf numFmtId="3" fontId="68" fillId="0" borderId="10" xfId="0" applyNumberFormat="1" applyFont="1" applyFill="1" applyBorder="1" applyAlignment="1">
      <alignment horizontal="center" vertical="center" wrapText="1"/>
    </xf>
    <xf numFmtId="0" fontId="68" fillId="0" borderId="0" xfId="0" applyFont="1" applyFill="1" applyBorder="1" applyAlignment="1">
      <alignment horizontal="center" vertical="center"/>
    </xf>
    <xf numFmtId="0" fontId="68" fillId="0" borderId="0" xfId="0" applyFont="1" applyFill="1" applyAlignment="1">
      <alignment horizontal="center" vertical="center" wrapText="1"/>
    </xf>
    <xf numFmtId="0" fontId="10" fillId="0" borderId="0" xfId="0" applyFont="1" applyFill="1" applyAlignment="1">
      <alignment horizontal="justify" vertical="center"/>
    </xf>
    <xf numFmtId="0" fontId="68" fillId="0" borderId="10" xfId="0" applyFont="1" applyFill="1" applyBorder="1" applyAlignment="1">
      <alignment horizontal="justify" vertical="center"/>
    </xf>
    <xf numFmtId="3" fontId="10" fillId="0" borderId="10" xfId="0" applyNumberFormat="1" applyFont="1" applyFill="1" applyBorder="1" applyAlignment="1">
      <alignment horizontal="center" vertical="center"/>
    </xf>
    <xf numFmtId="0" fontId="68" fillId="0" borderId="10" xfId="0" applyFont="1" applyFill="1" applyBorder="1" applyAlignment="1">
      <alignment horizontal="center" vertical="center"/>
    </xf>
    <xf numFmtId="0" fontId="68"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69" fillId="0" borderId="0" xfId="0" applyFont="1" applyAlignment="1">
      <alignment horizontal="center" vertical="center"/>
    </xf>
    <xf numFmtId="0" fontId="10" fillId="0" borderId="10" xfId="0" applyFont="1" applyBorder="1" applyAlignment="1">
      <alignment horizontal="justify" vertical="center" wrapText="1"/>
    </xf>
    <xf numFmtId="3" fontId="10" fillId="0" borderId="10" xfId="0" applyNumberFormat="1" applyFont="1" applyBorder="1" applyAlignment="1">
      <alignment horizontal="center" vertical="center" wrapText="1"/>
    </xf>
    <xf numFmtId="0" fontId="68" fillId="0" borderId="0" xfId="0" applyFont="1" applyAlignment="1">
      <alignment horizontal="justify" vertical="center"/>
    </xf>
    <xf numFmtId="0" fontId="10" fillId="0" borderId="0" xfId="0" applyFont="1" applyAlignment="1">
      <alignment horizontal="justify" vertical="center"/>
    </xf>
    <xf numFmtId="0" fontId="10" fillId="0" borderId="12" xfId="0" applyFont="1" applyBorder="1" applyAlignment="1">
      <alignment horizontal="justify" vertical="center" wrapText="1"/>
    </xf>
    <xf numFmtId="0" fontId="10" fillId="0" borderId="13" xfId="0" applyFont="1" applyBorder="1" applyAlignment="1">
      <alignment horizontal="justify" vertical="center" wrapText="1"/>
    </xf>
    <xf numFmtId="0" fontId="12" fillId="33" borderId="10" xfId="58" applyFont="1" applyFill="1" applyBorder="1" applyAlignment="1">
      <alignment horizontal="justify" vertical="center" wrapText="1"/>
      <protection/>
    </xf>
    <xf numFmtId="0" fontId="12" fillId="0" borderId="13" xfId="58" applyFont="1" applyFill="1" applyBorder="1" applyAlignment="1">
      <alignment horizontal="justify" vertical="center" wrapText="1"/>
      <protection/>
    </xf>
    <xf numFmtId="0" fontId="10" fillId="0" borderId="12" xfId="0" applyFont="1" applyFill="1" applyBorder="1" applyAlignment="1">
      <alignment horizontal="justify" vertical="center" wrapText="1"/>
    </xf>
    <xf numFmtId="0" fontId="10" fillId="0" borderId="13" xfId="0" applyFont="1" applyFill="1" applyBorder="1" applyAlignment="1">
      <alignment horizontal="justify" vertical="center" wrapText="1"/>
    </xf>
    <xf numFmtId="175" fontId="68" fillId="0" borderId="0" xfId="49" applyNumberFormat="1" applyFont="1" applyAlignment="1">
      <alignment horizontal="center" vertical="center"/>
    </xf>
    <xf numFmtId="175" fontId="68" fillId="0" borderId="10" xfId="49" applyNumberFormat="1" applyFont="1" applyBorder="1" applyAlignment="1">
      <alignment horizontal="center" vertical="center"/>
    </xf>
    <xf numFmtId="0" fontId="68" fillId="0" borderId="10" xfId="0" applyFont="1" applyBorder="1" applyAlignment="1">
      <alignment horizontal="justify" vertical="center"/>
    </xf>
    <xf numFmtId="0" fontId="10" fillId="0" borderId="0" xfId="0" applyFont="1" applyAlignment="1">
      <alignment/>
    </xf>
    <xf numFmtId="0" fontId="69" fillId="0" borderId="0" xfId="0" applyFont="1" applyAlignment="1">
      <alignment horizontal="center"/>
    </xf>
    <xf numFmtId="0" fontId="10" fillId="0" borderId="10" xfId="0" applyFont="1" applyBorder="1" applyAlignment="1">
      <alignment horizontal="center" vertical="center"/>
    </xf>
    <xf numFmtId="0" fontId="10" fillId="0" borderId="0" xfId="0" applyFont="1" applyAlignment="1">
      <alignment horizontal="center"/>
    </xf>
    <xf numFmtId="0" fontId="10" fillId="0" borderId="10" xfId="0" applyFont="1" applyBorder="1" applyAlignment="1">
      <alignment/>
    </xf>
    <xf numFmtId="0" fontId="12" fillId="0" borderId="10" xfId="58" applyFont="1" applyFill="1" applyBorder="1" applyAlignment="1">
      <alignment horizontal="center" vertical="center" wrapText="1"/>
      <protection/>
    </xf>
    <xf numFmtId="0" fontId="10" fillId="0" borderId="0" xfId="0" applyFont="1" applyAlignment="1">
      <alignment horizontal="center" vertical="center"/>
    </xf>
    <xf numFmtId="0" fontId="10" fillId="0" borderId="11" xfId="0" applyFont="1" applyBorder="1" applyAlignment="1">
      <alignment horizontal="justify" vertical="center" wrapText="1"/>
    </xf>
    <xf numFmtId="0" fontId="12" fillId="33" borderId="10" xfId="58" applyFont="1" applyFill="1" applyBorder="1" applyAlignment="1">
      <alignment horizontal="center" vertical="center" wrapText="1"/>
      <protection/>
    </xf>
    <xf numFmtId="0" fontId="12" fillId="33" borderId="12" xfId="58" applyFont="1" applyFill="1" applyBorder="1" applyAlignment="1">
      <alignment horizontal="center" vertical="center" wrapText="1"/>
      <protection/>
    </xf>
    <xf numFmtId="0" fontId="10" fillId="0" borderId="10" xfId="0" applyFont="1" applyBorder="1" applyAlignment="1">
      <alignment horizontal="justify" vertical="center"/>
    </xf>
    <xf numFmtId="0" fontId="67" fillId="0" borderId="10" xfId="0" applyFont="1" applyFill="1" applyBorder="1" applyAlignment="1">
      <alignment horizontal="justify" vertical="center" wrapText="1"/>
    </xf>
    <xf numFmtId="0" fontId="67"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8" fillId="0" borderId="0" xfId="0" applyFont="1" applyAlignment="1">
      <alignment horizontal="justify" vertical="center" wrapText="1"/>
    </xf>
    <xf numFmtId="0" fontId="68" fillId="0" borderId="10" xfId="0" applyFont="1" applyBorder="1" applyAlignment="1">
      <alignment vertical="center" wrapText="1"/>
    </xf>
    <xf numFmtId="0" fontId="10" fillId="0" borderId="0" xfId="0" applyFont="1" applyBorder="1" applyAlignment="1">
      <alignment horizontal="center" vertical="center"/>
    </xf>
    <xf numFmtId="9" fontId="67" fillId="0" borderId="13" xfId="0" applyNumberFormat="1" applyFont="1" applyBorder="1" applyAlignment="1">
      <alignment horizontal="center" vertical="center" wrapText="1"/>
    </xf>
    <xf numFmtId="43" fontId="10" fillId="0" borderId="0" xfId="49" applyFont="1" applyFill="1" applyAlignment="1">
      <alignment horizontal="justify" vertical="center"/>
    </xf>
    <xf numFmtId="0" fontId="1" fillId="0" borderId="0" xfId="0" applyFont="1" applyAlignment="1">
      <alignment horizontal="justify" vertical="center"/>
    </xf>
    <xf numFmtId="0" fontId="1" fillId="0" borderId="0" xfId="0" applyFont="1" applyAlignment="1">
      <alignment horizontal="center" vertical="center"/>
    </xf>
    <xf numFmtId="0" fontId="12" fillId="0" borderId="13" xfId="58" applyFont="1" applyFill="1" applyBorder="1" applyAlignment="1">
      <alignment horizontal="center" vertical="center" wrapText="1"/>
      <protection/>
    </xf>
    <xf numFmtId="0" fontId="69" fillId="0" borderId="0" xfId="0" applyFont="1" applyBorder="1" applyAlignment="1">
      <alignment horizontal="center" vertical="center"/>
    </xf>
    <xf numFmtId="0" fontId="10" fillId="0" borderId="14" xfId="0" applyFont="1" applyBorder="1" applyAlignment="1">
      <alignment horizontal="justify" vertical="center" wrapText="1"/>
    </xf>
    <xf numFmtId="0" fontId="67" fillId="0" borderId="13" xfId="0" applyFont="1" applyBorder="1" applyAlignment="1">
      <alignment horizontal="justify"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1" xfId="0" applyFont="1" applyFill="1" applyBorder="1" applyAlignment="1">
      <alignment horizontal="justify" vertical="center" wrapText="1"/>
    </xf>
    <xf numFmtId="49" fontId="12" fillId="0" borderId="13" xfId="58" applyNumberFormat="1" applyFont="1" applyFill="1" applyBorder="1" applyAlignment="1">
      <alignment horizontal="center" vertical="center" wrapText="1"/>
      <protection/>
    </xf>
    <xf numFmtId="49" fontId="12" fillId="0" borderId="10" xfId="58" applyNumberFormat="1" applyFont="1" applyFill="1" applyBorder="1" applyAlignment="1">
      <alignment horizontal="center" vertical="center" wrapText="1"/>
      <protection/>
    </xf>
    <xf numFmtId="0" fontId="11" fillId="0" borderId="0" xfId="0" applyFont="1" applyAlignment="1">
      <alignment horizontal="center" vertical="center"/>
    </xf>
    <xf numFmtId="0" fontId="10" fillId="0" borderId="0" xfId="0" applyFont="1" applyAlignment="1">
      <alignment horizontal="left"/>
    </xf>
    <xf numFmtId="0" fontId="12" fillId="0" borderId="10" xfId="58" applyFont="1" applyBorder="1" applyAlignment="1">
      <alignment horizontal="center" vertical="center" wrapText="1"/>
      <protection/>
    </xf>
    <xf numFmtId="175" fontId="68" fillId="0" borderId="0" xfId="49" applyNumberFormat="1" applyFont="1" applyAlignment="1">
      <alignment horizontal="justify" vertical="center"/>
    </xf>
    <xf numFmtId="175" fontId="68" fillId="0" borderId="10" xfId="49" applyNumberFormat="1" applyFont="1" applyBorder="1" applyAlignment="1">
      <alignment horizontal="justify" vertical="center"/>
    </xf>
    <xf numFmtId="0" fontId="68" fillId="0" borderId="16" xfId="0" applyFont="1" applyBorder="1" applyAlignment="1">
      <alignment horizontal="left" vertical="center"/>
    </xf>
    <xf numFmtId="0" fontId="40" fillId="0" borderId="11" xfId="0" applyFont="1" applyBorder="1" applyAlignment="1">
      <alignment horizontal="left" vertical="center"/>
    </xf>
    <xf numFmtId="0" fontId="0" fillId="0" borderId="11" xfId="0" applyFont="1" applyFill="1" applyBorder="1" applyAlignment="1">
      <alignment horizontal="left" vertical="center" wrapText="1"/>
    </xf>
    <xf numFmtId="0" fontId="1" fillId="0" borderId="15" xfId="0" applyFont="1" applyBorder="1" applyAlignment="1">
      <alignment horizontal="left" vertical="center" wrapText="1"/>
    </xf>
    <xf numFmtId="0" fontId="17" fillId="0" borderId="10" xfId="58" applyFont="1" applyFill="1" applyBorder="1" applyAlignment="1">
      <alignment horizontal="center" vertical="center" wrapText="1"/>
      <protection/>
    </xf>
    <xf numFmtId="0" fontId="0" fillId="0" borderId="10" xfId="61" applyNumberFormat="1" applyFont="1" applyBorder="1" applyAlignment="1">
      <alignment horizontal="center" vertical="center"/>
    </xf>
    <xf numFmtId="9" fontId="0" fillId="0" borderId="10" xfId="61" applyFont="1" applyFill="1" applyBorder="1" applyAlignment="1">
      <alignment horizontal="center" vertical="center"/>
    </xf>
    <xf numFmtId="2" fontId="0" fillId="0" borderId="10" xfId="61" applyNumberFormat="1" applyFont="1" applyBorder="1" applyAlignment="1">
      <alignment horizontal="center" vertical="center"/>
    </xf>
    <xf numFmtId="0" fontId="68" fillId="0" borderId="10" xfId="0" applyFont="1" applyBorder="1" applyAlignment="1">
      <alignment horizontal="left" vertical="center" wrapText="1"/>
    </xf>
    <xf numFmtId="0" fontId="40" fillId="0" borderId="11" xfId="0" applyFont="1" applyBorder="1" applyAlignment="1">
      <alignment horizontal="left" vertical="center"/>
    </xf>
    <xf numFmtId="0" fontId="10" fillId="0" borderId="11" xfId="0" applyFont="1" applyBorder="1" applyAlignment="1">
      <alignment horizontal="left" vertical="center"/>
    </xf>
    <xf numFmtId="0" fontId="67" fillId="0" borderId="10" xfId="0" applyFont="1" applyBorder="1" applyAlignment="1">
      <alignment horizontal="justify" vertical="center" wrapText="1"/>
    </xf>
    <xf numFmtId="0" fontId="67" fillId="0" borderId="13" xfId="0" applyFont="1" applyBorder="1" applyAlignment="1">
      <alignment horizontal="justify" vertical="center" wrapText="1"/>
    </xf>
    <xf numFmtId="0" fontId="17" fillId="0" borderId="10" xfId="58" applyFont="1" applyBorder="1" applyAlignment="1">
      <alignment horizontal="center" vertical="center" wrapText="1"/>
      <protection/>
    </xf>
    <xf numFmtId="175" fontId="11" fillId="0" borderId="0" xfId="49" applyNumberFormat="1" applyFont="1" applyFill="1" applyBorder="1" applyAlignment="1">
      <alignment horizontal="justify" vertical="center" wrapText="1"/>
    </xf>
    <xf numFmtId="3" fontId="69"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0" fontId="69" fillId="0" borderId="10" xfId="0" applyNumberFormat="1" applyFont="1" applyFill="1" applyBorder="1" applyAlignment="1">
      <alignment horizontal="center" vertical="center" wrapText="1"/>
    </xf>
    <xf numFmtId="0" fontId="67" fillId="0" borderId="10" xfId="0" applyFont="1" applyBorder="1" applyAlignment="1">
      <alignment horizontal="justify" vertical="center" wrapText="1"/>
    </xf>
    <xf numFmtId="9" fontId="67" fillId="0" borderId="10" xfId="0" applyNumberFormat="1" applyFont="1" applyBorder="1" applyAlignment="1">
      <alignment horizontal="center" vertical="center" wrapText="1"/>
    </xf>
    <xf numFmtId="0" fontId="67" fillId="0" borderId="10" xfId="0" applyFont="1" applyBorder="1" applyAlignment="1">
      <alignment horizontal="center" vertical="center" wrapText="1"/>
    </xf>
    <xf numFmtId="0" fontId="68" fillId="0" borderId="10" xfId="0" applyFont="1" applyBorder="1" applyAlignment="1">
      <alignment horizontal="justify" vertical="center" wrapText="1"/>
    </xf>
    <xf numFmtId="0" fontId="68" fillId="0" borderId="10" xfId="63" applyNumberFormat="1" applyFont="1" applyFill="1" applyBorder="1" applyAlignment="1">
      <alignment horizontal="center" vertical="center"/>
    </xf>
    <xf numFmtId="3" fontId="68" fillId="0" borderId="10" xfId="63" applyNumberFormat="1" applyFont="1" applyFill="1" applyBorder="1" applyAlignment="1">
      <alignment horizontal="center" vertical="center"/>
    </xf>
    <xf numFmtId="9" fontId="68" fillId="0" borderId="10" xfId="63" applyFont="1" applyFill="1" applyBorder="1" applyAlignment="1">
      <alignment horizontal="center" vertical="center"/>
    </xf>
    <xf numFmtId="0" fontId="10" fillId="0" borderId="10" xfId="0" applyNumberFormat="1" applyFont="1" applyFill="1" applyBorder="1" applyAlignment="1">
      <alignment horizontal="center" vertical="center"/>
    </xf>
    <xf numFmtId="0" fontId="67" fillId="0" borderId="13" xfId="0" applyFont="1" applyBorder="1" applyAlignment="1">
      <alignment horizontal="center" vertical="center" wrapText="1"/>
    </xf>
    <xf numFmtId="0" fontId="68" fillId="0" borderId="10" xfId="0" applyNumberFormat="1" applyFont="1" applyFill="1" applyBorder="1" applyAlignment="1">
      <alignment horizontal="center" vertical="center"/>
    </xf>
    <xf numFmtId="9" fontId="68" fillId="0" borderId="10" xfId="0" applyNumberFormat="1" applyFont="1" applyFill="1" applyBorder="1" applyAlignment="1">
      <alignment horizontal="center" vertical="center"/>
    </xf>
    <xf numFmtId="0" fontId="70" fillId="0" borderId="13" xfId="0" applyFont="1" applyBorder="1" applyAlignment="1">
      <alignment horizontal="center" vertical="center" wrapText="1"/>
    </xf>
    <xf numFmtId="0" fontId="70" fillId="0" borderId="10" xfId="0" applyFont="1" applyBorder="1" applyAlignment="1">
      <alignment horizontal="center" vertical="center" wrapText="1"/>
    </xf>
    <xf numFmtId="3" fontId="67" fillId="0" borderId="10" xfId="0" applyNumberFormat="1" applyFont="1" applyBorder="1" applyAlignment="1">
      <alignment horizontal="center" vertical="center" wrapText="1"/>
    </xf>
    <xf numFmtId="1" fontId="67" fillId="0" borderId="10" xfId="0" applyNumberFormat="1" applyFont="1" applyBorder="1" applyAlignment="1">
      <alignment horizontal="center" vertical="center" wrapText="1"/>
    </xf>
    <xf numFmtId="1" fontId="70" fillId="0" borderId="10" xfId="0" applyNumberFormat="1" applyFont="1" applyBorder="1" applyAlignment="1">
      <alignment horizontal="center" vertical="center" wrapText="1"/>
    </xf>
    <xf numFmtId="0" fontId="0" fillId="0" borderId="11" xfId="0" applyFont="1" applyFill="1" applyBorder="1" applyAlignment="1">
      <alignment horizontal="left" vertical="center" wrapText="1"/>
    </xf>
    <xf numFmtId="0" fontId="1" fillId="0" borderId="15" xfId="0" applyFont="1" applyBorder="1" applyAlignment="1">
      <alignment horizontal="left" vertical="center" wrapText="1"/>
    </xf>
    <xf numFmtId="0" fontId="68" fillId="0" borderId="10" xfId="0" applyFont="1" applyBorder="1" applyAlignment="1">
      <alignment horizontal="justify" vertical="center" wrapText="1"/>
    </xf>
    <xf numFmtId="9" fontId="12" fillId="0" borderId="10" xfId="0" applyNumberFormat="1" applyFont="1" applyFill="1" applyBorder="1" applyAlignment="1">
      <alignment horizontal="center" vertical="center"/>
    </xf>
    <xf numFmtId="0" fontId="40" fillId="0" borderId="11" xfId="0" applyFont="1" applyBorder="1" applyAlignment="1">
      <alignment horizontal="left" vertical="center"/>
    </xf>
    <xf numFmtId="0" fontId="40" fillId="0" borderId="17" xfId="0" applyFont="1" applyBorder="1" applyAlignment="1">
      <alignment horizontal="left" vertical="center"/>
    </xf>
    <xf numFmtId="0" fontId="0" fillId="0" borderId="11" xfId="0" applyFont="1" applyFill="1" applyBorder="1" applyAlignment="1">
      <alignment horizontal="left" vertical="center" wrapText="1"/>
    </xf>
    <xf numFmtId="0" fontId="1" fillId="0" borderId="15" xfId="0" applyFont="1" applyBorder="1" applyAlignment="1">
      <alignment horizontal="left" vertical="center" wrapText="1"/>
    </xf>
    <xf numFmtId="0" fontId="10" fillId="0" borderId="11" xfId="0" applyFont="1" applyBorder="1" applyAlignment="1">
      <alignment horizontal="left" vertical="center"/>
    </xf>
    <xf numFmtId="0" fontId="67" fillId="0" borderId="11" xfId="0" applyFont="1" applyFill="1" applyBorder="1" applyAlignment="1">
      <alignment horizontal="justify" vertical="center" wrapText="1"/>
    </xf>
    <xf numFmtId="0" fontId="68" fillId="0" borderId="11" xfId="0" applyFont="1" applyFill="1" applyBorder="1" applyAlignment="1">
      <alignment horizontal="justify" vertical="center" wrapText="1"/>
    </xf>
    <xf numFmtId="0" fontId="68" fillId="0" borderId="11" xfId="0" applyFont="1" applyBorder="1" applyAlignment="1">
      <alignment horizontal="left" vertical="center" wrapText="1"/>
    </xf>
    <xf numFmtId="3" fontId="10" fillId="0" borderId="12" xfId="0" applyNumberFormat="1" applyFont="1" applyBorder="1" applyAlignment="1">
      <alignment horizontal="center" vertical="center" wrapText="1"/>
    </xf>
    <xf numFmtId="0" fontId="67" fillId="0" borderId="10" xfId="0" applyFont="1" applyBorder="1" applyAlignment="1">
      <alignment horizontal="justify" vertical="center" wrapText="1"/>
    </xf>
    <xf numFmtId="0" fontId="67" fillId="0" borderId="10" xfId="0" applyFont="1" applyBorder="1" applyAlignment="1">
      <alignment horizontal="center" vertical="center" wrapText="1"/>
    </xf>
    <xf numFmtId="3" fontId="10" fillId="0" borderId="12" xfId="0" applyNumberFormat="1" applyFont="1" applyFill="1" applyBorder="1" applyAlignment="1">
      <alignment horizontal="center" vertical="center"/>
    </xf>
    <xf numFmtId="0" fontId="68" fillId="0" borderId="10" xfId="0" applyFont="1" applyBorder="1" applyAlignment="1">
      <alignment horizontal="justify" vertical="center" wrapText="1"/>
    </xf>
    <xf numFmtId="0" fontId="67" fillId="0" borderId="11" xfId="0" applyFont="1" applyBorder="1" applyAlignment="1">
      <alignment horizontal="justify" vertical="center" wrapText="1"/>
    </xf>
    <xf numFmtId="0" fontId="68" fillId="0" borderId="10" xfId="0" applyFont="1" applyBorder="1" applyAlignment="1">
      <alignment horizontal="center" vertical="center" wrapText="1"/>
    </xf>
    <xf numFmtId="9" fontId="10" fillId="0" borderId="12" xfId="0" applyNumberFormat="1" applyFont="1" applyFill="1" applyBorder="1" applyAlignment="1">
      <alignment horizontal="center" vertical="center"/>
    </xf>
    <xf numFmtId="0" fontId="40" fillId="0" borderId="11" xfId="0" applyFont="1" applyBorder="1" applyAlignment="1">
      <alignment horizontal="left" vertical="center"/>
    </xf>
    <xf numFmtId="0" fontId="0" fillId="0" borderId="11" xfId="0" applyFont="1" applyFill="1" applyBorder="1" applyAlignment="1">
      <alignment horizontal="left" vertical="center" wrapText="1"/>
    </xf>
    <xf numFmtId="0" fontId="1" fillId="0" borderId="15" xfId="0" applyFont="1" applyBorder="1" applyAlignment="1">
      <alignment horizontal="left" vertical="center" wrapText="1"/>
    </xf>
    <xf numFmtId="0" fontId="10" fillId="0" borderId="13" xfId="0" applyFont="1" applyBorder="1" applyAlignment="1">
      <alignment horizontal="justify" vertical="center" wrapText="1"/>
    </xf>
    <xf numFmtId="0" fontId="68" fillId="0" borderId="11" xfId="0" applyFont="1" applyFill="1" applyBorder="1" applyAlignment="1">
      <alignment horizontal="left" vertical="center"/>
    </xf>
    <xf numFmtId="0" fontId="68" fillId="0" borderId="10" xfId="0" applyFont="1" applyFill="1" applyBorder="1" applyAlignment="1">
      <alignment horizontal="center" vertical="center" wrapText="1"/>
    </xf>
    <xf numFmtId="0" fontId="68" fillId="0" borderId="11" xfId="0" applyFont="1" applyBorder="1" applyAlignment="1">
      <alignment horizontal="left" vertical="center"/>
    </xf>
    <xf numFmtId="0" fontId="10" fillId="0" borderId="12" xfId="0" applyFont="1" applyFill="1" applyBorder="1" applyAlignment="1">
      <alignment horizontal="center" vertical="center" wrapText="1"/>
    </xf>
    <xf numFmtId="0" fontId="10" fillId="0" borderId="10" xfId="63" applyNumberFormat="1" applyFont="1" applyFill="1" applyBorder="1" applyAlignment="1">
      <alignment horizontal="center" vertical="center"/>
    </xf>
    <xf numFmtId="9" fontId="10" fillId="0" borderId="10" xfId="63" applyFont="1" applyFill="1" applyBorder="1" applyAlignment="1">
      <alignment horizontal="center" vertical="center"/>
    </xf>
    <xf numFmtId="0" fontId="10" fillId="0" borderId="10" xfId="63" applyNumberFormat="1" applyFont="1" applyBorder="1" applyAlignment="1">
      <alignment horizontal="center" vertical="center"/>
    </xf>
    <xf numFmtId="0" fontId="67" fillId="0" borderId="12" xfId="0" applyFont="1" applyBorder="1" applyAlignment="1">
      <alignment vertical="center" wrapText="1"/>
    </xf>
    <xf numFmtId="0" fontId="10" fillId="0" borderId="10" xfId="0" applyNumberFormat="1" applyFont="1" applyBorder="1" applyAlignment="1">
      <alignment horizontal="center" vertical="center"/>
    </xf>
    <xf numFmtId="2" fontId="10" fillId="0" borderId="10" xfId="63" applyNumberFormat="1" applyFont="1" applyBorder="1" applyAlignment="1">
      <alignment horizontal="center" vertical="center"/>
    </xf>
    <xf numFmtId="9" fontId="10" fillId="0" borderId="10" xfId="0" applyNumberFormat="1" applyFont="1" applyFill="1" applyBorder="1" applyAlignment="1">
      <alignment horizontal="center" vertical="center"/>
    </xf>
    <xf numFmtId="1" fontId="10" fillId="0" borderId="10" xfId="63" applyNumberFormat="1" applyFont="1" applyBorder="1" applyAlignment="1">
      <alignment horizontal="center" vertical="center"/>
    </xf>
    <xf numFmtId="0" fontId="10" fillId="0" borderId="12" xfId="0" applyNumberFormat="1" applyFont="1" applyFill="1" applyBorder="1" applyAlignment="1">
      <alignment horizontal="center" vertical="center"/>
    </xf>
    <xf numFmtId="4" fontId="10" fillId="0" borderId="10" xfId="0" applyNumberFormat="1" applyFont="1" applyBorder="1" applyAlignment="1">
      <alignment horizontal="center" vertical="center"/>
    </xf>
    <xf numFmtId="177" fontId="10" fillId="0" borderId="10" xfId="0" applyNumberFormat="1" applyFont="1" applyBorder="1" applyAlignment="1">
      <alignment horizontal="center" vertical="center"/>
    </xf>
    <xf numFmtId="0" fontId="12" fillId="0" borderId="10" xfId="53" applyNumberFormat="1" applyFont="1" applyFill="1" applyBorder="1" applyAlignment="1">
      <alignment horizontal="center" vertical="center" wrapText="1"/>
    </xf>
    <xf numFmtId="37" fontId="10" fillId="0" borderId="10" xfId="53" applyNumberFormat="1" applyFont="1" applyBorder="1" applyAlignment="1">
      <alignment horizontal="center" vertical="center" wrapText="1"/>
    </xf>
    <xf numFmtId="9" fontId="10" fillId="0" borderId="10" xfId="62" applyFont="1" applyBorder="1" applyAlignment="1">
      <alignment horizontal="center" vertical="center" wrapText="1"/>
    </xf>
    <xf numFmtId="43" fontId="42" fillId="0" borderId="10" xfId="53" applyNumberFormat="1" applyFont="1" applyFill="1" applyBorder="1" applyAlignment="1">
      <alignment vertical="center"/>
    </xf>
    <xf numFmtId="0" fontId="68" fillId="0" borderId="11" xfId="0" applyFont="1" applyBorder="1" applyAlignment="1">
      <alignment horizontal="justify" vertical="center" wrapText="1"/>
    </xf>
    <xf numFmtId="3" fontId="12" fillId="0" borderId="10" xfId="58" applyNumberFormat="1" applyFont="1" applyFill="1" applyBorder="1" applyAlignment="1">
      <alignment horizontal="center" vertical="center" wrapText="1"/>
      <protection/>
    </xf>
    <xf numFmtId="9" fontId="12" fillId="0" borderId="10" xfId="58" applyNumberFormat="1" applyFont="1" applyFill="1" applyBorder="1" applyAlignment="1">
      <alignment horizontal="center" vertical="center" wrapText="1"/>
      <protection/>
    </xf>
    <xf numFmtId="0" fontId="12" fillId="0" borderId="10"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justify" vertical="center"/>
    </xf>
    <xf numFmtId="3" fontId="68" fillId="0" borderId="10" xfId="63" applyNumberFormat="1" applyFont="1" applyBorder="1" applyAlignment="1">
      <alignment horizontal="center" vertical="center" wrapText="1"/>
    </xf>
    <xf numFmtId="9" fontId="68" fillId="0" borderId="10" xfId="63" applyFont="1" applyFill="1" applyBorder="1" applyAlignment="1">
      <alignment horizontal="center" vertical="center" wrapText="1"/>
    </xf>
    <xf numFmtId="9" fontId="68" fillId="0" borderId="10" xfId="63" applyFont="1" applyBorder="1" applyAlignment="1">
      <alignment horizontal="center" vertical="center" wrapText="1"/>
    </xf>
    <xf numFmtId="3" fontId="68"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10" fontId="10" fillId="0" borderId="10" xfId="0" applyNumberFormat="1" applyFont="1" applyBorder="1" applyAlignment="1">
      <alignment horizontal="center" vertical="center" wrapText="1"/>
    </xf>
    <xf numFmtId="3" fontId="68" fillId="0" borderId="10" xfId="63" applyNumberFormat="1" applyFont="1" applyFill="1" applyBorder="1" applyAlignment="1">
      <alignment horizontal="center" vertical="center" wrapText="1"/>
    </xf>
    <xf numFmtId="9" fontId="68" fillId="0" borderId="10" xfId="0" applyNumberFormat="1" applyFont="1" applyBorder="1" applyAlignment="1">
      <alignment horizontal="center" vertical="center" wrapText="1"/>
    </xf>
    <xf numFmtId="0" fontId="12" fillId="0" borderId="10" xfId="58" applyNumberFormat="1" applyFont="1" applyFill="1" applyBorder="1" applyAlignment="1">
      <alignment horizontal="justify" vertical="center" wrapText="1"/>
      <protection/>
    </xf>
    <xf numFmtId="0" fontId="17" fillId="0" borderId="10" xfId="63" applyNumberFormat="1" applyFont="1" applyFill="1" applyBorder="1" applyAlignment="1">
      <alignment horizontal="center" vertical="center" wrapText="1"/>
    </xf>
    <xf numFmtId="9" fontId="17" fillId="0" borderId="10" xfId="63" applyFont="1" applyFill="1" applyBorder="1" applyAlignment="1">
      <alignment horizontal="center" vertical="center" wrapText="1"/>
    </xf>
    <xf numFmtId="0" fontId="12" fillId="0" borderId="10" xfId="63" applyNumberFormat="1" applyFont="1" applyFill="1" applyBorder="1" applyAlignment="1">
      <alignment horizontal="center" vertical="center" wrapText="1"/>
    </xf>
    <xf numFmtId="2" fontId="12" fillId="0" borderId="10" xfId="63" applyNumberFormat="1" applyFont="1" applyFill="1" applyBorder="1" applyAlignment="1">
      <alignment horizontal="center" vertical="center" wrapText="1"/>
    </xf>
    <xf numFmtId="9" fontId="12" fillId="0" borderId="10" xfId="63" applyFont="1" applyFill="1" applyBorder="1" applyAlignment="1">
      <alignment horizontal="center" vertical="center" wrapText="1"/>
    </xf>
    <xf numFmtId="1" fontId="17" fillId="0" borderId="10" xfId="63" applyNumberFormat="1" applyFont="1" applyFill="1" applyBorder="1" applyAlignment="1">
      <alignment horizontal="center" vertical="center" wrapText="1"/>
    </xf>
    <xf numFmtId="0" fontId="68" fillId="0" borderId="16" xfId="0" applyFont="1" applyFill="1" applyBorder="1" applyAlignment="1">
      <alignment horizontal="center" vertical="center" wrapText="1"/>
    </xf>
    <xf numFmtId="3" fontId="12" fillId="0" borderId="12" xfId="0" applyNumberFormat="1" applyFont="1" applyBorder="1" applyAlignment="1">
      <alignment horizontal="center" vertical="center"/>
    </xf>
    <xf numFmtId="0" fontId="12" fillId="0" borderId="12" xfId="63" applyNumberFormat="1" applyFont="1" applyFill="1" applyBorder="1" applyAlignment="1">
      <alignment horizontal="center" vertical="center" wrapText="1"/>
    </xf>
    <xf numFmtId="1" fontId="12" fillId="0" borderId="10" xfId="63" applyNumberFormat="1" applyFont="1" applyFill="1" applyBorder="1" applyAlignment="1">
      <alignment horizontal="center" vertical="center" wrapText="1"/>
    </xf>
    <xf numFmtId="0" fontId="12" fillId="34" borderId="10" xfId="63" applyNumberFormat="1" applyFont="1" applyFill="1" applyBorder="1" applyAlignment="1">
      <alignment horizontal="center" vertical="center" wrapText="1"/>
    </xf>
    <xf numFmtId="0" fontId="10" fillId="0" borderId="10" xfId="0" applyNumberFormat="1" applyFont="1" applyBorder="1" applyAlignment="1">
      <alignment horizontal="center" vertical="center" wrapText="1"/>
    </xf>
    <xf numFmtId="9" fontId="10" fillId="0" borderId="10" xfId="63" applyFont="1" applyBorder="1" applyAlignment="1">
      <alignment horizontal="center" vertical="center" wrapText="1"/>
    </xf>
    <xf numFmtId="0" fontId="10" fillId="0" borderId="10" xfId="0" applyNumberFormat="1" applyFont="1" applyFill="1" applyBorder="1" applyAlignment="1">
      <alignment horizontal="center" vertical="center" wrapText="1"/>
    </xf>
    <xf numFmtId="177" fontId="10" fillId="0" borderId="10" xfId="52" applyNumberFormat="1" applyFont="1" applyFill="1" applyBorder="1" applyAlignment="1">
      <alignment horizontal="center" vertical="center" wrapText="1"/>
    </xf>
    <xf numFmtId="9" fontId="10" fillId="0" borderId="10" xfId="63" applyFont="1" applyFill="1" applyBorder="1" applyAlignment="1">
      <alignment horizontal="center" vertical="center" wrapText="1"/>
    </xf>
    <xf numFmtId="3" fontId="10" fillId="0" borderId="10" xfId="52" applyNumberFormat="1" applyFont="1" applyFill="1" applyBorder="1" applyAlignment="1">
      <alignment horizontal="center" vertical="center" wrapText="1"/>
    </xf>
    <xf numFmtId="0" fontId="12" fillId="0" borderId="16" xfId="0" applyNumberFormat="1" applyFont="1" applyBorder="1" applyAlignment="1">
      <alignment horizontal="center" vertical="center" wrapText="1"/>
    </xf>
    <xf numFmtId="9" fontId="12" fillId="0" borderId="10" xfId="63" applyFont="1" applyBorder="1" applyAlignment="1">
      <alignment horizontal="center" vertical="center" wrapText="1"/>
    </xf>
    <xf numFmtId="3" fontId="12" fillId="0" borderId="16" xfId="0" applyNumberFormat="1" applyFont="1" applyBorder="1" applyAlignment="1">
      <alignment horizontal="center" vertical="center" wrapText="1"/>
    </xf>
    <xf numFmtId="3" fontId="10" fillId="0" borderId="10" xfId="52" applyNumberFormat="1" applyFont="1" applyBorder="1" applyAlignment="1">
      <alignment horizontal="center" vertical="center" wrapText="1"/>
    </xf>
    <xf numFmtId="4" fontId="10" fillId="0" borderId="10" xfId="52"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3" fontId="12" fillId="0" borderId="10" xfId="52" applyNumberFormat="1" applyFont="1" applyFill="1" applyBorder="1" applyAlignment="1">
      <alignment horizontal="center" vertical="center" wrapText="1"/>
    </xf>
    <xf numFmtId="0" fontId="12" fillId="0" borderId="16" xfId="0" applyFont="1" applyBorder="1" applyAlignment="1">
      <alignment horizontal="center" vertical="center" wrapText="1"/>
    </xf>
    <xf numFmtId="9" fontId="10" fillId="0" borderId="10" xfId="63" applyFont="1" applyBorder="1" applyAlignment="1">
      <alignment horizontal="center" vertical="center"/>
    </xf>
    <xf numFmtId="3" fontId="10" fillId="0" borderId="0" xfId="0" applyNumberFormat="1" applyFont="1" applyAlignment="1">
      <alignment horizontal="justify" vertical="center"/>
    </xf>
    <xf numFmtId="0" fontId="10" fillId="0" borderId="10" xfId="61" applyNumberFormat="1" applyFont="1" applyBorder="1" applyAlignment="1">
      <alignment horizontal="center" vertical="center" wrapText="1"/>
    </xf>
    <xf numFmtId="9" fontId="10" fillId="0" borderId="10" xfId="61" applyFont="1" applyBorder="1" applyAlignment="1">
      <alignment horizontal="center" vertical="center" wrapText="1"/>
    </xf>
    <xf numFmtId="0" fontId="10" fillId="0" borderId="10" xfId="0" applyFont="1" applyBorder="1" applyAlignment="1">
      <alignment vertical="center"/>
    </xf>
    <xf numFmtId="0" fontId="10" fillId="0" borderId="0" xfId="0" applyFont="1" applyAlignment="1">
      <alignment vertical="center"/>
    </xf>
    <xf numFmtId="2" fontId="68" fillId="0" borderId="10" xfId="52" applyNumberFormat="1" applyFont="1" applyFill="1" applyBorder="1" applyAlignment="1">
      <alignment horizontal="center" vertical="center" wrapText="1"/>
    </xf>
    <xf numFmtId="0" fontId="68" fillId="0" borderId="10" xfId="52" applyNumberFormat="1" applyFont="1" applyFill="1" applyBorder="1" applyAlignment="1">
      <alignment horizontal="center" vertical="center" wrapText="1"/>
    </xf>
    <xf numFmtId="0" fontId="12" fillId="0" borderId="10" xfId="52" applyNumberFormat="1" applyFont="1" applyFill="1" applyBorder="1" applyAlignment="1">
      <alignment horizontal="center" vertical="center" wrapText="1"/>
    </xf>
    <xf numFmtId="1" fontId="68" fillId="0" borderId="10" xfId="52" applyNumberFormat="1" applyFont="1" applyFill="1" applyBorder="1" applyAlignment="1">
      <alignment horizontal="center" vertical="center" wrapText="1"/>
    </xf>
    <xf numFmtId="9" fontId="68" fillId="0" borderId="10" xfId="52" applyNumberFormat="1" applyFont="1" applyFill="1" applyBorder="1" applyAlignment="1">
      <alignment horizontal="center" vertical="center" wrapText="1"/>
    </xf>
    <xf numFmtId="0" fontId="10" fillId="0" borderId="10" xfId="52" applyNumberFormat="1" applyFont="1" applyFill="1" applyBorder="1" applyAlignment="1">
      <alignment horizontal="center" vertical="center" wrapText="1"/>
    </xf>
    <xf numFmtId="9" fontId="68" fillId="0" borderId="13" xfId="63" applyFont="1" applyBorder="1" applyAlignment="1">
      <alignment horizontal="center" vertical="center" wrapText="1"/>
    </xf>
    <xf numFmtId="0" fontId="10" fillId="34" borderId="12" xfId="0" applyFont="1" applyFill="1" applyBorder="1" applyAlignment="1">
      <alignment horizontal="center" vertical="center"/>
    </xf>
    <xf numFmtId="0" fontId="71" fillId="0" borderId="10" xfId="0" applyFont="1" applyFill="1" applyBorder="1" applyAlignment="1">
      <alignment horizontal="left" vertical="center" wrapText="1"/>
    </xf>
    <xf numFmtId="0" fontId="10" fillId="34" borderId="10" xfId="0"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49" fontId="42" fillId="0" borderId="13" xfId="58" applyNumberFormat="1" applyFont="1" applyFill="1" applyBorder="1" applyAlignment="1">
      <alignment vertical="center" wrapText="1"/>
      <protection/>
    </xf>
    <xf numFmtId="0" fontId="68" fillId="0" borderId="10" xfId="61" applyNumberFormat="1" applyFont="1" applyFill="1" applyBorder="1" applyAlignment="1">
      <alignment horizontal="center" vertical="center"/>
    </xf>
    <xf numFmtId="9" fontId="68" fillId="0" borderId="10" xfId="61" applyFont="1" applyFill="1" applyBorder="1" applyAlignment="1">
      <alignment horizontal="center" vertical="center"/>
    </xf>
    <xf numFmtId="3" fontId="10" fillId="0" borderId="10" xfId="0" applyNumberFormat="1" applyFont="1" applyFill="1" applyBorder="1" applyAlignment="1">
      <alignment horizontal="center" vertical="center" wrapText="1"/>
    </xf>
    <xf numFmtId="0" fontId="10" fillId="0" borderId="10" xfId="63" applyNumberFormat="1" applyFont="1" applyFill="1" applyBorder="1" applyAlignment="1">
      <alignment horizontal="center" vertical="center" wrapText="1"/>
    </xf>
    <xf numFmtId="1" fontId="10" fillId="0" borderId="10" xfId="52" applyNumberFormat="1" applyFont="1" applyBorder="1" applyAlignment="1">
      <alignment horizontal="center" vertical="center" wrapText="1"/>
    </xf>
    <xf numFmtId="0" fontId="72" fillId="0" borderId="18" xfId="0" applyFont="1" applyBorder="1" applyAlignment="1">
      <alignment horizontal="left" vertical="center" wrapText="1"/>
    </xf>
    <xf numFmtId="1" fontId="10" fillId="0" borderId="10" xfId="52" applyNumberFormat="1" applyFont="1" applyFill="1" applyBorder="1" applyAlignment="1">
      <alignment horizontal="center" vertical="center" wrapText="1"/>
    </xf>
    <xf numFmtId="0" fontId="10" fillId="0" borderId="10" xfId="63" applyNumberFormat="1" applyFont="1" applyBorder="1" applyAlignment="1">
      <alignment horizontal="center" vertical="center" wrapText="1"/>
    </xf>
    <xf numFmtId="0" fontId="10" fillId="0" borderId="12" xfId="63" applyNumberFormat="1" applyFont="1" applyFill="1" applyBorder="1" applyAlignment="1">
      <alignment horizontal="center" vertical="center" wrapText="1"/>
    </xf>
    <xf numFmtId="0" fontId="10" fillId="0" borderId="13" xfId="63" applyNumberFormat="1" applyFont="1" applyFill="1" applyBorder="1" applyAlignment="1">
      <alignment horizontal="center" vertical="center" wrapText="1"/>
    </xf>
    <xf numFmtId="0" fontId="68" fillId="0" borderId="18" xfId="0" applyFont="1" applyBorder="1" applyAlignment="1">
      <alignment horizontal="justify" vertical="center" wrapText="1"/>
    </xf>
    <xf numFmtId="178" fontId="68" fillId="0" borderId="10" xfId="0" applyNumberFormat="1" applyFont="1" applyBorder="1" applyAlignment="1">
      <alignment horizontal="justify" vertical="center"/>
    </xf>
    <xf numFmtId="0" fontId="10" fillId="0" borderId="10" xfId="61" applyNumberFormat="1" applyFont="1" applyFill="1" applyBorder="1" applyAlignment="1">
      <alignment horizontal="center" vertical="center" wrapText="1"/>
    </xf>
    <xf numFmtId="9" fontId="10" fillId="0" borderId="10" xfId="61" applyFont="1" applyFill="1" applyBorder="1" applyAlignment="1">
      <alignment horizontal="center" vertical="center" wrapText="1"/>
    </xf>
    <xf numFmtId="3" fontId="10" fillId="0" borderId="10" xfId="61"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1" fontId="10" fillId="34" borderId="10" xfId="63" applyNumberFormat="1" applyFont="1" applyFill="1" applyBorder="1" applyAlignment="1">
      <alignment horizontal="center" vertical="center"/>
    </xf>
    <xf numFmtId="1" fontId="10" fillId="0" borderId="10" xfId="63" applyNumberFormat="1" applyFont="1" applyFill="1" applyBorder="1" applyAlignment="1">
      <alignment horizontal="center" vertical="center"/>
    </xf>
    <xf numFmtId="1" fontId="10" fillId="0" borderId="10" xfId="0" applyNumberFormat="1" applyFont="1" applyFill="1" applyBorder="1" applyAlignment="1">
      <alignment horizontal="center" vertical="center"/>
    </xf>
    <xf numFmtId="0" fontId="68" fillId="0" borderId="10" xfId="61" applyNumberFormat="1" applyFont="1" applyBorder="1" applyAlignment="1">
      <alignment horizontal="center" vertical="center"/>
    </xf>
    <xf numFmtId="1" fontId="68" fillId="0" borderId="10" xfId="61" applyNumberFormat="1" applyFont="1" applyFill="1" applyBorder="1" applyAlignment="1">
      <alignment horizontal="center" vertical="center"/>
    </xf>
    <xf numFmtId="3" fontId="68" fillId="0" borderId="10" xfId="0" applyNumberFormat="1" applyFont="1" applyFill="1" applyBorder="1" applyAlignment="1">
      <alignment horizontal="center" vertical="center"/>
    </xf>
    <xf numFmtId="13" fontId="68" fillId="0" borderId="10" xfId="0" applyNumberFormat="1" applyFont="1" applyFill="1" applyBorder="1" applyAlignment="1">
      <alignment horizontal="center" vertical="center"/>
    </xf>
    <xf numFmtId="175" fontId="10" fillId="0" borderId="0" xfId="0" applyNumberFormat="1" applyFont="1" applyAlignment="1">
      <alignment horizontal="justify" vertical="center"/>
    </xf>
    <xf numFmtId="3" fontId="11" fillId="0" borderId="10" xfId="49" applyNumberFormat="1" applyFont="1" applyFill="1" applyBorder="1" applyAlignment="1">
      <alignment horizontal="center" vertical="center" wrapText="1"/>
    </xf>
    <xf numFmtId="1" fontId="11" fillId="0" borderId="10" xfId="49" applyNumberFormat="1" applyFont="1" applyFill="1" applyBorder="1" applyAlignment="1">
      <alignment horizontal="center" vertical="center" wrapText="1"/>
    </xf>
    <xf numFmtId="0" fontId="10" fillId="0" borderId="0" xfId="0" applyFont="1" applyFill="1" applyBorder="1" applyAlignment="1">
      <alignment horizontal="center" vertical="center"/>
    </xf>
    <xf numFmtId="3" fontId="73" fillId="0" borderId="0" xfId="0" applyNumberFormat="1" applyFont="1" applyBorder="1" applyAlignment="1">
      <alignment horizontal="right" vertical="center" wrapText="1"/>
    </xf>
    <xf numFmtId="0" fontId="40" fillId="0" borderId="16" xfId="0" applyFont="1" applyBorder="1" applyAlignment="1">
      <alignment horizontal="left" vertical="center"/>
    </xf>
    <xf numFmtId="0" fontId="0" fillId="0" borderId="17" xfId="0" applyFont="1" applyFill="1" applyBorder="1" applyAlignment="1">
      <alignment horizontal="left" vertical="center" wrapText="1"/>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0" fillId="0" borderId="16" xfId="0" applyFont="1" applyBorder="1" applyAlignment="1">
      <alignment horizontal="left" vertical="center"/>
    </xf>
    <xf numFmtId="0" fontId="0" fillId="0" borderId="11" xfId="0" applyFont="1" applyFill="1" applyBorder="1" applyAlignment="1">
      <alignment horizontal="left" vertical="center" wrapText="1"/>
    </xf>
    <xf numFmtId="0" fontId="68" fillId="0" borderId="10" xfId="0" applyFont="1" applyBorder="1" applyAlignment="1">
      <alignment horizontal="center" vertical="center"/>
    </xf>
    <xf numFmtId="0" fontId="68" fillId="0" borderId="10" xfId="0" applyFont="1" applyBorder="1" applyAlignment="1">
      <alignment horizontal="justify" vertical="center" wrapText="1"/>
    </xf>
    <xf numFmtId="0" fontId="68" fillId="0" borderId="16" xfId="0" applyFont="1" applyBorder="1" applyAlignment="1">
      <alignment horizontal="left" vertical="center"/>
    </xf>
    <xf numFmtId="0" fontId="11" fillId="0" borderId="11" xfId="0" applyFont="1" applyBorder="1" applyAlignment="1">
      <alignment horizontal="left" vertical="center"/>
    </xf>
    <xf numFmtId="0" fontId="0" fillId="0" borderId="16" xfId="0" applyFont="1" applyFill="1" applyBorder="1" applyAlignment="1">
      <alignment vertical="center" wrapText="1"/>
    </xf>
    <xf numFmtId="0" fontId="1" fillId="0" borderId="16" xfId="0" applyFont="1" applyBorder="1" applyAlignment="1">
      <alignment vertical="center" wrapText="1"/>
    </xf>
    <xf numFmtId="0" fontId="40" fillId="0" borderId="16" xfId="0" applyFont="1" applyBorder="1" applyAlignment="1">
      <alignment vertical="center"/>
    </xf>
    <xf numFmtId="0" fontId="0" fillId="0" borderId="10" xfId="0" applyFont="1" applyFill="1" applyBorder="1" applyAlignment="1">
      <alignment vertical="center" wrapText="1"/>
    </xf>
    <xf numFmtId="0" fontId="1" fillId="0" borderId="10" xfId="0" applyFont="1" applyBorder="1" applyAlignment="1">
      <alignment vertical="center" wrapText="1"/>
    </xf>
    <xf numFmtId="0" fontId="40" fillId="0" borderId="10" xfId="0" applyFont="1" applyBorder="1" applyAlignment="1">
      <alignment vertical="center"/>
    </xf>
    <xf numFmtId="49" fontId="17" fillId="0" borderId="10" xfId="58" applyNumberFormat="1" applyFont="1" applyFill="1" applyBorder="1" applyAlignment="1">
      <alignment vertical="center" wrapText="1"/>
      <protection/>
    </xf>
    <xf numFmtId="0" fontId="39" fillId="0" borderId="11" xfId="0" applyFont="1" applyBorder="1" applyAlignment="1">
      <alignment horizontal="left" vertical="center"/>
    </xf>
    <xf numFmtId="0" fontId="1" fillId="0" borderId="16" xfId="0" applyFont="1" applyFill="1" applyBorder="1" applyAlignment="1">
      <alignment horizontal="justify" vertical="center" wrapText="1"/>
    </xf>
    <xf numFmtId="0" fontId="39" fillId="0" borderId="16" xfId="0" applyFont="1" applyBorder="1" applyAlignment="1">
      <alignment vertical="center"/>
    </xf>
    <xf numFmtId="49" fontId="42" fillId="0" borderId="15" xfId="58" applyNumberFormat="1" applyFont="1" applyFill="1" applyBorder="1" applyAlignment="1">
      <alignment vertical="center" wrapText="1"/>
      <protection/>
    </xf>
    <xf numFmtId="0" fontId="0" fillId="0" borderId="10" xfId="0" applyFont="1" applyFill="1" applyBorder="1" applyAlignment="1">
      <alignment horizontal="left" vertical="center" wrapText="1"/>
    </xf>
    <xf numFmtId="0" fontId="66" fillId="0" borderId="11" xfId="0" applyFont="1" applyFill="1" applyBorder="1" applyAlignment="1">
      <alignment horizontal="left" vertical="center"/>
    </xf>
    <xf numFmtId="0" fontId="39" fillId="0" borderId="10" xfId="0" applyFont="1" applyBorder="1" applyAlignment="1">
      <alignment vertical="center"/>
    </xf>
    <xf numFmtId="0" fontId="68" fillId="0" borderId="13" xfId="0" applyFont="1" applyFill="1" applyBorder="1" applyAlignment="1">
      <alignment horizontal="justify" vertical="center" wrapText="1"/>
    </xf>
    <xf numFmtId="43" fontId="17" fillId="0" borderId="10" xfId="53" applyNumberFormat="1" applyFont="1" applyFill="1" applyBorder="1" applyAlignment="1">
      <alignment vertical="center"/>
    </xf>
    <xf numFmtId="172" fontId="10" fillId="0" borderId="13"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10" fontId="10" fillId="0" borderId="13" xfId="0" applyNumberFormat="1" applyFont="1" applyBorder="1" applyAlignment="1">
      <alignment horizontal="center" vertical="center" wrapText="1"/>
    </xf>
    <xf numFmtId="0" fontId="68" fillId="0" borderId="10" xfId="0" applyFont="1" applyFill="1" applyBorder="1" applyAlignment="1">
      <alignment horizontal="center" vertical="center" wrapText="1"/>
    </xf>
    <xf numFmtId="9" fontId="12" fillId="0" borderId="12" xfId="63" applyNumberFormat="1" applyFont="1" applyFill="1" applyBorder="1" applyAlignment="1">
      <alignment horizontal="center" vertical="center" wrapText="1"/>
    </xf>
    <xf numFmtId="172" fontId="10" fillId="0" borderId="19" xfId="0" applyNumberFormat="1" applyFont="1" applyBorder="1" applyAlignment="1">
      <alignment horizontal="center" vertical="center" wrapText="1"/>
    </xf>
    <xf numFmtId="9" fontId="10" fillId="0" borderId="11" xfId="61"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9" fontId="10" fillId="0" borderId="10" xfId="63" applyNumberFormat="1" applyFont="1" applyBorder="1" applyAlignment="1">
      <alignment horizontal="center" vertical="center"/>
    </xf>
    <xf numFmtId="173" fontId="10" fillId="0" borderId="10" xfId="0" applyNumberFormat="1" applyFont="1" applyBorder="1" applyAlignment="1">
      <alignment horizontal="center" vertical="center" wrapText="1"/>
    </xf>
    <xf numFmtId="9" fontId="10" fillId="0" borderId="10" xfId="0" applyNumberFormat="1" applyFont="1" applyBorder="1" applyAlignment="1">
      <alignment horizontal="center" vertical="center" wrapText="1"/>
    </xf>
    <xf numFmtId="4" fontId="10" fillId="0" borderId="10" xfId="0" applyNumberFormat="1" applyFont="1" applyFill="1" applyBorder="1" applyAlignment="1">
      <alignment horizontal="center" vertical="center" wrapText="1"/>
    </xf>
    <xf numFmtId="9" fontId="10" fillId="0" borderId="12" xfId="0" applyNumberFormat="1" applyFont="1" applyBorder="1" applyAlignment="1">
      <alignment horizontal="center" vertical="center" wrapText="1"/>
    </xf>
    <xf numFmtId="2" fontId="10" fillId="0" borderId="10" xfId="52" applyNumberFormat="1" applyFont="1" applyFill="1" applyBorder="1" applyAlignment="1">
      <alignment horizontal="center" vertical="center" wrapText="1"/>
    </xf>
    <xf numFmtId="9" fontId="68" fillId="0" borderId="10" xfId="0" applyNumberFormat="1" applyFont="1" applyFill="1" applyBorder="1" applyAlignment="1">
      <alignment horizontal="center" vertical="center" wrapText="1"/>
    </xf>
    <xf numFmtId="44" fontId="10" fillId="0" borderId="0" xfId="54" applyFont="1" applyAlignment="1">
      <alignment horizontal="justify" vertical="center"/>
    </xf>
    <xf numFmtId="9" fontId="69" fillId="0" borderId="10" xfId="0" applyNumberFormat="1" applyFont="1" applyFill="1" applyBorder="1" applyAlignment="1">
      <alignment horizontal="center" vertical="center" wrapText="1"/>
    </xf>
    <xf numFmtId="1" fontId="68" fillId="0" borderId="10" xfId="0" applyNumberFormat="1" applyFont="1" applyFill="1" applyBorder="1" applyAlignment="1">
      <alignment horizontal="center" vertical="center"/>
    </xf>
    <xf numFmtId="0" fontId="67" fillId="0" borderId="11" xfId="0" applyFont="1" applyBorder="1" applyAlignment="1">
      <alignment horizontal="justify" vertical="center" wrapText="1"/>
    </xf>
    <xf numFmtId="0" fontId="10" fillId="3" borderId="0" xfId="0" applyFont="1" applyFill="1" applyBorder="1" applyAlignment="1">
      <alignment horizontal="center" vertical="center"/>
    </xf>
    <xf numFmtId="0" fontId="10" fillId="9" borderId="0" xfId="0" applyFont="1" applyFill="1" applyBorder="1" applyAlignment="1">
      <alignment horizontal="center" vertical="center"/>
    </xf>
    <xf numFmtId="0" fontId="10" fillId="9" borderId="16" xfId="0" applyFont="1" applyFill="1" applyBorder="1" applyAlignment="1">
      <alignment vertical="center" wrapText="1"/>
    </xf>
    <xf numFmtId="0" fontId="11" fillId="9" borderId="0" xfId="0" applyFont="1" applyFill="1" applyAlignment="1">
      <alignment horizontal="center" vertical="center"/>
    </xf>
    <xf numFmtId="0" fontId="10" fillId="9" borderId="0" xfId="0" applyFont="1" applyFill="1" applyAlignment="1">
      <alignment horizontal="center" vertical="center"/>
    </xf>
    <xf numFmtId="3" fontId="68" fillId="0" borderId="13" xfId="0" applyNumberFormat="1" applyFont="1" applyFill="1" applyBorder="1" applyAlignment="1">
      <alignment horizontal="center" vertical="center" wrapText="1"/>
    </xf>
    <xf numFmtId="0" fontId="12" fillId="0" borderId="19" xfId="0" applyNumberFormat="1" applyFont="1" applyBorder="1" applyAlignment="1">
      <alignment horizontal="center" vertical="center" wrapText="1"/>
    </xf>
    <xf numFmtId="3" fontId="12" fillId="0" borderId="19" xfId="0" applyNumberFormat="1" applyFont="1" applyBorder="1" applyAlignment="1">
      <alignment horizontal="center" vertical="center" wrapText="1"/>
    </xf>
    <xf numFmtId="0" fontId="68" fillId="0" borderId="13" xfId="0" applyFont="1" applyBorder="1" applyAlignment="1">
      <alignment horizontal="center" vertical="center"/>
    </xf>
    <xf numFmtId="0" fontId="68" fillId="0" borderId="10" xfId="0" applyFont="1" applyBorder="1" applyAlignment="1">
      <alignment horizontal="center" vertical="center"/>
    </xf>
    <xf numFmtId="0" fontId="68" fillId="0" borderId="13" xfId="0" applyFont="1" applyBorder="1" applyAlignment="1">
      <alignment horizontal="justify" vertical="center" wrapText="1"/>
    </xf>
    <xf numFmtId="9" fontId="11" fillId="0" borderId="10" xfId="49" applyNumberFormat="1" applyFont="1" applyFill="1" applyBorder="1" applyAlignment="1">
      <alignment horizontal="center" vertical="center" wrapText="1"/>
    </xf>
    <xf numFmtId="9" fontId="66" fillId="0" borderId="11" xfId="0" applyNumberFormat="1" applyFont="1" applyFill="1" applyBorder="1" applyAlignment="1">
      <alignment horizontal="center" vertical="center" wrapText="1"/>
    </xf>
    <xf numFmtId="9" fontId="10" fillId="0" borderId="0" xfId="0" applyNumberFormat="1" applyFont="1" applyAlignment="1">
      <alignment horizontal="justify" vertical="center"/>
    </xf>
    <xf numFmtId="9" fontId="68" fillId="0" borderId="10" xfId="49" applyNumberFormat="1" applyFont="1" applyBorder="1" applyAlignment="1">
      <alignment horizontal="justify" vertical="center"/>
    </xf>
    <xf numFmtId="9" fontId="10" fillId="0" borderId="10" xfId="0" applyNumberFormat="1" applyFont="1" applyBorder="1" applyAlignment="1">
      <alignment horizontal="justify" vertical="center"/>
    </xf>
    <xf numFmtId="9" fontId="10" fillId="0" borderId="11" xfId="0" applyNumberFormat="1" applyFont="1" applyBorder="1" applyAlignment="1">
      <alignment horizontal="left" vertical="center"/>
    </xf>
    <xf numFmtId="9" fontId="10" fillId="0" borderId="0" xfId="0" applyNumberFormat="1" applyFont="1" applyAlignment="1">
      <alignment horizontal="justify" vertical="center"/>
    </xf>
    <xf numFmtId="9" fontId="68" fillId="0" borderId="16" xfId="0" applyNumberFormat="1" applyFont="1" applyBorder="1" applyAlignment="1">
      <alignment horizontal="left" vertical="center"/>
    </xf>
    <xf numFmtId="9" fontId="68" fillId="0" borderId="0" xfId="49" applyNumberFormat="1" applyFont="1" applyAlignment="1">
      <alignment horizontal="justify" vertical="center"/>
    </xf>
    <xf numFmtId="9" fontId="68" fillId="0" borderId="10" xfId="0" applyNumberFormat="1" applyFont="1" applyBorder="1" applyAlignment="1">
      <alignment horizontal="justify" vertical="center"/>
    </xf>
    <xf numFmtId="9" fontId="68" fillId="0" borderId="0" xfId="0" applyNumberFormat="1" applyFont="1" applyAlignment="1">
      <alignment horizontal="justify" vertical="center"/>
    </xf>
    <xf numFmtId="9" fontId="68" fillId="0" borderId="10" xfId="0" applyNumberFormat="1" applyFont="1" applyBorder="1" applyAlignment="1">
      <alignment vertical="center" wrapText="1"/>
    </xf>
    <xf numFmtId="9" fontId="68" fillId="0" borderId="11" xfId="0" applyNumberFormat="1" applyFont="1" applyBorder="1" applyAlignment="1">
      <alignment horizontal="left" vertical="center" wrapText="1"/>
    </xf>
    <xf numFmtId="0" fontId="10" fillId="0" borderId="14" xfId="0" applyFont="1" applyFill="1" applyBorder="1" applyAlignment="1">
      <alignment horizontal="left" vertical="center" wrapText="1"/>
    </xf>
    <xf numFmtId="0" fontId="68" fillId="0" borderId="14" xfId="0" applyFont="1" applyBorder="1" applyAlignment="1">
      <alignment horizontal="left" vertical="center" wrapText="1"/>
    </xf>
    <xf numFmtId="9" fontId="10" fillId="0" borderId="10" xfId="0" applyNumberFormat="1" applyFont="1" applyBorder="1" applyAlignment="1">
      <alignment horizontal="center" vertical="center"/>
    </xf>
    <xf numFmtId="9" fontId="10" fillId="0" borderId="0" xfId="0" applyNumberFormat="1" applyFont="1" applyAlignment="1">
      <alignment horizontal="center" vertical="center"/>
    </xf>
    <xf numFmtId="3" fontId="18" fillId="0" borderId="10" xfId="49"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0" fontId="12" fillId="0" borderId="13" xfId="0" applyFont="1" applyBorder="1" applyAlignment="1">
      <alignment horizontal="center" vertical="center" wrapText="1"/>
    </xf>
    <xf numFmtId="3" fontId="10" fillId="0" borderId="13" xfId="0" applyNumberFormat="1" applyFont="1" applyFill="1" applyBorder="1" applyAlignment="1">
      <alignment horizontal="center" vertical="center" wrapText="1"/>
    </xf>
    <xf numFmtId="9" fontId="10" fillId="0" borderId="13" xfId="0" applyNumberFormat="1" applyFont="1" applyBorder="1" applyAlignment="1">
      <alignment horizontal="center" vertical="center" wrapText="1"/>
    </xf>
    <xf numFmtId="9" fontId="68" fillId="0" borderId="10" xfId="0" applyNumberFormat="1" applyFont="1" applyBorder="1" applyAlignment="1">
      <alignment horizontal="center" vertical="center"/>
    </xf>
    <xf numFmtId="0" fontId="12" fillId="0" borderId="12" xfId="0" applyFont="1" applyBorder="1" applyAlignment="1">
      <alignment horizontal="justify" vertical="center" wrapText="1"/>
    </xf>
    <xf numFmtId="0" fontId="40" fillId="0" borderId="11" xfId="0" applyFont="1" applyBorder="1" applyAlignment="1">
      <alignment horizontal="left" vertical="center"/>
    </xf>
    <xf numFmtId="0" fontId="40" fillId="0" borderId="16" xfId="0" applyFont="1" applyBorder="1" applyAlignment="1">
      <alignment horizontal="left" vertical="center"/>
    </xf>
    <xf numFmtId="0" fontId="11" fillId="9" borderId="13" xfId="0" applyFont="1" applyFill="1" applyBorder="1" applyAlignment="1">
      <alignment horizontal="center" vertical="center" wrapText="1"/>
    </xf>
    <xf numFmtId="0" fontId="68" fillId="0" borderId="13" xfId="0" applyFont="1" applyBorder="1" applyAlignment="1">
      <alignment horizontal="justify" vertical="center" wrapText="1"/>
    </xf>
    <xf numFmtId="0" fontId="11" fillId="9" borderId="10" xfId="0" applyFont="1" applyFill="1" applyBorder="1" applyAlignment="1">
      <alignment horizontal="center" vertical="center" wrapText="1"/>
    </xf>
    <xf numFmtId="0" fontId="67" fillId="0" borderId="10" xfId="0" applyFont="1" applyBorder="1" applyAlignment="1">
      <alignment horizontal="justify" vertical="center" wrapText="1"/>
    </xf>
    <xf numFmtId="0" fontId="67" fillId="0" borderId="11" xfId="0" applyFont="1" applyBorder="1" applyAlignment="1">
      <alignment horizontal="justify" vertical="center" wrapText="1"/>
    </xf>
    <xf numFmtId="0" fontId="68" fillId="0" borderId="10" xfId="0" applyFont="1" applyFill="1" applyBorder="1" applyAlignment="1">
      <alignment horizontal="justify" vertical="center" wrapText="1"/>
    </xf>
    <xf numFmtId="0" fontId="10" fillId="0" borderId="13" xfId="0" applyFont="1" applyFill="1" applyBorder="1" applyAlignment="1">
      <alignment horizontal="left" vertical="center" wrapText="1"/>
    </xf>
    <xf numFmtId="9" fontId="12" fillId="33" borderId="10" xfId="63" applyNumberFormat="1" applyFont="1" applyFill="1" applyBorder="1" applyAlignment="1">
      <alignment horizontal="center" vertical="center"/>
    </xf>
    <xf numFmtId="9" fontId="10" fillId="0" borderId="10" xfId="0" applyNumberFormat="1" applyFont="1" applyBorder="1" applyAlignment="1">
      <alignment horizontal="justify" vertical="center"/>
    </xf>
    <xf numFmtId="9" fontId="10" fillId="0" borderId="11" xfId="0" applyNumberFormat="1" applyFont="1" applyBorder="1" applyAlignment="1">
      <alignment horizontal="left" vertical="center"/>
    </xf>
    <xf numFmtId="9" fontId="1" fillId="0" borderId="0" xfId="0" applyNumberFormat="1" applyFont="1" applyAlignment="1">
      <alignment horizontal="justify" vertical="center"/>
    </xf>
    <xf numFmtId="0" fontId="10" fillId="0" borderId="19" xfId="0" applyFont="1" applyBorder="1" applyAlignment="1">
      <alignment horizontal="left" vertical="center" wrapText="1"/>
    </xf>
    <xf numFmtId="9" fontId="10" fillId="0" borderId="19" xfId="63" applyNumberFormat="1" applyFont="1" applyFill="1" applyBorder="1" applyAlignment="1">
      <alignment horizontal="center" vertical="center"/>
    </xf>
    <xf numFmtId="9" fontId="10" fillId="0" borderId="12" xfId="63" applyNumberFormat="1" applyFont="1" applyBorder="1" applyAlignment="1">
      <alignment horizontal="center" vertical="center"/>
    </xf>
    <xf numFmtId="9" fontId="10" fillId="0" borderId="13" xfId="63" applyNumberFormat="1" applyFont="1" applyBorder="1" applyAlignment="1">
      <alignment horizontal="center" vertical="center"/>
    </xf>
    <xf numFmtId="9" fontId="68" fillId="0" borderId="11" xfId="0" applyNumberFormat="1" applyFont="1" applyBorder="1" applyAlignment="1">
      <alignment horizontal="left" vertical="center"/>
    </xf>
    <xf numFmtId="49" fontId="12" fillId="0" borderId="10" xfId="58" applyNumberFormat="1" applyFont="1" applyBorder="1" applyAlignment="1">
      <alignment horizontal="center" vertical="center" wrapText="1"/>
      <protection/>
    </xf>
    <xf numFmtId="0" fontId="10" fillId="9" borderId="17" xfId="0" applyFont="1" applyFill="1" applyBorder="1" applyAlignment="1">
      <alignment vertical="center" wrapText="1"/>
    </xf>
    <xf numFmtId="0" fontId="10" fillId="9" borderId="16" xfId="0" applyFont="1" applyFill="1" applyBorder="1" applyAlignment="1">
      <alignment vertical="center" wrapText="1"/>
    </xf>
    <xf numFmtId="9" fontId="10" fillId="0" borderId="10" xfId="61" applyNumberFormat="1" applyFont="1" applyFill="1" applyBorder="1" applyAlignment="1">
      <alignment horizontal="center" vertical="center"/>
    </xf>
    <xf numFmtId="9" fontId="10" fillId="0" borderId="0" xfId="0" applyNumberFormat="1" applyFont="1" applyBorder="1" applyAlignment="1">
      <alignment horizontal="justify" vertical="center"/>
    </xf>
    <xf numFmtId="0" fontId="10" fillId="0" borderId="0" xfId="0" applyNumberFormat="1" applyFont="1" applyFill="1" applyBorder="1" applyAlignment="1">
      <alignment horizontal="center" vertical="center"/>
    </xf>
    <xf numFmtId="9" fontId="10" fillId="0" borderId="10" xfId="0" applyNumberFormat="1" applyFont="1" applyBorder="1" applyAlignment="1">
      <alignment/>
    </xf>
    <xf numFmtId="9" fontId="10" fillId="0" borderId="0" xfId="0" applyNumberFormat="1" applyFont="1" applyAlignment="1">
      <alignment/>
    </xf>
    <xf numFmtId="9" fontId="10" fillId="0" borderId="0" xfId="0" applyNumberFormat="1" applyFont="1" applyAlignment="1">
      <alignment horizontal="center" vertical="center"/>
    </xf>
    <xf numFmtId="9" fontId="10" fillId="0" borderId="10" xfId="0" applyNumberFormat="1" applyFont="1" applyBorder="1" applyAlignment="1">
      <alignment horizontal="center"/>
    </xf>
    <xf numFmtId="9" fontId="10" fillId="0" borderId="10" xfId="0" applyNumberFormat="1" applyFont="1" applyBorder="1" applyAlignment="1">
      <alignment horizontal="center" vertical="center"/>
    </xf>
    <xf numFmtId="9" fontId="10" fillId="0" borderId="0" xfId="0" applyNumberFormat="1" applyFont="1" applyAlignment="1">
      <alignment horizontal="center"/>
    </xf>
    <xf numFmtId="0" fontId="10" fillId="0" borderId="0" xfId="0" applyFont="1" applyFill="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0" fillId="0" borderId="12" xfId="0" applyFont="1" applyBorder="1" applyAlignment="1">
      <alignment horizontal="center" vertical="center"/>
    </xf>
    <xf numFmtId="4" fontId="68" fillId="0" borderId="0" xfId="0" applyNumberFormat="1" applyFont="1" applyFill="1" applyAlignment="1">
      <alignment horizontal="justify" vertical="center"/>
    </xf>
    <xf numFmtId="9" fontId="68" fillId="0" borderId="0" xfId="0" applyNumberFormat="1" applyFont="1" applyFill="1" applyAlignment="1">
      <alignment horizontal="justify" vertical="center"/>
    </xf>
    <xf numFmtId="3" fontId="68" fillId="0" borderId="0" xfId="0" applyNumberFormat="1" applyFont="1" applyFill="1" applyAlignment="1">
      <alignment horizontal="justify" vertical="center"/>
    </xf>
    <xf numFmtId="9" fontId="68" fillId="0" borderId="10" xfId="0" applyNumberFormat="1" applyFont="1" applyFill="1" applyBorder="1" applyAlignment="1">
      <alignment horizontal="justify" vertical="center"/>
    </xf>
    <xf numFmtId="9" fontId="68" fillId="0" borderId="11" xfId="0" applyNumberFormat="1" applyFont="1" applyFill="1" applyBorder="1" applyAlignment="1">
      <alignment horizontal="left" vertical="center"/>
    </xf>
    <xf numFmtId="9" fontId="11" fillId="0" borderId="10" xfId="63" applyFont="1" applyBorder="1" applyAlignment="1">
      <alignment horizontal="center" vertical="center"/>
    </xf>
    <xf numFmtId="0" fontId="19" fillId="0" borderId="10" xfId="58" applyFont="1" applyFill="1" applyBorder="1" applyAlignment="1">
      <alignment horizontal="center" vertical="center" wrapText="1"/>
      <protection/>
    </xf>
    <xf numFmtId="0" fontId="19" fillId="0" borderId="11" xfId="58" applyFont="1" applyFill="1" applyBorder="1" applyAlignment="1">
      <alignment horizontal="center" vertical="center" wrapText="1"/>
      <protection/>
    </xf>
    <xf numFmtId="9" fontId="68" fillId="0" borderId="0" xfId="0" applyNumberFormat="1" applyFont="1" applyFill="1" applyAlignment="1">
      <alignment horizontal="center" vertical="center"/>
    </xf>
    <xf numFmtId="175" fontId="68" fillId="0" borderId="0" xfId="49" applyNumberFormat="1" applyFont="1" applyFill="1" applyAlignment="1">
      <alignment horizontal="justify" vertical="center"/>
    </xf>
    <xf numFmtId="175" fontId="68" fillId="0" borderId="0" xfId="0" applyNumberFormat="1" applyFont="1" applyFill="1" applyAlignment="1">
      <alignment horizontal="justify" vertical="center"/>
    </xf>
    <xf numFmtId="0" fontId="12" fillId="0" borderId="13" xfId="0" applyNumberFormat="1" applyFont="1" applyBorder="1" applyAlignment="1">
      <alignment horizontal="center" vertical="center" wrapText="1"/>
    </xf>
    <xf numFmtId="3" fontId="74" fillId="0" borderId="13" xfId="0" applyNumberFormat="1" applyFont="1" applyBorder="1" applyAlignment="1">
      <alignment horizontal="center" vertical="center" wrapText="1"/>
    </xf>
    <xf numFmtId="9" fontId="74" fillId="0" borderId="13" xfId="0" applyNumberFormat="1" applyFont="1" applyBorder="1" applyAlignment="1">
      <alignment horizontal="center" vertical="center" wrapText="1"/>
    </xf>
    <xf numFmtId="1" fontId="10" fillId="0" borderId="13" xfId="49" applyNumberFormat="1" applyFont="1" applyBorder="1" applyAlignment="1">
      <alignment horizontal="center" vertical="center" wrapText="1"/>
    </xf>
    <xf numFmtId="3" fontId="10" fillId="0" borderId="10" xfId="63" applyNumberFormat="1" applyFont="1" applyFill="1" applyBorder="1" applyAlignment="1">
      <alignment horizontal="center" vertical="center" wrapText="1"/>
    </xf>
    <xf numFmtId="0" fontId="67" fillId="0" borderId="10" xfId="0" applyFont="1" applyBorder="1" applyAlignment="1">
      <alignment horizontal="justify" vertical="center" wrapText="1"/>
    </xf>
    <xf numFmtId="0" fontId="10" fillId="0" borderId="10" xfId="0" applyFont="1" applyFill="1" applyBorder="1" applyAlignment="1">
      <alignment horizontal="justify" vertical="top" wrapText="1"/>
    </xf>
    <xf numFmtId="0" fontId="68" fillId="0" borderId="11" xfId="0" applyFont="1" applyFill="1" applyBorder="1" applyAlignment="1">
      <alignment horizontal="center" vertical="center" wrapText="1"/>
    </xf>
    <xf numFmtId="0" fontId="68" fillId="0" borderId="11" xfId="52" applyNumberFormat="1" applyFont="1" applyFill="1" applyBorder="1" applyAlignment="1">
      <alignment horizontal="center" vertical="center" wrapText="1"/>
    </xf>
    <xf numFmtId="9" fontId="68" fillId="0" borderId="14" xfId="63" applyFont="1" applyBorder="1" applyAlignment="1">
      <alignment horizontal="center" vertical="center" wrapText="1"/>
    </xf>
    <xf numFmtId="0" fontId="68" fillId="0" borderId="10" xfId="0" applyFont="1" applyFill="1" applyBorder="1" applyAlignment="1">
      <alignment horizontal="justify" vertical="center" wrapText="1"/>
    </xf>
    <xf numFmtId="9" fontId="12" fillId="0" borderId="19" xfId="0" applyNumberFormat="1" applyFont="1" applyBorder="1" applyAlignment="1">
      <alignment horizontal="center" vertical="center" wrapText="1"/>
    </xf>
    <xf numFmtId="9" fontId="74" fillId="0" borderId="13" xfId="0" applyNumberFormat="1" applyFont="1" applyBorder="1" applyAlignment="1">
      <alignment horizontal="center" vertical="center" wrapText="1"/>
    </xf>
    <xf numFmtId="9" fontId="68" fillId="0" borderId="10" xfId="0" applyNumberFormat="1" applyFont="1" applyBorder="1" applyAlignment="1">
      <alignment horizontal="center" vertical="center"/>
    </xf>
    <xf numFmtId="43" fontId="10" fillId="0" borderId="0" xfId="49" applyFont="1" applyBorder="1" applyAlignment="1">
      <alignment horizontal="justify" vertical="center"/>
    </xf>
    <xf numFmtId="43" fontId="10" fillId="0" borderId="0" xfId="0" applyNumberFormat="1" applyFont="1" applyBorder="1" applyAlignment="1">
      <alignment horizontal="justify" vertical="center"/>
    </xf>
    <xf numFmtId="0" fontId="39" fillId="0" borderId="0" xfId="0" applyFont="1" applyBorder="1" applyAlignment="1">
      <alignment vertical="center"/>
    </xf>
    <xf numFmtId="0" fontId="1" fillId="0" borderId="10" xfId="0" applyFont="1" applyBorder="1" applyAlignment="1">
      <alignment horizontal="justify" vertical="center" wrapText="1"/>
    </xf>
    <xf numFmtId="0" fontId="68" fillId="0" borderId="10" xfId="0" applyFont="1" applyBorder="1" applyAlignment="1">
      <alignment vertical="center"/>
    </xf>
    <xf numFmtId="9" fontId="10" fillId="0" borderId="10" xfId="49" applyNumberFormat="1" applyFont="1" applyBorder="1" applyAlignment="1">
      <alignment horizontal="center" vertical="center" wrapText="1"/>
    </xf>
    <xf numFmtId="9" fontId="68" fillId="0" borderId="10" xfId="49" applyNumberFormat="1" applyFont="1" applyBorder="1" applyAlignment="1">
      <alignment horizontal="center" vertical="center"/>
    </xf>
    <xf numFmtId="9" fontId="68" fillId="0" borderId="0" xfId="49" applyNumberFormat="1" applyFont="1" applyAlignment="1">
      <alignment horizontal="center" vertical="center"/>
    </xf>
    <xf numFmtId="0" fontId="68" fillId="0" borderId="10" xfId="0" applyFont="1" applyFill="1" applyBorder="1" applyAlignment="1">
      <alignment horizontal="center" vertical="center" wrapText="1"/>
    </xf>
    <xf numFmtId="0" fontId="68" fillId="0" borderId="10" xfId="0" applyFont="1" applyBorder="1" applyAlignment="1">
      <alignment horizontal="center" vertical="center"/>
    </xf>
    <xf numFmtId="1" fontId="12" fillId="0" borderId="12" xfId="63" applyNumberFormat="1" applyFont="1" applyFill="1" applyBorder="1" applyAlignment="1">
      <alignment horizontal="center" vertical="center" wrapText="1"/>
    </xf>
    <xf numFmtId="3" fontId="68" fillId="0" borderId="19" xfId="63" applyNumberFormat="1" applyFont="1" applyBorder="1" applyAlignment="1">
      <alignment horizontal="center" vertical="center" wrapText="1"/>
    </xf>
    <xf numFmtId="9" fontId="68" fillId="0" borderId="19" xfId="63" applyFont="1" applyFill="1" applyBorder="1" applyAlignment="1">
      <alignment horizontal="center" vertical="center" wrapText="1"/>
    </xf>
    <xf numFmtId="0" fontId="0" fillId="0" borderId="10" xfId="0" applyFont="1" applyFill="1" applyBorder="1" applyAlignment="1">
      <alignment horizontal="center" vertical="center"/>
    </xf>
    <xf numFmtId="9" fontId="0" fillId="0" borderId="11" xfId="61" applyFont="1" applyFill="1" applyBorder="1" applyAlignment="1">
      <alignment horizontal="center" vertical="center"/>
    </xf>
    <xf numFmtId="0" fontId="0" fillId="0" borderId="10" xfId="0" applyFont="1" applyBorder="1" applyAlignment="1">
      <alignment horizontal="center" vertical="center"/>
    </xf>
    <xf numFmtId="9" fontId="0" fillId="0" borderId="11" xfId="61" applyFont="1" applyBorder="1" applyAlignment="1">
      <alignment horizontal="center" vertical="center"/>
    </xf>
    <xf numFmtId="0" fontId="68" fillId="0" borderId="10" xfId="63" applyNumberFormat="1" applyFont="1" applyBorder="1" applyAlignment="1">
      <alignment horizontal="center" vertical="center" wrapText="1"/>
    </xf>
    <xf numFmtId="0" fontId="68" fillId="0" borderId="19" xfId="63" applyNumberFormat="1" applyFont="1" applyBorder="1" applyAlignment="1">
      <alignment horizontal="center" vertical="center" wrapText="1"/>
    </xf>
    <xf numFmtId="0" fontId="68" fillId="0" borderId="10" xfId="63" applyNumberFormat="1" applyFont="1" applyFill="1" applyBorder="1" applyAlignment="1">
      <alignment horizontal="center" vertical="center" wrapText="1"/>
    </xf>
    <xf numFmtId="2" fontId="68" fillId="0" borderId="10" xfId="63" applyNumberFormat="1" applyFont="1" applyBorder="1" applyAlignment="1">
      <alignment horizontal="center" vertical="center" wrapText="1"/>
    </xf>
    <xf numFmtId="2" fontId="68" fillId="0" borderId="10" xfId="63" applyNumberFormat="1" applyFont="1" applyFill="1" applyBorder="1" applyAlignment="1">
      <alignment horizontal="center" vertical="center" wrapText="1"/>
    </xf>
    <xf numFmtId="2" fontId="10" fillId="0" borderId="10" xfId="63" applyNumberFormat="1" applyFont="1" applyFill="1" applyBorder="1" applyAlignment="1">
      <alignment horizontal="center" vertical="center"/>
    </xf>
    <xf numFmtId="3" fontId="68" fillId="0" borderId="10" xfId="61" applyNumberFormat="1" applyFont="1" applyFill="1" applyBorder="1" applyAlignment="1">
      <alignment horizontal="center" vertical="center"/>
    </xf>
    <xf numFmtId="2" fontId="68" fillId="0" borderId="10" xfId="61" applyNumberFormat="1" applyFont="1" applyBorder="1" applyAlignment="1">
      <alignment horizontal="center" vertical="center"/>
    </xf>
    <xf numFmtId="1" fontId="10" fillId="0" borderId="10" xfId="63" applyNumberFormat="1" applyFont="1" applyFill="1" applyBorder="1" applyAlignment="1">
      <alignment horizontal="center" vertical="center" wrapText="1"/>
    </xf>
    <xf numFmtId="2" fontId="10" fillId="0" borderId="10" xfId="63" applyNumberFormat="1" applyFont="1" applyFill="1" applyBorder="1" applyAlignment="1">
      <alignment horizontal="center" vertical="center" wrapText="1"/>
    </xf>
    <xf numFmtId="0" fontId="10" fillId="0" borderId="10" xfId="52" applyNumberFormat="1" applyFont="1" applyBorder="1" applyAlignment="1">
      <alignment horizontal="center" vertical="center" wrapText="1"/>
    </xf>
    <xf numFmtId="0" fontId="1" fillId="0" borderId="10" xfId="52" applyNumberFormat="1" applyFont="1" applyBorder="1" applyAlignment="1">
      <alignment horizontal="center" vertical="center" wrapText="1"/>
    </xf>
    <xf numFmtId="2" fontId="10" fillId="0" borderId="10" xfId="0" applyNumberFormat="1" applyFont="1" applyBorder="1" applyAlignment="1">
      <alignment horizontal="center" vertical="center" wrapText="1"/>
    </xf>
    <xf numFmtId="3" fontId="10" fillId="0" borderId="10" xfId="63" applyNumberFormat="1" applyFont="1" applyFill="1" applyBorder="1" applyAlignment="1">
      <alignment horizontal="center" vertical="center"/>
    </xf>
    <xf numFmtId="2" fontId="68" fillId="0" borderId="10" xfId="0" applyNumberFormat="1" applyFont="1" applyFill="1" applyBorder="1" applyAlignment="1">
      <alignment horizontal="center" vertical="center" wrapText="1"/>
    </xf>
    <xf numFmtId="3" fontId="68" fillId="0" borderId="10" xfId="52" applyNumberFormat="1" applyFont="1" applyFill="1" applyBorder="1" applyAlignment="1">
      <alignment horizontal="center" vertical="center" wrapText="1"/>
    </xf>
    <xf numFmtId="2" fontId="68" fillId="0" borderId="13" xfId="52" applyNumberFormat="1" applyFont="1" applyBorder="1" applyAlignment="1">
      <alignment horizontal="center" vertical="center" wrapText="1"/>
    </xf>
    <xf numFmtId="2" fontId="68" fillId="0" borderId="10" xfId="0" applyNumberFormat="1" applyFont="1" applyBorder="1" applyAlignment="1">
      <alignment horizontal="center" vertical="center" wrapText="1"/>
    </xf>
    <xf numFmtId="2" fontId="68" fillId="0" borderId="10" xfId="52" applyNumberFormat="1" applyFont="1" applyBorder="1" applyAlignment="1">
      <alignment horizontal="center" vertical="center" wrapText="1"/>
    </xf>
    <xf numFmtId="2" fontId="10" fillId="0" borderId="10" xfId="0" applyNumberFormat="1" applyFont="1" applyFill="1" applyBorder="1" applyAlignment="1">
      <alignment horizontal="center" vertical="center" wrapText="1"/>
    </xf>
    <xf numFmtId="4" fontId="10" fillId="0" borderId="10" xfId="52" applyNumberFormat="1" applyFont="1" applyBorder="1" applyAlignment="1">
      <alignment horizontal="center" vertical="center" wrapText="1"/>
    </xf>
    <xf numFmtId="4" fontId="10" fillId="0" borderId="10" xfId="0" applyNumberFormat="1" applyFont="1" applyBorder="1" applyAlignment="1">
      <alignment horizontal="center" vertical="center" wrapText="1"/>
    </xf>
    <xf numFmtId="9" fontId="10" fillId="0" borderId="12" xfId="0" applyNumberFormat="1" applyFont="1" applyFill="1" applyBorder="1" applyAlignment="1">
      <alignment horizontal="center" vertical="center" wrapText="1"/>
    </xf>
    <xf numFmtId="3" fontId="10" fillId="0" borderId="13" xfId="52" applyNumberFormat="1" applyFont="1" applyFill="1" applyBorder="1" applyAlignment="1">
      <alignment horizontal="center" vertical="center"/>
    </xf>
    <xf numFmtId="0" fontId="12" fillId="0" borderId="12"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0" xfId="0" applyFont="1" applyBorder="1" applyAlignment="1">
      <alignment horizontal="center" vertical="center"/>
    </xf>
    <xf numFmtId="0" fontId="68" fillId="0" borderId="13" xfId="0" applyFont="1" applyFill="1" applyBorder="1" applyAlignment="1">
      <alignment vertical="center" wrapText="1"/>
    </xf>
    <xf numFmtId="2" fontId="68" fillId="0" borderId="10" xfId="61" applyNumberFormat="1" applyFont="1" applyFill="1" applyBorder="1" applyAlignment="1">
      <alignment horizontal="center" vertical="center"/>
    </xf>
    <xf numFmtId="2" fontId="10" fillId="0" borderId="10" xfId="0" applyNumberFormat="1" applyFont="1" applyFill="1" applyBorder="1" applyAlignment="1">
      <alignment horizontal="center" vertical="center"/>
    </xf>
    <xf numFmtId="2" fontId="10" fillId="0" borderId="10" xfId="61" applyNumberFormat="1" applyFont="1" applyFill="1" applyBorder="1" applyAlignment="1">
      <alignment horizontal="center" vertical="center" wrapText="1"/>
    </xf>
    <xf numFmtId="2" fontId="10" fillId="0" borderId="10" xfId="61" applyNumberFormat="1" applyFont="1" applyBorder="1" applyAlignment="1">
      <alignment horizontal="center" vertical="center" wrapText="1"/>
    </xf>
    <xf numFmtId="3" fontId="10" fillId="34" borderId="12" xfId="0" applyNumberFormat="1" applyFont="1" applyFill="1" applyBorder="1" applyAlignment="1">
      <alignment horizontal="center" vertical="center"/>
    </xf>
    <xf numFmtId="49" fontId="68" fillId="0" borderId="0" xfId="0" applyNumberFormat="1" applyFont="1" applyFill="1" applyAlignment="1">
      <alignment horizontal="justify" vertical="center"/>
    </xf>
    <xf numFmtId="43" fontId="68" fillId="0" borderId="0" xfId="0" applyNumberFormat="1" applyFont="1" applyFill="1" applyAlignment="1">
      <alignment horizontal="justify" vertical="center"/>
    </xf>
    <xf numFmtId="0" fontId="10" fillId="0" borderId="16" xfId="0" applyFont="1" applyFill="1" applyBorder="1" applyAlignment="1">
      <alignment horizontal="justify" vertical="center" wrapText="1"/>
    </xf>
    <xf numFmtId="0" fontId="73" fillId="0" borderId="10" xfId="0" applyFont="1" applyBorder="1" applyAlignment="1">
      <alignment horizontal="justify" vertical="center" wrapText="1"/>
    </xf>
    <xf numFmtId="0" fontId="0" fillId="0" borderId="10" xfId="0" applyFont="1" applyBorder="1" applyAlignment="1">
      <alignment horizontal="justify" vertical="center" wrapText="1"/>
    </xf>
    <xf numFmtId="9" fontId="1" fillId="0" borderId="10" xfId="63" applyNumberFormat="1" applyFont="1" applyBorder="1" applyAlignment="1">
      <alignment horizontal="center" vertical="center"/>
    </xf>
    <xf numFmtId="0" fontId="10" fillId="0" borderId="13" xfId="0" applyFont="1" applyFill="1" applyBorder="1" applyAlignment="1">
      <alignment vertical="center" wrapText="1"/>
    </xf>
    <xf numFmtId="0" fontId="10" fillId="0" borderId="10" xfId="0" applyFont="1" applyFill="1" applyBorder="1" applyAlignment="1">
      <alignment vertical="center" wrapText="1"/>
    </xf>
    <xf numFmtId="0" fontId="12" fillId="0" borderId="13" xfId="0" applyFont="1" applyFill="1" applyBorder="1" applyAlignment="1">
      <alignment vertical="center" wrapText="1"/>
    </xf>
    <xf numFmtId="3" fontId="12" fillId="0" borderId="13" xfId="0" applyNumberFormat="1" applyFont="1" applyFill="1" applyBorder="1" applyAlignment="1">
      <alignment vertical="center" wrapText="1"/>
    </xf>
    <xf numFmtId="9" fontId="12" fillId="0" borderId="13" xfId="0" applyNumberFormat="1" applyFont="1" applyFill="1" applyBorder="1" applyAlignment="1">
      <alignment vertical="center" wrapText="1"/>
    </xf>
    <xf numFmtId="9" fontId="17" fillId="0" borderId="10" xfId="52" applyNumberFormat="1" applyFont="1" applyFill="1" applyBorder="1" applyAlignment="1">
      <alignment horizontal="center" vertical="center" wrapText="1"/>
    </xf>
    <xf numFmtId="3" fontId="12" fillId="0" borderId="10" xfId="52" applyNumberFormat="1" applyFont="1" applyFill="1" applyBorder="1" applyAlignment="1">
      <alignment vertical="center"/>
    </xf>
    <xf numFmtId="9" fontId="12" fillId="0" borderId="10" xfId="58" applyNumberFormat="1" applyFont="1" applyFill="1" applyBorder="1" applyAlignment="1">
      <alignment vertical="center" wrapText="1"/>
      <protection/>
    </xf>
    <xf numFmtId="9" fontId="17" fillId="0" borderId="10" xfId="58" applyNumberFormat="1" applyFont="1" applyFill="1" applyBorder="1" applyAlignment="1">
      <alignment horizontal="center" vertical="center" wrapText="1"/>
      <protection/>
    </xf>
    <xf numFmtId="9" fontId="12" fillId="0" borderId="10" xfId="0" applyNumberFormat="1" applyFont="1" applyFill="1" applyBorder="1" applyAlignment="1">
      <alignment horizontal="center" vertical="center" wrapText="1"/>
    </xf>
    <xf numFmtId="3" fontId="12" fillId="0" borderId="10" xfId="0" applyNumberFormat="1" applyFont="1" applyFill="1" applyBorder="1" applyAlignment="1">
      <alignment vertical="center" wrapText="1"/>
    </xf>
    <xf numFmtId="9" fontId="12" fillId="0" borderId="10" xfId="0" applyNumberFormat="1" applyFont="1" applyFill="1" applyBorder="1" applyAlignment="1">
      <alignment vertical="center" wrapText="1"/>
    </xf>
    <xf numFmtId="9" fontId="10" fillId="0" borderId="13" xfId="63" applyNumberFormat="1" applyFont="1" applyBorder="1" applyAlignment="1">
      <alignment vertical="center"/>
    </xf>
    <xf numFmtId="9" fontId="1" fillId="0" borderId="10" xfId="0" applyNumberFormat="1" applyFont="1" applyBorder="1" applyAlignment="1">
      <alignment horizontal="center" vertical="center"/>
    </xf>
    <xf numFmtId="9" fontId="1" fillId="0" borderId="12" xfId="0" applyNumberFormat="1" applyFont="1" applyBorder="1" applyAlignment="1">
      <alignment horizontal="center" vertical="center"/>
    </xf>
    <xf numFmtId="0" fontId="75" fillId="0" borderId="10" xfId="0" applyFont="1" applyBorder="1" applyAlignment="1">
      <alignment horizontal="justify" vertical="center" wrapText="1"/>
    </xf>
    <xf numFmtId="0" fontId="76" fillId="0" borderId="10" xfId="0" applyFont="1" applyBorder="1" applyAlignment="1">
      <alignment horizontal="justify" vertical="center" wrapText="1"/>
    </xf>
    <xf numFmtId="9" fontId="1" fillId="0" borderId="12" xfId="0" applyNumberFormat="1" applyFont="1" applyFill="1" applyBorder="1" applyAlignment="1">
      <alignment horizontal="center" vertical="center"/>
    </xf>
    <xf numFmtId="9" fontId="17" fillId="0" borderId="10" xfId="0" applyNumberFormat="1" applyFont="1" applyBorder="1" applyAlignment="1">
      <alignment horizontal="center" vertical="center"/>
    </xf>
    <xf numFmtId="0" fontId="73" fillId="35" borderId="10" xfId="0" applyFont="1" applyFill="1" applyBorder="1" applyAlignment="1">
      <alignment horizontal="justify" vertical="center" wrapText="1"/>
    </xf>
    <xf numFmtId="9" fontId="1" fillId="34" borderId="10" xfId="63" applyNumberFormat="1" applyFont="1" applyFill="1" applyBorder="1" applyAlignment="1">
      <alignment horizontal="center" vertical="center"/>
    </xf>
    <xf numFmtId="9" fontId="1" fillId="0" borderId="13" xfId="0" applyNumberFormat="1" applyFont="1" applyBorder="1" applyAlignment="1">
      <alignment horizontal="center" vertical="center"/>
    </xf>
    <xf numFmtId="175" fontId="1" fillId="0" borderId="10" xfId="52" applyNumberFormat="1" applyFont="1" applyFill="1" applyBorder="1" applyAlignment="1">
      <alignment horizontal="center" vertical="center"/>
    </xf>
    <xf numFmtId="3" fontId="10" fillId="0" borderId="19" xfId="52" applyNumberFormat="1" applyFont="1" applyBorder="1" applyAlignment="1">
      <alignment horizontal="right" vertical="center"/>
    </xf>
    <xf numFmtId="175" fontId="1" fillId="0" borderId="10" xfId="52" applyNumberFormat="1" applyFont="1" applyFill="1" applyBorder="1" applyAlignment="1">
      <alignment horizontal="right" vertical="center"/>
    </xf>
    <xf numFmtId="3" fontId="17" fillId="0" borderId="16" xfId="52" applyNumberFormat="1" applyFont="1" applyFill="1" applyBorder="1" applyAlignment="1">
      <alignment horizontal="right" vertical="center"/>
    </xf>
    <xf numFmtId="3" fontId="17" fillId="0" borderId="10" xfId="52" applyNumberFormat="1" applyFont="1" applyFill="1" applyBorder="1" applyAlignment="1">
      <alignment horizontal="right" vertical="center"/>
    </xf>
    <xf numFmtId="175" fontId="39" fillId="0" borderId="10" xfId="52" applyNumberFormat="1" applyFont="1" applyFill="1" applyBorder="1" applyAlignment="1">
      <alignment horizontal="center" vertical="center"/>
    </xf>
    <xf numFmtId="0" fontId="12" fillId="0" borderId="10" xfId="0" applyFont="1" applyFill="1" applyBorder="1" applyAlignment="1">
      <alignment vertical="center" wrapText="1"/>
    </xf>
    <xf numFmtId="0" fontId="68" fillId="0" borderId="10" xfId="0" applyFont="1" applyFill="1" applyBorder="1" applyAlignment="1">
      <alignment vertical="center" wrapText="1"/>
    </xf>
    <xf numFmtId="3" fontId="12" fillId="0" borderId="10" xfId="0" applyNumberFormat="1" applyFont="1" applyFill="1" applyBorder="1" applyAlignment="1">
      <alignment horizontal="right" vertical="center" wrapText="1"/>
    </xf>
    <xf numFmtId="9" fontId="10" fillId="0" borderId="10" xfId="52" applyNumberFormat="1" applyFont="1" applyBorder="1" applyAlignment="1">
      <alignment horizontal="center" vertical="center"/>
    </xf>
    <xf numFmtId="9" fontId="10" fillId="0" borderId="10" xfId="52" applyNumberFormat="1" applyFont="1" applyBorder="1" applyAlignment="1">
      <alignment vertical="center"/>
    </xf>
    <xf numFmtId="9" fontId="10" fillId="0" borderId="13" xfId="0" applyNumberFormat="1" applyFont="1" applyFill="1" applyBorder="1" applyAlignment="1">
      <alignment vertical="center" wrapText="1"/>
    </xf>
    <xf numFmtId="3" fontId="11" fillId="0" borderId="10" xfId="49" applyNumberFormat="1" applyFont="1" applyFill="1" applyBorder="1" applyAlignment="1">
      <alignment horizontal="right" vertical="center" wrapText="1"/>
    </xf>
    <xf numFmtId="3" fontId="10" fillId="0" borderId="10" xfId="52" applyNumberFormat="1" applyFont="1" applyFill="1" applyBorder="1" applyAlignment="1">
      <alignment horizontal="right" vertical="center"/>
    </xf>
    <xf numFmtId="175" fontId="17" fillId="0" borderId="10" xfId="52" applyNumberFormat="1" applyFont="1" applyFill="1" applyBorder="1" applyAlignment="1">
      <alignment horizontal="center" vertical="center"/>
    </xf>
    <xf numFmtId="175" fontId="0" fillId="0" borderId="12" xfId="53" applyNumberFormat="1" applyFont="1" applyFill="1" applyBorder="1" applyAlignment="1">
      <alignment horizontal="right" vertical="center"/>
    </xf>
    <xf numFmtId="3" fontId="10" fillId="0" borderId="19" xfId="52" applyNumberFormat="1" applyFont="1" applyFill="1" applyBorder="1" applyAlignment="1">
      <alignment horizontal="right" vertical="center"/>
    </xf>
    <xf numFmtId="3" fontId="10" fillId="0" borderId="13" xfId="52" applyNumberFormat="1" applyFont="1" applyFill="1" applyBorder="1" applyAlignment="1">
      <alignment vertical="center"/>
    </xf>
    <xf numFmtId="175" fontId="17" fillId="0" borderId="10" xfId="53" applyNumberFormat="1" applyFont="1" applyFill="1" applyBorder="1" applyAlignment="1">
      <alignment horizontal="right" vertical="center"/>
    </xf>
    <xf numFmtId="3" fontId="10" fillId="0" borderId="10" xfId="52" applyNumberFormat="1" applyFont="1" applyFill="1" applyBorder="1" applyAlignment="1">
      <alignment vertical="center"/>
    </xf>
    <xf numFmtId="175" fontId="1" fillId="0" borderId="12" xfId="52" applyNumberFormat="1" applyFont="1" applyFill="1" applyBorder="1" applyAlignment="1">
      <alignment horizontal="center" vertical="center"/>
    </xf>
    <xf numFmtId="3" fontId="0" fillId="0" borderId="0" xfId="0" applyNumberFormat="1" applyFill="1" applyBorder="1" applyAlignment="1" applyProtection="1">
      <alignment/>
      <protection/>
    </xf>
    <xf numFmtId="3" fontId="68" fillId="0" borderId="0" xfId="0" applyNumberFormat="1" applyFont="1" applyFill="1" applyAlignment="1">
      <alignment horizontal="right" vertical="center"/>
    </xf>
    <xf numFmtId="1" fontId="10" fillId="0" borderId="10" xfId="52" applyNumberFormat="1" applyFont="1" applyFill="1" applyBorder="1" applyAlignment="1">
      <alignment horizontal="center" vertical="center"/>
    </xf>
    <xf numFmtId="0" fontId="11" fillId="0" borderId="0" xfId="0" applyFont="1" applyFill="1" applyAlignment="1">
      <alignment horizontal="center" vertical="center"/>
    </xf>
    <xf numFmtId="3" fontId="47" fillId="0" borderId="0" xfId="0" applyNumberFormat="1" applyFont="1" applyFill="1" applyBorder="1" applyAlignment="1">
      <alignment vertical="center"/>
    </xf>
    <xf numFmtId="3" fontId="10" fillId="0" borderId="12"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0" fontId="10" fillId="9" borderId="12"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40" fillId="0" borderId="10" xfId="0" applyFont="1" applyBorder="1" applyAlignment="1">
      <alignment horizontal="left" vertical="center"/>
    </xf>
    <xf numFmtId="0" fontId="11" fillId="3" borderId="2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3" fontId="10" fillId="0" borderId="12" xfId="0" applyNumberFormat="1" applyFont="1" applyFill="1" applyBorder="1" applyAlignment="1">
      <alignment horizontal="center" vertical="center"/>
    </xf>
    <xf numFmtId="3" fontId="10" fillId="0" borderId="13" xfId="0" applyNumberFormat="1" applyFont="1" applyFill="1" applyBorder="1" applyAlignment="1">
      <alignment horizontal="center" vertical="center"/>
    </xf>
    <xf numFmtId="9" fontId="10" fillId="0" borderId="12" xfId="0" applyNumberFormat="1" applyFont="1" applyFill="1" applyBorder="1" applyAlignment="1">
      <alignment horizontal="center" vertical="center"/>
    </xf>
    <xf numFmtId="9" fontId="10" fillId="0" borderId="13" xfId="0" applyNumberFormat="1" applyFont="1" applyFill="1" applyBorder="1" applyAlignment="1">
      <alignment horizontal="center" vertical="center"/>
    </xf>
    <xf numFmtId="0" fontId="10" fillId="0" borderId="10" xfId="0" applyFont="1" applyBorder="1" applyAlignment="1">
      <alignment horizontal="justify" vertical="center" wrapText="1"/>
    </xf>
    <xf numFmtId="175" fontId="10" fillId="9" borderId="12" xfId="49" applyNumberFormat="1" applyFont="1" applyFill="1" applyBorder="1" applyAlignment="1">
      <alignment horizontal="center" vertical="center" wrapText="1"/>
    </xf>
    <xf numFmtId="175" fontId="10" fillId="9" borderId="13" xfId="49" applyNumberFormat="1" applyFont="1" applyFill="1" applyBorder="1" applyAlignment="1">
      <alignment horizontal="center" vertical="center" wrapText="1"/>
    </xf>
    <xf numFmtId="3" fontId="10" fillId="0" borderId="19" xfId="0" applyNumberFormat="1" applyFont="1" applyBorder="1" applyAlignment="1">
      <alignment horizontal="center" vertical="center" wrapText="1"/>
    </xf>
    <xf numFmtId="0" fontId="0" fillId="0" borderId="1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2" fillId="0" borderId="12" xfId="58" applyFont="1" applyBorder="1" applyAlignment="1">
      <alignment horizontal="center" vertical="center" wrapText="1"/>
      <protection/>
    </xf>
    <xf numFmtId="0" fontId="12" fillId="0" borderId="13" xfId="58" applyFont="1" applyBorder="1" applyAlignment="1">
      <alignment horizontal="center" vertical="center" wrapText="1"/>
      <protection/>
    </xf>
    <xf numFmtId="0" fontId="10" fillId="0" borderId="12" xfId="0" applyFont="1" applyBorder="1" applyAlignment="1">
      <alignment horizontal="justify" vertical="center" wrapText="1"/>
    </xf>
    <xf numFmtId="0" fontId="10" fillId="0" borderId="13" xfId="0" applyFont="1" applyBorder="1" applyAlignment="1">
      <alignment horizontal="justify" vertical="center" wrapText="1"/>
    </xf>
    <xf numFmtId="0" fontId="10" fillId="0" borderId="12" xfId="61" applyNumberFormat="1" applyFont="1" applyFill="1" applyBorder="1" applyAlignment="1">
      <alignment horizontal="center" vertical="center" wrapText="1"/>
    </xf>
    <xf numFmtId="0" fontId="10" fillId="0" borderId="13" xfId="61" applyNumberFormat="1" applyFont="1" applyFill="1" applyBorder="1" applyAlignment="1">
      <alignment horizontal="center" vertical="center" wrapText="1"/>
    </xf>
    <xf numFmtId="9" fontId="10" fillId="9" borderId="12" xfId="0" applyNumberFormat="1" applyFont="1" applyFill="1" applyBorder="1" applyAlignment="1">
      <alignment horizontal="center" vertical="center" wrapText="1"/>
    </xf>
    <xf numFmtId="9" fontId="10" fillId="9" borderId="13" xfId="0" applyNumberFormat="1" applyFont="1" applyFill="1" applyBorder="1" applyAlignment="1">
      <alignment horizontal="center" vertical="center" wrapText="1"/>
    </xf>
    <xf numFmtId="9" fontId="10" fillId="0" borderId="12" xfId="0" applyNumberFormat="1" applyFont="1" applyBorder="1" applyAlignment="1">
      <alignment horizontal="center" vertical="center" wrapText="1"/>
    </xf>
    <xf numFmtId="9" fontId="10" fillId="0" borderId="13" xfId="0" applyNumberFormat="1" applyFont="1" applyBorder="1" applyAlignment="1">
      <alignment horizontal="center" vertical="center" wrapText="1"/>
    </xf>
    <xf numFmtId="9" fontId="10" fillId="0" borderId="19" xfId="0" applyNumberFormat="1" applyFont="1" applyBorder="1" applyAlignment="1">
      <alignment horizontal="center" vertical="center" wrapText="1"/>
    </xf>
    <xf numFmtId="9" fontId="10" fillId="0" borderId="12" xfId="61" applyFont="1" applyFill="1" applyBorder="1" applyAlignment="1">
      <alignment horizontal="center" vertical="center" wrapText="1"/>
    </xf>
    <xf numFmtId="9" fontId="10" fillId="0" borderId="13" xfId="61" applyFont="1" applyFill="1" applyBorder="1" applyAlignment="1">
      <alignment horizontal="center" vertical="center" wrapText="1"/>
    </xf>
    <xf numFmtId="0" fontId="10" fillId="0" borderId="19" xfId="0" applyFont="1" applyBorder="1" applyAlignment="1">
      <alignment horizontal="justify" vertical="center" wrapText="1"/>
    </xf>
    <xf numFmtId="0" fontId="12" fillId="9" borderId="11"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2" fillId="9" borderId="13" xfId="0" applyFont="1" applyFill="1" applyBorder="1" applyAlignment="1">
      <alignment horizontal="center" vertical="center" wrapText="1"/>
    </xf>
    <xf numFmtId="49" fontId="17" fillId="0" borderId="11" xfId="58" applyNumberFormat="1" applyFont="1" applyFill="1" applyBorder="1" applyAlignment="1">
      <alignment horizontal="center" vertical="center" wrapText="1"/>
      <protection/>
    </xf>
    <xf numFmtId="49" fontId="17" fillId="0" borderId="17" xfId="58" applyNumberFormat="1" applyFont="1" applyFill="1" applyBorder="1" applyAlignment="1">
      <alignment horizontal="center" vertical="center" wrapText="1"/>
      <protection/>
    </xf>
    <xf numFmtId="49" fontId="17" fillId="0" borderId="16" xfId="58" applyNumberFormat="1" applyFont="1" applyFill="1" applyBorder="1" applyAlignment="1">
      <alignment horizontal="center" vertical="center" wrapText="1"/>
      <protection/>
    </xf>
    <xf numFmtId="0" fontId="77" fillId="0" borderId="11" xfId="0" applyFont="1" applyFill="1" applyBorder="1" applyAlignment="1">
      <alignment horizontal="left" vertical="center" wrapText="1"/>
    </xf>
    <xf numFmtId="0" fontId="77" fillId="0" borderId="17" xfId="0" applyFont="1" applyFill="1" applyBorder="1" applyAlignment="1">
      <alignment horizontal="left" vertical="center" wrapText="1"/>
    </xf>
    <xf numFmtId="9" fontId="10" fillId="0" borderId="19" xfId="61" applyFont="1" applyFill="1" applyBorder="1" applyAlignment="1">
      <alignment horizontal="center" vertical="center" wrapText="1"/>
    </xf>
    <xf numFmtId="0" fontId="10" fillId="9" borderId="26" xfId="0" applyFont="1" applyFill="1" applyBorder="1" applyAlignment="1">
      <alignment horizontal="left" vertical="center" wrapText="1"/>
    </xf>
    <xf numFmtId="0" fontId="10" fillId="9" borderId="13" xfId="0" applyFont="1" applyFill="1" applyBorder="1" applyAlignment="1">
      <alignment horizontal="left" vertical="center" wrapText="1"/>
    </xf>
    <xf numFmtId="0" fontId="10" fillId="9" borderId="15" xfId="0" applyFont="1" applyFill="1" applyBorder="1" applyAlignment="1">
      <alignment horizontal="left" vertical="center" wrapText="1"/>
    </xf>
    <xf numFmtId="0" fontId="10" fillId="9" borderId="14" xfId="0" applyFont="1" applyFill="1" applyBorder="1" applyAlignment="1">
      <alignment horizontal="left" vertical="center" wrapText="1"/>
    </xf>
    <xf numFmtId="172" fontId="10" fillId="0" borderId="12" xfId="0" applyNumberFormat="1" applyFont="1" applyBorder="1" applyAlignment="1">
      <alignment horizontal="center" vertical="center" wrapText="1"/>
    </xf>
    <xf numFmtId="172" fontId="10" fillId="0" borderId="13" xfId="0" applyNumberFormat="1" applyFont="1" applyBorder="1" applyAlignment="1">
      <alignment horizontal="center" vertical="center" wrapText="1"/>
    </xf>
    <xf numFmtId="9" fontId="10" fillId="9" borderId="12" xfId="49" applyNumberFormat="1" applyFont="1" applyFill="1" applyBorder="1" applyAlignment="1">
      <alignment horizontal="center" vertical="center" wrapText="1"/>
    </xf>
    <xf numFmtId="9" fontId="10" fillId="9" borderId="13" xfId="49" applyNumberFormat="1" applyFont="1" applyFill="1" applyBorder="1" applyAlignment="1">
      <alignment horizontal="center" vertical="center" wrapText="1"/>
    </xf>
    <xf numFmtId="172" fontId="10" fillId="0" borderId="10" xfId="0" applyNumberFormat="1" applyFont="1" applyBorder="1" applyAlignment="1">
      <alignment horizontal="center" vertical="center" wrapText="1"/>
    </xf>
    <xf numFmtId="0" fontId="12" fillId="0" borderId="19" xfId="58" applyFont="1" applyBorder="1" applyAlignment="1">
      <alignment horizontal="center" vertical="center" wrapText="1"/>
      <protection/>
    </xf>
    <xf numFmtId="3" fontId="10" fillId="0" borderId="12" xfId="61" applyNumberFormat="1" applyFont="1" applyFill="1" applyBorder="1" applyAlignment="1">
      <alignment horizontal="center" vertical="center" wrapText="1"/>
    </xf>
    <xf numFmtId="3" fontId="10" fillId="0" borderId="19" xfId="61" applyNumberFormat="1" applyFont="1" applyFill="1" applyBorder="1" applyAlignment="1">
      <alignment horizontal="center" vertical="center" wrapText="1"/>
    </xf>
    <xf numFmtId="3" fontId="10" fillId="0" borderId="13" xfId="61" applyNumberFormat="1" applyFont="1" applyFill="1" applyBorder="1" applyAlignment="1">
      <alignment horizontal="center" vertical="center" wrapText="1"/>
    </xf>
    <xf numFmtId="0" fontId="10" fillId="0" borderId="19" xfId="61" applyNumberFormat="1" applyFont="1" applyFill="1" applyBorder="1" applyAlignment="1">
      <alignment horizontal="center" vertical="center" wrapText="1"/>
    </xf>
    <xf numFmtId="0" fontId="10" fillId="9" borderId="13" xfId="0" applyFont="1" applyFill="1" applyBorder="1" applyAlignment="1">
      <alignment horizontal="center" vertical="center" wrapText="1"/>
    </xf>
    <xf numFmtId="0" fontId="68" fillId="0" borderId="12" xfId="0" applyFont="1" applyFill="1" applyBorder="1" applyAlignment="1">
      <alignment horizontal="justify" vertical="center" wrapText="1"/>
    </xf>
    <xf numFmtId="0" fontId="68" fillId="0" borderId="13" xfId="0" applyFont="1" applyFill="1" applyBorder="1" applyAlignment="1">
      <alignment horizontal="justify" vertical="center" wrapText="1"/>
    </xf>
    <xf numFmtId="0" fontId="10" fillId="0" borderId="19" xfId="0" applyFont="1" applyBorder="1" applyAlignment="1">
      <alignment horizontal="justify" vertical="center" wrapText="1"/>
    </xf>
    <xf numFmtId="0" fontId="10" fillId="0" borderId="13"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8"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12" xfId="0" applyFont="1" applyBorder="1" applyAlignment="1">
      <alignment horizontal="justify" vertical="center" wrapText="1"/>
    </xf>
    <xf numFmtId="180" fontId="10" fillId="0" borderId="10" xfId="0" applyNumberFormat="1" applyFont="1" applyFill="1" applyBorder="1" applyAlignment="1">
      <alignment horizontal="center" vertical="center"/>
    </xf>
    <xf numFmtId="9" fontId="10" fillId="0" borderId="12" xfId="0" applyNumberFormat="1" applyFont="1" applyFill="1" applyBorder="1" applyAlignment="1">
      <alignment horizontal="center" vertical="center" wrapText="1"/>
    </xf>
    <xf numFmtId="9" fontId="10" fillId="0" borderId="13" xfId="0" applyNumberFormat="1" applyFont="1" applyFill="1" applyBorder="1" applyAlignment="1">
      <alignment horizontal="center" vertical="center" wrapText="1"/>
    </xf>
    <xf numFmtId="3" fontId="10" fillId="0" borderId="12" xfId="0" applyNumberFormat="1" applyFont="1" applyBorder="1" applyAlignment="1">
      <alignment horizontal="center" vertical="center" wrapText="1"/>
    </xf>
    <xf numFmtId="0" fontId="10" fillId="0" borderId="13" xfId="0" applyFont="1" applyBorder="1" applyAlignment="1">
      <alignment horizontal="center" vertical="center" wrapText="1"/>
    </xf>
    <xf numFmtId="9" fontId="10" fillId="0" borderId="12" xfId="0" applyNumberFormat="1" applyFont="1" applyBorder="1" applyAlignment="1">
      <alignment horizontal="center" vertical="center" wrapText="1"/>
    </xf>
    <xf numFmtId="9" fontId="10" fillId="0" borderId="13" xfId="0" applyNumberFormat="1" applyFont="1" applyBorder="1" applyAlignment="1">
      <alignment horizontal="center" vertical="center" wrapText="1"/>
    </xf>
    <xf numFmtId="0" fontId="10" fillId="0" borderId="19" xfId="0" applyFont="1" applyBorder="1" applyAlignment="1">
      <alignment horizontal="center" vertical="center" wrapText="1"/>
    </xf>
    <xf numFmtId="9" fontId="10" fillId="0" borderId="19"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9" borderId="10" xfId="0" applyFont="1" applyFill="1" applyBorder="1" applyAlignment="1">
      <alignment horizontal="left" vertical="center" wrapText="1"/>
    </xf>
    <xf numFmtId="0" fontId="10" fillId="9" borderId="17" xfId="0" applyFont="1" applyFill="1" applyBorder="1" applyAlignment="1">
      <alignment horizontal="left" vertical="center" wrapText="1"/>
    </xf>
    <xf numFmtId="0" fontId="10" fillId="9" borderId="16" xfId="0" applyFont="1" applyFill="1" applyBorder="1" applyAlignment="1">
      <alignment horizontal="left" vertical="center" wrapText="1"/>
    </xf>
    <xf numFmtId="0" fontId="10" fillId="9" borderId="11" xfId="0" applyFont="1" applyFill="1" applyBorder="1" applyAlignment="1">
      <alignment horizontal="left" vertical="center" wrapText="1"/>
    </xf>
    <xf numFmtId="0" fontId="10" fillId="9" borderId="10" xfId="0" applyFont="1" applyFill="1" applyBorder="1" applyAlignment="1">
      <alignment horizontal="center" vertical="center" wrapText="1"/>
    </xf>
    <xf numFmtId="0" fontId="10" fillId="9" borderId="28" xfId="0" applyFont="1" applyFill="1" applyBorder="1" applyAlignment="1">
      <alignment horizontal="center" vertical="center" wrapText="1"/>
    </xf>
    <xf numFmtId="0" fontId="10" fillId="9" borderId="29" xfId="0" applyFont="1" applyFill="1" applyBorder="1" applyAlignment="1">
      <alignment horizontal="center" vertical="center" wrapText="1"/>
    </xf>
    <xf numFmtId="0" fontId="10" fillId="9" borderId="30" xfId="0" applyFont="1" applyFill="1" applyBorder="1" applyAlignment="1">
      <alignment horizontal="center" vertical="center" wrapText="1"/>
    </xf>
    <xf numFmtId="0" fontId="10" fillId="9" borderId="31" xfId="0" applyFont="1" applyFill="1" applyBorder="1" applyAlignment="1">
      <alignment horizontal="center" vertical="center" wrapText="1"/>
    </xf>
    <xf numFmtId="180" fontId="10" fillId="0" borderId="12" xfId="0" applyNumberFormat="1" applyFont="1" applyFill="1" applyBorder="1" applyAlignment="1">
      <alignment horizontal="center" vertical="center"/>
    </xf>
    <xf numFmtId="180" fontId="10" fillId="0" borderId="19" xfId="0" applyNumberFormat="1" applyFont="1" applyFill="1" applyBorder="1" applyAlignment="1">
      <alignment horizontal="center" vertical="center"/>
    </xf>
    <xf numFmtId="180" fontId="10" fillId="0" borderId="13" xfId="0" applyNumberFormat="1" applyFont="1" applyFill="1" applyBorder="1" applyAlignment="1">
      <alignment horizontal="center" vertical="center"/>
    </xf>
    <xf numFmtId="0" fontId="0" fillId="0" borderId="19" xfId="0" applyBorder="1" applyAlignment="1">
      <alignment horizontal="justify" vertical="center" wrapText="1"/>
    </xf>
    <xf numFmtId="0" fontId="0" fillId="0" borderId="13" xfId="0" applyBorder="1" applyAlignment="1">
      <alignment horizontal="justify" vertical="center" wrapText="1"/>
    </xf>
    <xf numFmtId="3" fontId="10" fillId="0" borderId="19"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3" fontId="10" fillId="0" borderId="12"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3" fontId="12" fillId="0" borderId="12" xfId="0" applyNumberFormat="1" applyFont="1" applyBorder="1" applyAlignment="1">
      <alignment horizontal="center" vertical="center" wrapText="1"/>
    </xf>
    <xf numFmtId="3" fontId="12" fillId="0" borderId="13" xfId="0" applyNumberFormat="1" applyFont="1" applyBorder="1" applyAlignment="1">
      <alignment horizontal="center" vertical="center" wrapText="1"/>
    </xf>
    <xf numFmtId="3" fontId="10" fillId="0" borderId="19" xfId="0" applyNumberFormat="1" applyFont="1" applyFill="1" applyBorder="1" applyAlignment="1">
      <alignment horizontal="center" vertical="center" wrapText="1"/>
    </xf>
    <xf numFmtId="3" fontId="12" fillId="0" borderId="19" xfId="0" applyNumberFormat="1" applyFont="1" applyBorder="1" applyAlignment="1">
      <alignment horizontal="center" vertical="center" wrapText="1"/>
    </xf>
    <xf numFmtId="0" fontId="77" fillId="0" borderId="16"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16" xfId="0" applyFont="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68" fillId="0" borderId="12" xfId="0" applyFont="1" applyBorder="1" applyAlignment="1">
      <alignment horizontal="left" vertical="center" wrapText="1"/>
    </xf>
    <xf numFmtId="0" fontId="68" fillId="0" borderId="19" xfId="0" applyFont="1" applyBorder="1" applyAlignment="1">
      <alignment horizontal="left" vertical="center" wrapText="1"/>
    </xf>
    <xf numFmtId="0" fontId="68" fillId="0" borderId="13" xfId="0" applyFont="1" applyBorder="1" applyAlignment="1">
      <alignment horizontal="left" vertical="center" wrapText="1"/>
    </xf>
    <xf numFmtId="0" fontId="10" fillId="0" borderId="12" xfId="0"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10" fillId="0" borderId="12" xfId="63" applyNumberFormat="1" applyFont="1" applyFill="1" applyBorder="1" applyAlignment="1">
      <alignment horizontal="center" vertical="center" wrapText="1"/>
    </xf>
    <xf numFmtId="0" fontId="10" fillId="0" borderId="13" xfId="63" applyNumberFormat="1" applyFont="1" applyFill="1" applyBorder="1" applyAlignment="1">
      <alignment horizontal="center" vertical="center" wrapText="1"/>
    </xf>
    <xf numFmtId="1" fontId="10" fillId="0" borderId="12" xfId="52" applyNumberFormat="1" applyFont="1" applyFill="1" applyBorder="1" applyAlignment="1">
      <alignment horizontal="center" vertical="center" wrapText="1"/>
    </xf>
    <xf numFmtId="1" fontId="10" fillId="0" borderId="13" xfId="52" applyNumberFormat="1" applyFont="1" applyFill="1" applyBorder="1" applyAlignment="1">
      <alignment horizontal="center" vertical="center" wrapText="1"/>
    </xf>
    <xf numFmtId="9" fontId="10" fillId="0" borderId="12" xfId="63" applyFont="1" applyFill="1" applyBorder="1" applyAlignment="1">
      <alignment horizontal="center" vertical="center" wrapText="1"/>
    </xf>
    <xf numFmtId="9" fontId="10" fillId="0" borderId="13" xfId="63"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19" xfId="63" applyNumberFormat="1" applyFont="1" applyFill="1" applyBorder="1" applyAlignment="1">
      <alignment horizontal="center" vertical="center" wrapText="1"/>
    </xf>
    <xf numFmtId="1" fontId="10" fillId="0" borderId="19" xfId="52" applyNumberFormat="1" applyFont="1" applyFill="1" applyBorder="1" applyAlignment="1">
      <alignment horizontal="center" vertical="center" wrapText="1"/>
    </xf>
    <xf numFmtId="9" fontId="10" fillId="0" borderId="19" xfId="63" applyFont="1" applyFill="1" applyBorder="1" applyAlignment="1">
      <alignment horizontal="center" vertical="center" wrapText="1"/>
    </xf>
    <xf numFmtId="0" fontId="10" fillId="0" borderId="19" xfId="0" applyFont="1" applyBorder="1" applyAlignment="1">
      <alignment horizontal="center" vertical="center" wrapText="1"/>
    </xf>
    <xf numFmtId="9" fontId="10" fillId="0" borderId="19" xfId="0" applyNumberFormat="1" applyFont="1" applyFill="1" applyBorder="1" applyAlignment="1">
      <alignment horizontal="center" vertical="center" wrapText="1"/>
    </xf>
    <xf numFmtId="0" fontId="12" fillId="0" borderId="19"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3" fontId="10" fillId="0" borderId="12" xfId="52" applyNumberFormat="1" applyFont="1" applyFill="1" applyBorder="1" applyAlignment="1">
      <alignment horizontal="center" vertical="center"/>
    </xf>
    <xf numFmtId="3" fontId="10" fillId="0" borderId="19" xfId="52" applyNumberFormat="1" applyFont="1" applyFill="1" applyBorder="1" applyAlignment="1">
      <alignment horizontal="center" vertical="center"/>
    </xf>
    <xf numFmtId="3" fontId="10" fillId="0" borderId="13" xfId="52" applyNumberFormat="1" applyFont="1" applyFill="1" applyBorder="1" applyAlignment="1">
      <alignment horizontal="center" vertical="center"/>
    </xf>
    <xf numFmtId="9" fontId="10" fillId="0" borderId="12" xfId="61" applyNumberFormat="1" applyFont="1" applyFill="1" applyBorder="1" applyAlignment="1">
      <alignment horizontal="center" vertical="center"/>
    </xf>
    <xf numFmtId="9" fontId="10" fillId="0" borderId="19" xfId="61" applyNumberFormat="1" applyFont="1" applyFill="1" applyBorder="1" applyAlignment="1">
      <alignment horizontal="center" vertical="center"/>
    </xf>
    <xf numFmtId="9" fontId="10" fillId="0" borderId="13" xfId="61" applyNumberFormat="1"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2" fillId="0" borderId="10" xfId="0" applyFont="1" applyFill="1" applyBorder="1" applyAlignment="1">
      <alignment horizontal="justify" vertical="center" wrapText="1"/>
    </xf>
    <xf numFmtId="10" fontId="10" fillId="0" borderId="12" xfId="0" applyNumberFormat="1" applyFont="1" applyBorder="1" applyAlignment="1">
      <alignment horizontal="center" vertical="center" wrapText="1"/>
    </xf>
    <xf numFmtId="10" fontId="10" fillId="0" borderId="19" xfId="0" applyNumberFormat="1" applyFont="1" applyBorder="1" applyAlignment="1">
      <alignment horizontal="center" vertical="center" wrapText="1"/>
    </xf>
    <xf numFmtId="10" fontId="10" fillId="0" borderId="13" xfId="0" applyNumberFormat="1" applyFont="1" applyBorder="1" applyAlignment="1">
      <alignment horizontal="center" vertical="center" wrapText="1"/>
    </xf>
    <xf numFmtId="3" fontId="10" fillId="0" borderId="12"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0" fontId="10" fillId="9" borderId="11" xfId="0" applyFont="1" applyFill="1" applyBorder="1" applyAlignment="1">
      <alignment horizontal="left" vertical="center" wrapText="1"/>
    </xf>
    <xf numFmtId="0" fontId="10" fillId="9" borderId="17" xfId="0" applyFont="1" applyFill="1" applyBorder="1" applyAlignment="1">
      <alignment horizontal="left" vertical="center" wrapText="1"/>
    </xf>
    <xf numFmtId="0" fontId="10" fillId="9" borderId="11"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77" fillId="0" borderId="1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9" fontId="10" fillId="0" borderId="12" xfId="63" applyNumberFormat="1" applyFont="1" applyBorder="1" applyAlignment="1">
      <alignment horizontal="center" vertical="center"/>
    </xf>
    <xf numFmtId="9" fontId="10" fillId="0" borderId="13" xfId="63" applyNumberFormat="1" applyFont="1" applyBorder="1" applyAlignment="1">
      <alignment horizontal="center" vertical="center"/>
    </xf>
    <xf numFmtId="0" fontId="11" fillId="9" borderId="11"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9" borderId="16" xfId="0" applyFont="1" applyFill="1" applyBorder="1" applyAlignment="1">
      <alignment horizontal="left" vertical="center" wrapText="1"/>
    </xf>
    <xf numFmtId="0" fontId="11" fillId="9" borderId="12" xfId="0" applyFont="1" applyFill="1" applyBorder="1" applyAlignment="1">
      <alignment horizontal="center" vertical="center" wrapText="1"/>
    </xf>
    <xf numFmtId="0" fontId="11" fillId="9" borderId="13" xfId="0" applyFont="1" applyFill="1" applyBorder="1" applyAlignment="1">
      <alignment horizontal="center" vertical="center" wrapText="1"/>
    </xf>
    <xf numFmtId="9" fontId="11" fillId="9" borderId="12" xfId="0" applyNumberFormat="1" applyFont="1" applyFill="1" applyBorder="1" applyAlignment="1">
      <alignment horizontal="center" vertical="center" wrapText="1"/>
    </xf>
    <xf numFmtId="9" fontId="11" fillId="9" borderId="13"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3" fontId="10" fillId="0" borderId="12" xfId="52" applyNumberFormat="1" applyFont="1" applyFill="1" applyBorder="1" applyAlignment="1">
      <alignment horizontal="right" vertical="center"/>
    </xf>
    <xf numFmtId="3" fontId="10" fillId="0" borderId="13" xfId="52" applyNumberFormat="1" applyFont="1" applyFill="1" applyBorder="1" applyAlignment="1">
      <alignment horizontal="right" vertical="center"/>
    </xf>
    <xf numFmtId="0" fontId="10" fillId="0" borderId="10" xfId="0" applyFont="1" applyFill="1" applyBorder="1" applyAlignment="1">
      <alignment horizontal="justify" vertical="center" wrapText="1"/>
    </xf>
    <xf numFmtId="0" fontId="68" fillId="0" borderId="10" xfId="0"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9" fontId="10" fillId="0" borderId="19" xfId="63" applyNumberFormat="1" applyFont="1" applyBorder="1" applyAlignment="1">
      <alignment horizontal="center" vertical="center"/>
    </xf>
    <xf numFmtId="0" fontId="18" fillId="9" borderId="12"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1" fillId="9" borderId="13" xfId="0" applyFont="1" applyFill="1" applyBorder="1" applyAlignment="1">
      <alignment horizontal="left" vertical="center" wrapText="1"/>
    </xf>
    <xf numFmtId="3" fontId="10" fillId="0" borderId="12" xfId="52" applyNumberFormat="1" applyFont="1" applyBorder="1" applyAlignment="1">
      <alignment horizontal="right" vertical="center"/>
    </xf>
    <xf numFmtId="3" fontId="10" fillId="0" borderId="13" xfId="52" applyNumberFormat="1" applyFont="1" applyBorder="1" applyAlignment="1">
      <alignment horizontal="right" vertical="center"/>
    </xf>
    <xf numFmtId="0" fontId="10" fillId="0" borderId="19" xfId="0" applyFont="1" applyFill="1" applyBorder="1" applyAlignment="1">
      <alignment horizontal="justify" vertical="center" wrapText="1"/>
    </xf>
    <xf numFmtId="0" fontId="10" fillId="0" borderId="13" xfId="0" applyFont="1" applyFill="1" applyBorder="1" applyAlignment="1">
      <alignment horizontal="justify" vertical="center" wrapText="1"/>
    </xf>
    <xf numFmtId="175" fontId="1" fillId="0" borderId="12" xfId="52" applyNumberFormat="1" applyFont="1" applyFill="1" applyBorder="1" applyAlignment="1">
      <alignment horizontal="center" vertical="center"/>
    </xf>
    <xf numFmtId="175" fontId="1" fillId="0" borderId="13" xfId="52" applyNumberFormat="1" applyFont="1" applyFill="1" applyBorder="1" applyAlignment="1">
      <alignment horizontal="center" vertical="center"/>
    </xf>
    <xf numFmtId="3" fontId="10" fillId="0" borderId="19" xfId="52" applyNumberFormat="1" applyFont="1" applyFill="1" applyBorder="1" applyAlignment="1">
      <alignment horizontal="right" vertical="center"/>
    </xf>
    <xf numFmtId="3" fontId="10" fillId="0" borderId="19" xfId="52" applyNumberFormat="1" applyFont="1" applyBorder="1" applyAlignment="1">
      <alignment horizontal="right" vertical="center"/>
    </xf>
    <xf numFmtId="175" fontId="11" fillId="9" borderId="12" xfId="49" applyNumberFormat="1" applyFont="1" applyFill="1" applyBorder="1" applyAlignment="1">
      <alignment horizontal="center" vertical="center" wrapText="1"/>
    </xf>
    <xf numFmtId="175" fontId="11" fillId="9" borderId="13" xfId="49" applyNumberFormat="1" applyFont="1" applyFill="1" applyBorder="1" applyAlignment="1">
      <alignment horizontal="center" vertical="center" wrapText="1"/>
    </xf>
    <xf numFmtId="9" fontId="11" fillId="9" borderId="12" xfId="49" applyNumberFormat="1" applyFont="1" applyFill="1" applyBorder="1" applyAlignment="1">
      <alignment horizontal="center" vertical="center" wrapText="1"/>
    </xf>
    <xf numFmtId="9" fontId="11" fillId="9" borderId="13" xfId="49" applyNumberFormat="1"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6" xfId="0" applyFont="1" applyFill="1" applyBorder="1" applyAlignment="1">
      <alignment horizontal="center" vertical="center" wrapText="1"/>
    </xf>
    <xf numFmtId="3" fontId="10" fillId="0" borderId="10" xfId="52" applyNumberFormat="1" applyFont="1" applyFill="1" applyBorder="1" applyAlignment="1">
      <alignment horizontal="right" vertical="center"/>
    </xf>
    <xf numFmtId="9" fontId="10" fillId="0" borderId="10" xfId="63" applyNumberFormat="1" applyFont="1" applyFill="1" applyBorder="1" applyAlignment="1">
      <alignment horizontal="center" vertical="center"/>
    </xf>
    <xf numFmtId="0" fontId="10" fillId="0" borderId="19" xfId="0" applyFont="1" applyFill="1" applyBorder="1" applyAlignment="1">
      <alignment horizontal="center" vertical="center" wrapText="1"/>
    </xf>
    <xf numFmtId="175" fontId="1" fillId="0" borderId="19" xfId="52" applyNumberFormat="1" applyFont="1" applyFill="1" applyBorder="1" applyAlignment="1">
      <alignment horizontal="center" vertical="center"/>
    </xf>
    <xf numFmtId="9" fontId="12" fillId="0" borderId="12" xfId="0" applyNumberFormat="1" applyFont="1" applyFill="1" applyBorder="1" applyAlignment="1">
      <alignment horizontal="center" vertical="center" wrapText="1"/>
    </xf>
    <xf numFmtId="9" fontId="12" fillId="0" borderId="19" xfId="0" applyNumberFormat="1" applyFont="1" applyFill="1" applyBorder="1" applyAlignment="1">
      <alignment horizontal="center" vertical="center" wrapText="1"/>
    </xf>
    <xf numFmtId="9" fontId="12" fillId="0" borderId="13"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58" applyFont="1" applyFill="1" applyBorder="1" applyAlignment="1">
      <alignment horizontal="center" vertical="center" wrapText="1"/>
      <protection/>
    </xf>
    <xf numFmtId="0" fontId="12" fillId="0" borderId="19" xfId="58" applyFont="1" applyFill="1" applyBorder="1" applyAlignment="1">
      <alignment horizontal="center" vertical="center" wrapText="1"/>
      <protection/>
    </xf>
    <xf numFmtId="0" fontId="12" fillId="0" borderId="13" xfId="58" applyFont="1" applyFill="1" applyBorder="1" applyAlignment="1">
      <alignment horizontal="center" vertical="center" wrapText="1"/>
      <protection/>
    </xf>
    <xf numFmtId="9" fontId="10" fillId="0" borderId="10" xfId="63" applyNumberFormat="1" applyFont="1" applyBorder="1" applyAlignment="1">
      <alignment horizontal="center" vertical="center"/>
    </xf>
    <xf numFmtId="0" fontId="10" fillId="0" borderId="12"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2" xfId="0" applyFont="1" applyBorder="1" applyAlignment="1">
      <alignment horizontal="center" vertical="center"/>
    </xf>
    <xf numFmtId="0" fontId="10" fillId="0" borderId="19" xfId="0" applyFont="1" applyBorder="1" applyAlignment="1">
      <alignment horizontal="center" vertical="center"/>
    </xf>
    <xf numFmtId="0" fontId="10" fillId="0" borderId="13" xfId="0" applyFont="1" applyBorder="1" applyAlignment="1">
      <alignment horizontal="center" vertical="center"/>
    </xf>
    <xf numFmtId="0" fontId="10" fillId="34" borderId="12" xfId="0" applyFont="1" applyFill="1" applyBorder="1" applyAlignment="1">
      <alignment horizontal="center" vertical="center"/>
    </xf>
    <xf numFmtId="0" fontId="10" fillId="34" borderId="13" xfId="0" applyFont="1" applyFill="1" applyBorder="1" applyAlignment="1">
      <alignment horizontal="center" vertical="center"/>
    </xf>
    <xf numFmtId="9" fontId="10" fillId="0" borderId="18" xfId="63" applyNumberFormat="1" applyFont="1" applyBorder="1" applyAlignment="1">
      <alignment horizontal="center" vertical="center"/>
    </xf>
    <xf numFmtId="9" fontId="10" fillId="0" borderId="14" xfId="63" applyNumberFormat="1" applyFont="1" applyBorder="1" applyAlignment="1">
      <alignment horizontal="center" vertical="center"/>
    </xf>
    <xf numFmtId="49" fontId="12" fillId="0" borderId="12" xfId="58" applyNumberFormat="1" applyFont="1" applyFill="1" applyBorder="1" applyAlignment="1">
      <alignment horizontal="center" vertical="center" wrapText="1"/>
      <protection/>
    </xf>
    <xf numFmtId="49" fontId="12" fillId="0" borderId="19" xfId="58" applyNumberFormat="1" applyFont="1" applyFill="1" applyBorder="1" applyAlignment="1">
      <alignment horizontal="center" vertical="center" wrapText="1"/>
      <protection/>
    </xf>
    <xf numFmtId="49" fontId="12" fillId="0" borderId="13" xfId="58" applyNumberFormat="1" applyFont="1" applyFill="1" applyBorder="1" applyAlignment="1">
      <alignment horizontal="center" vertical="center" wrapText="1"/>
      <protection/>
    </xf>
    <xf numFmtId="9" fontId="17" fillId="0" borderId="12" xfId="52" applyNumberFormat="1" applyFont="1" applyFill="1" applyBorder="1" applyAlignment="1">
      <alignment horizontal="center" vertical="center" wrapText="1"/>
    </xf>
    <xf numFmtId="9" fontId="17" fillId="0" borderId="19" xfId="52" applyNumberFormat="1" applyFont="1" applyFill="1" applyBorder="1" applyAlignment="1">
      <alignment horizontal="center" vertical="center" wrapText="1"/>
    </xf>
    <xf numFmtId="9" fontId="17" fillId="0" borderId="13" xfId="52"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3" fontId="68" fillId="0" borderId="12" xfId="0" applyNumberFormat="1" applyFont="1" applyFill="1" applyBorder="1" applyAlignment="1">
      <alignment horizontal="center" vertical="center" wrapText="1"/>
    </xf>
    <xf numFmtId="3" fontId="68" fillId="0" borderId="13" xfId="0" applyNumberFormat="1" applyFont="1" applyFill="1" applyBorder="1" applyAlignment="1">
      <alignment horizontal="center" vertical="center" wrapText="1"/>
    </xf>
    <xf numFmtId="9" fontId="68" fillId="0" borderId="12" xfId="0" applyNumberFormat="1" applyFont="1" applyFill="1" applyBorder="1" applyAlignment="1">
      <alignment horizontal="center" vertical="center" wrapText="1"/>
    </xf>
    <xf numFmtId="9" fontId="68" fillId="0" borderId="13" xfId="0" applyNumberFormat="1" applyFont="1" applyFill="1" applyBorder="1" applyAlignment="1">
      <alignment horizontal="center" vertical="center" wrapText="1"/>
    </xf>
    <xf numFmtId="9" fontId="68" fillId="0" borderId="12" xfId="63" applyFont="1" applyFill="1" applyBorder="1" applyAlignment="1">
      <alignment horizontal="center" vertical="center" wrapText="1"/>
    </xf>
    <xf numFmtId="9" fontId="68" fillId="0" borderId="13" xfId="63"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2" xfId="52" applyNumberFormat="1" applyFont="1" applyFill="1" applyBorder="1" applyAlignment="1">
      <alignment horizontal="center" vertical="center" wrapText="1"/>
    </xf>
    <xf numFmtId="0" fontId="68" fillId="0" borderId="13" xfId="52" applyNumberFormat="1" applyFont="1" applyFill="1" applyBorder="1" applyAlignment="1">
      <alignment horizontal="center" vertical="center" wrapText="1"/>
    </xf>
    <xf numFmtId="0" fontId="12" fillId="0" borderId="12" xfId="52" applyNumberFormat="1" applyFont="1" applyFill="1" applyBorder="1" applyAlignment="1">
      <alignment horizontal="center" vertical="center" wrapText="1"/>
    </xf>
    <xf numFmtId="0" fontId="12" fillId="0" borderId="19" xfId="52" applyNumberFormat="1" applyFont="1" applyFill="1" applyBorder="1" applyAlignment="1">
      <alignment horizontal="center" vertical="center" wrapText="1"/>
    </xf>
    <xf numFmtId="0" fontId="12" fillId="0" borderId="13" xfId="52" applyNumberFormat="1" applyFont="1" applyFill="1" applyBorder="1" applyAlignment="1">
      <alignment horizontal="center" vertical="center" wrapText="1"/>
    </xf>
    <xf numFmtId="0" fontId="68" fillId="0" borderId="19" xfId="0" applyFont="1" applyFill="1" applyBorder="1" applyAlignment="1">
      <alignment horizontal="center" vertical="center" wrapText="1"/>
    </xf>
    <xf numFmtId="9" fontId="68" fillId="0" borderId="19"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0" fontId="12" fillId="0" borderId="19"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0" fontId="12" fillId="0" borderId="12" xfId="0" applyFont="1" applyBorder="1" applyAlignment="1">
      <alignment horizontal="justify" vertical="center" wrapText="1"/>
    </xf>
    <xf numFmtId="0" fontId="12" fillId="0" borderId="19" xfId="0" applyFont="1" applyBorder="1" applyAlignment="1">
      <alignment horizontal="justify" vertical="center" wrapText="1"/>
    </xf>
    <xf numFmtId="0" fontId="12" fillId="0" borderId="13" xfId="0" applyFont="1" applyBorder="1" applyAlignment="1">
      <alignment horizontal="justify" vertical="center" wrapText="1"/>
    </xf>
    <xf numFmtId="3" fontId="68" fillId="0" borderId="19" xfId="0" applyNumberFormat="1" applyFont="1" applyFill="1" applyBorder="1" applyAlignment="1">
      <alignment horizontal="center" vertical="center" wrapText="1"/>
    </xf>
    <xf numFmtId="9" fontId="12" fillId="0" borderId="12"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9" fontId="68" fillId="0" borderId="12" xfId="52" applyNumberFormat="1" applyFont="1" applyFill="1" applyBorder="1" applyAlignment="1">
      <alignment horizontal="center" vertical="center" wrapText="1"/>
    </xf>
    <xf numFmtId="9" fontId="68" fillId="0" borderId="13" xfId="52" applyNumberFormat="1" applyFont="1" applyFill="1" applyBorder="1" applyAlignment="1">
      <alignment horizontal="center" vertical="center" wrapText="1"/>
    </xf>
    <xf numFmtId="1" fontId="68" fillId="0" borderId="12" xfId="52" applyNumberFormat="1" applyFont="1" applyFill="1" applyBorder="1" applyAlignment="1">
      <alignment horizontal="center" vertical="center" wrapText="1"/>
    </xf>
    <xf numFmtId="1" fontId="68" fillId="0" borderId="13" xfId="52" applyNumberFormat="1" applyFont="1" applyFill="1" applyBorder="1" applyAlignment="1">
      <alignment horizontal="center" vertical="center" wrapText="1"/>
    </xf>
    <xf numFmtId="9" fontId="12" fillId="0" borderId="19" xfId="0" applyNumberFormat="1" applyFont="1" applyBorder="1" applyAlignment="1">
      <alignment horizontal="center" vertical="center" wrapText="1"/>
    </xf>
    <xf numFmtId="0" fontId="11" fillId="9" borderId="19" xfId="0" applyFont="1" applyFill="1" applyBorder="1" applyAlignment="1">
      <alignment horizontal="center" vertical="center" wrapText="1"/>
    </xf>
    <xf numFmtId="3" fontId="10" fillId="0" borderId="10" xfId="0" applyNumberFormat="1" applyFont="1" applyBorder="1" applyAlignment="1">
      <alignment horizontal="center" vertical="center" wrapText="1"/>
    </xf>
    <xf numFmtId="0" fontId="12" fillId="0" borderId="10" xfId="0" applyFont="1" applyBorder="1" applyAlignment="1">
      <alignment horizontal="justify" vertical="center" wrapText="1"/>
    </xf>
    <xf numFmtId="4" fontId="68" fillId="0" borderId="12" xfId="0" applyNumberFormat="1" applyFont="1" applyFill="1" applyBorder="1" applyAlignment="1">
      <alignment horizontal="center" vertical="center" wrapText="1"/>
    </xf>
    <xf numFmtId="4" fontId="68" fillId="0" borderId="19" xfId="0" applyNumberFormat="1" applyFont="1" applyFill="1" applyBorder="1" applyAlignment="1">
      <alignment horizontal="center" vertical="center" wrapText="1"/>
    </xf>
    <xf numFmtId="4" fontId="68" fillId="0" borderId="13" xfId="0" applyNumberFormat="1" applyFont="1" applyFill="1" applyBorder="1" applyAlignment="1">
      <alignment horizontal="center" vertical="center" wrapText="1"/>
    </xf>
    <xf numFmtId="0" fontId="68" fillId="0" borderId="19" xfId="0" applyFont="1" applyBorder="1" applyAlignment="1">
      <alignment horizontal="center" vertical="center"/>
    </xf>
    <xf numFmtId="0" fontId="68" fillId="0" borderId="13" xfId="0" applyFont="1" applyBorder="1" applyAlignment="1">
      <alignment horizontal="center" vertical="center"/>
    </xf>
    <xf numFmtId="3" fontId="68" fillId="0" borderId="10" xfId="0" applyNumberFormat="1" applyFont="1" applyBorder="1" applyAlignment="1">
      <alignment horizontal="center" vertical="center"/>
    </xf>
    <xf numFmtId="0" fontId="68" fillId="0" borderId="10" xfId="0" applyFont="1" applyBorder="1" applyAlignment="1">
      <alignment horizontal="center" vertical="center"/>
    </xf>
    <xf numFmtId="9" fontId="68" fillId="0" borderId="12" xfId="0" applyNumberFormat="1" applyFont="1" applyBorder="1" applyAlignment="1">
      <alignment horizontal="center" vertical="center" wrapText="1"/>
    </xf>
    <xf numFmtId="9" fontId="68" fillId="0" borderId="13" xfId="0" applyNumberFormat="1" applyFont="1" applyBorder="1" applyAlignment="1">
      <alignment horizontal="center" vertical="center" wrapText="1"/>
    </xf>
    <xf numFmtId="9" fontId="10" fillId="0" borderId="12" xfId="49" applyNumberFormat="1" applyFont="1" applyBorder="1" applyAlignment="1">
      <alignment horizontal="center" vertical="center" wrapText="1"/>
    </xf>
    <xf numFmtId="9" fontId="10" fillId="0" borderId="13" xfId="49" applyNumberFormat="1" applyFont="1" applyBorder="1" applyAlignment="1">
      <alignment horizontal="center" vertical="center" wrapText="1"/>
    </xf>
    <xf numFmtId="9" fontId="68" fillId="0" borderId="10" xfId="0" applyNumberFormat="1" applyFont="1" applyBorder="1" applyAlignment="1">
      <alignment horizontal="center" vertical="center"/>
    </xf>
    <xf numFmtId="4" fontId="10" fillId="0" borderId="12"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9" fontId="10" fillId="0" borderId="19" xfId="49" applyNumberFormat="1" applyFont="1" applyBorder="1" applyAlignment="1">
      <alignment horizontal="center" vertical="center" wrapText="1"/>
    </xf>
    <xf numFmtId="3" fontId="74" fillId="0" borderId="12" xfId="0" applyNumberFormat="1" applyFont="1" applyBorder="1" applyAlignment="1">
      <alignment horizontal="center" vertical="center" wrapText="1"/>
    </xf>
    <xf numFmtId="3" fontId="74" fillId="0" borderId="19" xfId="0" applyNumberFormat="1" applyFont="1" applyBorder="1" applyAlignment="1">
      <alignment horizontal="center" vertical="center" wrapText="1"/>
    </xf>
    <xf numFmtId="3" fontId="74" fillId="0" borderId="13" xfId="0" applyNumberFormat="1" applyFont="1" applyBorder="1" applyAlignment="1">
      <alignment horizontal="center" vertical="center" wrapText="1"/>
    </xf>
    <xf numFmtId="9" fontId="74" fillId="0" borderId="12" xfId="0" applyNumberFormat="1" applyFont="1" applyBorder="1" applyAlignment="1">
      <alignment horizontal="center" vertical="center" wrapText="1"/>
    </xf>
    <xf numFmtId="9" fontId="74" fillId="0" borderId="19" xfId="0" applyNumberFormat="1" applyFont="1" applyBorder="1" applyAlignment="1">
      <alignment horizontal="center" vertical="center" wrapText="1"/>
    </xf>
    <xf numFmtId="9" fontId="74" fillId="0" borderId="13" xfId="0" applyNumberFormat="1" applyFont="1" applyBorder="1" applyAlignment="1">
      <alignment horizontal="center" vertical="center" wrapText="1"/>
    </xf>
    <xf numFmtId="1" fontId="10" fillId="0" borderId="12" xfId="49" applyNumberFormat="1" applyFont="1" applyBorder="1" applyAlignment="1">
      <alignment horizontal="center" vertical="center" wrapText="1"/>
    </xf>
    <xf numFmtId="1" fontId="10" fillId="0" borderId="19" xfId="49" applyNumberFormat="1" applyFont="1" applyBorder="1" applyAlignment="1">
      <alignment horizontal="center" vertical="center" wrapText="1"/>
    </xf>
    <xf numFmtId="1" fontId="10" fillId="0" borderId="13" xfId="49" applyNumberFormat="1" applyFont="1" applyBorder="1" applyAlignment="1">
      <alignment horizontal="center" vertical="center" wrapText="1"/>
    </xf>
    <xf numFmtId="2" fontId="68" fillId="0" borderId="12" xfId="0" applyNumberFormat="1" applyFont="1" applyFill="1" applyBorder="1" applyAlignment="1">
      <alignment horizontal="center" vertical="center" wrapText="1"/>
    </xf>
    <xf numFmtId="2" fontId="68" fillId="0" borderId="13" xfId="0" applyNumberFormat="1" applyFont="1" applyFill="1" applyBorder="1" applyAlignment="1">
      <alignment horizontal="center" vertical="center" wrapText="1"/>
    </xf>
    <xf numFmtId="2" fontId="68" fillId="0" borderId="12" xfId="52" applyNumberFormat="1" applyFont="1" applyFill="1" applyBorder="1" applyAlignment="1">
      <alignment horizontal="center" vertical="center" wrapText="1"/>
    </xf>
    <xf numFmtId="2" fontId="68" fillId="0" borderId="13" xfId="52" applyNumberFormat="1" applyFont="1" applyFill="1" applyBorder="1" applyAlignment="1">
      <alignment horizontal="center" vertical="center" wrapText="1"/>
    </xf>
    <xf numFmtId="9" fontId="68" fillId="0" borderId="12" xfId="63" applyNumberFormat="1" applyFont="1" applyFill="1" applyBorder="1" applyAlignment="1">
      <alignment horizontal="center" vertical="center" wrapText="1"/>
    </xf>
    <xf numFmtId="9" fontId="68" fillId="0" borderId="19" xfId="63" applyNumberFormat="1" applyFont="1" applyFill="1" applyBorder="1" applyAlignment="1">
      <alignment horizontal="center" vertical="center" wrapText="1"/>
    </xf>
    <xf numFmtId="9" fontId="68" fillId="0" borderId="13" xfId="63" applyNumberFormat="1" applyFont="1" applyFill="1" applyBorder="1" applyAlignment="1">
      <alignment horizontal="center" vertical="center" wrapText="1"/>
    </xf>
    <xf numFmtId="0" fontId="0" fillId="0" borderId="13" xfId="0" applyBorder="1" applyAlignment="1">
      <alignment horizontal="center" vertical="center" wrapText="1"/>
    </xf>
    <xf numFmtId="0" fontId="68" fillId="0" borderId="19" xfId="52" applyNumberFormat="1" applyFont="1" applyFill="1" applyBorder="1" applyAlignment="1">
      <alignment horizontal="center" vertical="center" wrapText="1"/>
    </xf>
    <xf numFmtId="4" fontId="10" fillId="0" borderId="12" xfId="0" applyNumberFormat="1" applyFont="1" applyBorder="1" applyAlignment="1">
      <alignment horizontal="center" vertical="center" wrapText="1"/>
    </xf>
    <xf numFmtId="4" fontId="10" fillId="0" borderId="19" xfId="0" applyNumberFormat="1" applyFont="1" applyBorder="1" applyAlignment="1">
      <alignment horizontal="center" vertical="center" wrapText="1"/>
    </xf>
    <xf numFmtId="4" fontId="10" fillId="0" borderId="13" xfId="0" applyNumberFormat="1" applyFont="1" applyBorder="1" applyAlignment="1">
      <alignment horizontal="center" vertical="center" wrapText="1"/>
    </xf>
    <xf numFmtId="0" fontId="40" fillId="0" borderId="11" xfId="0" applyFont="1" applyBorder="1" applyAlignment="1">
      <alignment horizontal="left" vertical="center"/>
    </xf>
    <xf numFmtId="0" fontId="40" fillId="0" borderId="16" xfId="0" applyFont="1" applyBorder="1" applyAlignment="1">
      <alignment horizontal="left" vertical="center"/>
    </xf>
    <xf numFmtId="9" fontId="68" fillId="0" borderId="19" xfId="0" applyNumberFormat="1" applyFont="1" applyBorder="1" applyAlignment="1">
      <alignment horizontal="center" vertical="center" wrapText="1"/>
    </xf>
    <xf numFmtId="0" fontId="11" fillId="3"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9" borderId="35" xfId="0" applyFont="1" applyFill="1" applyBorder="1" applyAlignment="1">
      <alignment horizontal="center" vertical="center" wrapText="1"/>
    </xf>
    <xf numFmtId="0" fontId="11" fillId="9" borderId="36" xfId="0" applyFont="1" applyFill="1" applyBorder="1" applyAlignment="1">
      <alignment horizontal="left" vertical="center" wrapText="1"/>
    </xf>
    <xf numFmtId="0" fontId="11" fillId="9" borderId="37" xfId="0" applyFont="1" applyFill="1" applyBorder="1" applyAlignment="1">
      <alignment horizontal="left" vertical="center" wrapText="1"/>
    </xf>
    <xf numFmtId="0" fontId="11" fillId="9" borderId="38" xfId="0" applyFont="1" applyFill="1" applyBorder="1" applyAlignment="1">
      <alignment horizontal="left" vertical="center" wrapText="1"/>
    </xf>
    <xf numFmtId="0" fontId="11" fillId="9" borderId="39" xfId="0" applyFont="1" applyFill="1" applyBorder="1" applyAlignment="1">
      <alignment horizontal="center" vertical="center" wrapText="1"/>
    </xf>
    <xf numFmtId="0" fontId="11" fillId="9" borderId="40" xfId="0" applyFont="1" applyFill="1" applyBorder="1" applyAlignment="1">
      <alignment horizontal="center" vertical="center" wrapText="1"/>
    </xf>
    <xf numFmtId="0" fontId="11" fillId="9" borderId="41" xfId="0" applyFont="1" applyFill="1" applyBorder="1" applyAlignment="1">
      <alignment horizontal="center" vertical="center" wrapText="1"/>
    </xf>
    <xf numFmtId="10" fontId="12" fillId="0" borderId="12" xfId="0" applyNumberFormat="1" applyFont="1" applyBorder="1" applyAlignment="1">
      <alignment horizontal="center" vertical="center" wrapText="1"/>
    </xf>
    <xf numFmtId="10" fontId="12" fillId="0" borderId="19" xfId="0" applyNumberFormat="1" applyFont="1" applyBorder="1" applyAlignment="1">
      <alignment horizontal="center" vertical="center" wrapText="1"/>
    </xf>
    <xf numFmtId="10" fontId="12" fillId="0" borderId="13" xfId="0" applyNumberFormat="1" applyFont="1" applyBorder="1" applyAlignment="1">
      <alignment horizontal="center" vertical="center" wrapText="1"/>
    </xf>
    <xf numFmtId="173" fontId="12" fillId="0" borderId="12" xfId="0" applyNumberFormat="1" applyFont="1" applyBorder="1" applyAlignment="1">
      <alignment horizontal="center" vertical="center" wrapText="1"/>
    </xf>
    <xf numFmtId="173" fontId="12" fillId="0" borderId="13" xfId="0" applyNumberFormat="1" applyFont="1" applyBorder="1" applyAlignment="1">
      <alignment horizontal="center" vertical="center" wrapText="1"/>
    </xf>
    <xf numFmtId="9" fontId="10" fillId="0" borderId="12" xfId="0" applyNumberFormat="1" applyFont="1" applyBorder="1" applyAlignment="1">
      <alignment horizontal="center" vertical="center"/>
    </xf>
    <xf numFmtId="9" fontId="10" fillId="0" borderId="19" xfId="0" applyNumberFormat="1" applyFont="1" applyBorder="1" applyAlignment="1">
      <alignment horizontal="center" vertical="center"/>
    </xf>
    <xf numFmtId="9" fontId="10" fillId="0" borderId="13" xfId="0" applyNumberFormat="1" applyFont="1" applyBorder="1" applyAlignment="1">
      <alignment horizontal="center" vertical="center"/>
    </xf>
    <xf numFmtId="3" fontId="1" fillId="0" borderId="12"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9" fontId="17" fillId="0" borderId="12" xfId="0" applyNumberFormat="1" applyFont="1" applyBorder="1" applyAlignment="1">
      <alignment horizontal="center" vertical="center" wrapText="1"/>
    </xf>
    <xf numFmtId="9" fontId="17" fillId="0" borderId="13" xfId="0" applyNumberFormat="1" applyFont="1" applyBorder="1" applyAlignment="1">
      <alignment horizontal="center" vertical="center" wrapText="1"/>
    </xf>
    <xf numFmtId="10" fontId="10" fillId="0" borderId="12" xfId="0" applyNumberFormat="1" applyFont="1" applyBorder="1" applyAlignment="1">
      <alignment horizontal="center" vertical="center" wrapText="1"/>
    </xf>
    <xf numFmtId="10" fontId="10" fillId="0" borderId="13" xfId="0" applyNumberFormat="1" applyFont="1" applyBorder="1" applyAlignment="1">
      <alignment horizontal="center" vertical="center" wrapText="1"/>
    </xf>
    <xf numFmtId="10" fontId="10" fillId="0" borderId="19" xfId="0" applyNumberFormat="1" applyFont="1" applyBorder="1" applyAlignment="1">
      <alignment horizontal="center" vertical="center" wrapText="1"/>
    </xf>
    <xf numFmtId="0" fontId="12" fillId="33" borderId="12" xfId="58" applyFont="1" applyFill="1" applyBorder="1" applyAlignment="1">
      <alignment horizontal="center" vertical="center" wrapText="1"/>
      <protection/>
    </xf>
    <xf numFmtId="0" fontId="12" fillId="33" borderId="13" xfId="58" applyFont="1" applyFill="1" applyBorder="1" applyAlignment="1">
      <alignment horizontal="center" vertical="center" wrapText="1"/>
      <protection/>
    </xf>
    <xf numFmtId="0" fontId="10" fillId="0" borderId="12"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3" fontId="10" fillId="0" borderId="12" xfId="52" applyNumberFormat="1" applyFont="1" applyFill="1" applyBorder="1" applyAlignment="1">
      <alignment horizontal="center" vertical="center" wrapText="1"/>
    </xf>
    <xf numFmtId="3" fontId="10" fillId="0" borderId="13" xfId="52" applyNumberFormat="1" applyFont="1" applyFill="1" applyBorder="1" applyAlignment="1">
      <alignment horizontal="center" vertical="center" wrapText="1"/>
    </xf>
    <xf numFmtId="0" fontId="10" fillId="0" borderId="12" xfId="0" applyFont="1" applyBorder="1" applyAlignment="1">
      <alignment horizontal="left" vertical="center" wrapText="1"/>
    </xf>
    <xf numFmtId="0" fontId="10" fillId="0" borderId="19" xfId="0" applyFont="1" applyBorder="1" applyAlignment="1">
      <alignment horizontal="left" vertical="center" wrapText="1"/>
    </xf>
    <xf numFmtId="0" fontId="10" fillId="0" borderId="13" xfId="0" applyFont="1" applyBorder="1" applyAlignment="1">
      <alignment horizontal="left" vertical="center" wrapText="1"/>
    </xf>
    <xf numFmtId="2" fontId="10" fillId="0" borderId="12" xfId="0" applyNumberFormat="1" applyFont="1" applyFill="1" applyBorder="1" applyAlignment="1">
      <alignment horizontal="center" vertical="center" wrapText="1"/>
    </xf>
    <xf numFmtId="2" fontId="10" fillId="0" borderId="19" xfId="0" applyNumberFormat="1" applyFont="1" applyFill="1" applyBorder="1" applyAlignment="1">
      <alignment horizontal="center" vertical="center" wrapText="1"/>
    </xf>
    <xf numFmtId="2" fontId="10" fillId="0" borderId="13" xfId="0" applyNumberFormat="1" applyFont="1" applyFill="1" applyBorder="1" applyAlignment="1">
      <alignment horizontal="center" vertical="center" wrapText="1"/>
    </xf>
    <xf numFmtId="2" fontId="10" fillId="0" borderId="12" xfId="52" applyNumberFormat="1" applyFont="1" applyFill="1" applyBorder="1" applyAlignment="1">
      <alignment horizontal="center" vertical="center" wrapText="1"/>
    </xf>
    <xf numFmtId="2" fontId="10" fillId="0" borderId="19" xfId="52" applyNumberFormat="1" applyFont="1" applyFill="1" applyBorder="1" applyAlignment="1">
      <alignment horizontal="center" vertical="center" wrapText="1"/>
    </xf>
    <xf numFmtId="2" fontId="10" fillId="0" borderId="13" xfId="52" applyNumberFormat="1" applyFont="1" applyFill="1" applyBorder="1" applyAlignment="1">
      <alignment horizontal="center" vertical="center" wrapText="1"/>
    </xf>
    <xf numFmtId="0" fontId="67" fillId="0" borderId="12" xfId="0" applyFont="1" applyBorder="1" applyAlignment="1">
      <alignment horizontal="justify" vertical="center" wrapText="1"/>
    </xf>
    <xf numFmtId="0" fontId="67" fillId="0" borderId="19" xfId="0" applyFont="1" applyBorder="1" applyAlignment="1">
      <alignment horizontal="justify" vertical="center" wrapText="1"/>
    </xf>
    <xf numFmtId="0" fontId="67" fillId="0" borderId="13" xfId="0" applyFont="1" applyBorder="1" applyAlignment="1">
      <alignment horizontal="justify" vertical="center" wrapText="1"/>
    </xf>
    <xf numFmtId="0" fontId="10" fillId="0" borderId="12"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3" fontId="10" fillId="0" borderId="12" xfId="52" applyNumberFormat="1" applyFont="1" applyBorder="1" applyAlignment="1">
      <alignment horizontal="center" vertical="center" wrapText="1"/>
    </xf>
    <xf numFmtId="3" fontId="10" fillId="0" borderId="13" xfId="52" applyNumberFormat="1" applyFont="1" applyBorder="1" applyAlignment="1">
      <alignment horizontal="center" vertical="center" wrapText="1"/>
    </xf>
    <xf numFmtId="2" fontId="10" fillId="0" borderId="12" xfId="0" applyNumberFormat="1" applyFont="1" applyBorder="1" applyAlignment="1">
      <alignment horizontal="center" vertical="center" wrapText="1"/>
    </xf>
    <xf numFmtId="2" fontId="10" fillId="0" borderId="13" xfId="0" applyNumberFormat="1" applyFont="1" applyBorder="1" applyAlignment="1">
      <alignment horizontal="center" vertical="center" wrapText="1"/>
    </xf>
    <xf numFmtId="2" fontId="10" fillId="34" borderId="12" xfId="52" applyNumberFormat="1" applyFont="1" applyFill="1" applyBorder="1" applyAlignment="1">
      <alignment horizontal="center" vertical="center" wrapText="1"/>
    </xf>
    <xf numFmtId="2" fontId="10" fillId="34" borderId="13" xfId="52" applyNumberFormat="1" applyFont="1" applyFill="1" applyBorder="1" applyAlignment="1">
      <alignment horizontal="center" vertical="center" wrapText="1"/>
    </xf>
    <xf numFmtId="9" fontId="10" fillId="0" borderId="12" xfId="63" applyFont="1" applyBorder="1" applyAlignment="1">
      <alignment horizontal="center" vertical="center" wrapText="1"/>
    </xf>
    <xf numFmtId="9" fontId="10" fillId="0" borderId="13" xfId="63" applyFont="1" applyBorder="1" applyAlignment="1">
      <alignment horizontal="center" vertical="center" wrapText="1"/>
    </xf>
    <xf numFmtId="0" fontId="39" fillId="0" borderId="10" xfId="0" applyFont="1" applyBorder="1" applyAlignment="1">
      <alignment horizontal="center" vertical="center"/>
    </xf>
    <xf numFmtId="0" fontId="67" fillId="0" borderId="12" xfId="0" applyFont="1" applyFill="1" applyBorder="1" applyAlignment="1">
      <alignment horizontal="justify" vertical="center" wrapText="1"/>
    </xf>
    <xf numFmtId="0" fontId="67" fillId="0" borderId="13" xfId="0" applyFont="1" applyFill="1" applyBorder="1" applyAlignment="1">
      <alignment horizontal="justify" vertical="center" wrapText="1"/>
    </xf>
    <xf numFmtId="9" fontId="67" fillId="0" borderId="12" xfId="0" applyNumberFormat="1" applyFont="1" applyFill="1" applyBorder="1" applyAlignment="1">
      <alignment horizontal="center" vertical="center" wrapText="1"/>
    </xf>
    <xf numFmtId="9" fontId="67" fillId="0" borderId="19" xfId="0" applyNumberFormat="1" applyFont="1" applyFill="1" applyBorder="1" applyAlignment="1">
      <alignment horizontal="center" vertical="center" wrapText="1"/>
    </xf>
    <xf numFmtId="9" fontId="67" fillId="0" borderId="13" xfId="0" applyNumberFormat="1"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9" xfId="0" applyFont="1" applyFill="1" applyBorder="1" applyAlignment="1">
      <alignment horizontal="justify" vertical="center" wrapText="1"/>
    </xf>
    <xf numFmtId="9" fontId="12" fillId="0" borderId="12" xfId="63" applyFont="1" applyFill="1" applyBorder="1" applyAlignment="1">
      <alignment horizontal="center" vertical="center" wrapText="1"/>
    </xf>
    <xf numFmtId="9" fontId="12" fillId="0" borderId="13" xfId="63" applyFont="1" applyFill="1" applyBorder="1" applyAlignment="1">
      <alignment horizontal="center" vertical="center" wrapText="1"/>
    </xf>
    <xf numFmtId="3" fontId="67" fillId="0" borderId="12" xfId="0" applyNumberFormat="1" applyFont="1" applyFill="1" applyBorder="1" applyAlignment="1">
      <alignment horizontal="center" vertical="center" wrapText="1"/>
    </xf>
    <xf numFmtId="3" fontId="67" fillId="0" borderId="19" xfId="0" applyNumberFormat="1" applyFont="1" applyFill="1" applyBorder="1" applyAlignment="1">
      <alignment horizontal="center" vertical="center" wrapText="1"/>
    </xf>
    <xf numFmtId="3" fontId="67" fillId="0" borderId="13" xfId="0" applyNumberFormat="1" applyFont="1" applyFill="1" applyBorder="1" applyAlignment="1">
      <alignment horizontal="center" vertical="center" wrapText="1"/>
    </xf>
    <xf numFmtId="9" fontId="12" fillId="0" borderId="12" xfId="63" applyNumberFormat="1" applyFont="1" applyFill="1" applyBorder="1" applyAlignment="1">
      <alignment horizontal="center" vertical="center" wrapText="1"/>
    </xf>
    <xf numFmtId="9" fontId="12" fillId="0" borderId="19" xfId="63" applyNumberFormat="1" applyFont="1" applyFill="1" applyBorder="1" applyAlignment="1">
      <alignment horizontal="center" vertical="center" wrapText="1"/>
    </xf>
    <xf numFmtId="9" fontId="12" fillId="0" borderId="13" xfId="63" applyNumberFormat="1" applyFont="1" applyFill="1" applyBorder="1" applyAlignment="1">
      <alignment horizontal="center" vertical="center" wrapText="1"/>
    </xf>
    <xf numFmtId="3" fontId="12" fillId="0" borderId="12" xfId="0" applyNumberFormat="1" applyFont="1" applyBorder="1" applyAlignment="1">
      <alignment horizontal="center" vertical="center"/>
    </xf>
    <xf numFmtId="3" fontId="12" fillId="0" borderId="19" xfId="0" applyNumberFormat="1" applyFont="1" applyBorder="1" applyAlignment="1">
      <alignment horizontal="center" vertical="center"/>
    </xf>
    <xf numFmtId="3" fontId="12" fillId="0" borderId="13" xfId="0" applyNumberFormat="1" applyFont="1" applyBorder="1" applyAlignment="1">
      <alignment horizontal="center" vertical="center"/>
    </xf>
    <xf numFmtId="0" fontId="78" fillId="9" borderId="12" xfId="0" applyFont="1" applyFill="1" applyBorder="1" applyAlignment="1">
      <alignment horizontal="center" vertical="center" wrapText="1"/>
    </xf>
    <xf numFmtId="0" fontId="78" fillId="9" borderId="19" xfId="0" applyFont="1" applyFill="1" applyBorder="1" applyAlignment="1">
      <alignment horizontal="center" vertical="center" wrapText="1"/>
    </xf>
    <xf numFmtId="0" fontId="78" fillId="9" borderId="13" xfId="0" applyFont="1" applyFill="1" applyBorder="1" applyAlignment="1">
      <alignment horizontal="center" vertical="center" wrapText="1"/>
    </xf>
    <xf numFmtId="0" fontId="78" fillId="9" borderId="11" xfId="0" applyFont="1" applyFill="1" applyBorder="1" applyAlignment="1">
      <alignment horizontal="center" vertical="center" wrapText="1"/>
    </xf>
    <xf numFmtId="0" fontId="78" fillId="9" borderId="17" xfId="0" applyFont="1" applyFill="1" applyBorder="1" applyAlignment="1">
      <alignment horizontal="center" vertical="center" wrapText="1"/>
    </xf>
    <xf numFmtId="0" fontId="78" fillId="9" borderId="16" xfId="0" applyFont="1" applyFill="1" applyBorder="1" applyAlignment="1">
      <alignment horizontal="center" vertical="center" wrapText="1"/>
    </xf>
    <xf numFmtId="0" fontId="78" fillId="9" borderId="10" xfId="0" applyFont="1" applyFill="1" applyBorder="1" applyAlignment="1">
      <alignment horizontal="center" vertical="center" wrapText="1"/>
    </xf>
    <xf numFmtId="0" fontId="12" fillId="0" borderId="12" xfId="58" applyFont="1" applyFill="1" applyBorder="1" applyAlignment="1">
      <alignment horizontal="justify" vertical="center" wrapText="1"/>
      <protection/>
    </xf>
    <xf numFmtId="0" fontId="12" fillId="0" borderId="19" xfId="58" applyFont="1" applyFill="1" applyBorder="1" applyAlignment="1">
      <alignment horizontal="justify" vertical="center" wrapText="1"/>
      <protection/>
    </xf>
    <xf numFmtId="0" fontId="12" fillId="0" borderId="13" xfId="58" applyFont="1" applyFill="1" applyBorder="1" applyAlignment="1">
      <alignment horizontal="justify" vertical="center" wrapText="1"/>
      <protection/>
    </xf>
    <xf numFmtId="3" fontId="12" fillId="0" borderId="12" xfId="0" applyNumberFormat="1" applyFont="1" applyFill="1" applyBorder="1" applyAlignment="1">
      <alignment horizontal="center" vertical="center"/>
    </xf>
    <xf numFmtId="3" fontId="12" fillId="0" borderId="19" xfId="0" applyNumberFormat="1" applyFont="1" applyFill="1" applyBorder="1" applyAlignment="1">
      <alignment horizontal="center" vertical="center"/>
    </xf>
    <xf numFmtId="3" fontId="12" fillId="0" borderId="13" xfId="0" applyNumberFormat="1" applyFont="1" applyFill="1" applyBorder="1" applyAlignment="1">
      <alignment horizontal="center" vertical="center"/>
    </xf>
    <xf numFmtId="0" fontId="68" fillId="0" borderId="0" xfId="0" applyFont="1" applyAlignment="1">
      <alignment horizontal="justify" vertical="center" wrapText="1"/>
    </xf>
    <xf numFmtId="9" fontId="12" fillId="0" borderId="19" xfId="63" applyFont="1" applyFill="1" applyBorder="1" applyAlignment="1">
      <alignment horizontal="center" vertical="center" wrapText="1"/>
    </xf>
    <xf numFmtId="4" fontId="12" fillId="0" borderId="12" xfId="0" applyNumberFormat="1" applyFont="1" applyBorder="1" applyAlignment="1">
      <alignment horizontal="center" vertical="center"/>
    </xf>
    <xf numFmtId="4" fontId="12" fillId="0" borderId="19" xfId="0" applyNumberFormat="1" applyFont="1" applyBorder="1" applyAlignment="1">
      <alignment horizontal="center" vertical="center"/>
    </xf>
    <xf numFmtId="4" fontId="12" fillId="0" borderId="13" xfId="0" applyNumberFormat="1" applyFont="1" applyBorder="1" applyAlignment="1">
      <alignment horizontal="center" vertical="center"/>
    </xf>
    <xf numFmtId="0" fontId="67" fillId="0" borderId="18" xfId="0" applyFont="1" applyFill="1" applyBorder="1" applyAlignment="1">
      <alignment horizontal="justify" vertical="center" wrapText="1"/>
    </xf>
    <xf numFmtId="3" fontId="12" fillId="0" borderId="10" xfId="0" applyNumberFormat="1" applyFont="1" applyBorder="1" applyAlignment="1">
      <alignment horizontal="center" vertical="center"/>
    </xf>
    <xf numFmtId="0" fontId="67" fillId="0" borderId="27" xfId="0" applyFont="1" applyFill="1" applyBorder="1" applyAlignment="1">
      <alignment horizontal="justify" vertical="center" wrapText="1"/>
    </xf>
    <xf numFmtId="0" fontId="67" fillId="0" borderId="14" xfId="0" applyFont="1" applyFill="1" applyBorder="1" applyAlignment="1">
      <alignment horizontal="justify" vertical="center" wrapText="1"/>
    </xf>
    <xf numFmtId="0" fontId="68" fillId="0" borderId="10" xfId="0" applyFont="1" applyBorder="1" applyAlignment="1">
      <alignment horizontal="justify" vertical="center" wrapText="1"/>
    </xf>
    <xf numFmtId="0" fontId="68" fillId="0" borderId="12" xfId="0" applyFont="1" applyBorder="1" applyAlignment="1">
      <alignment horizontal="justify" vertical="center" wrapText="1"/>
    </xf>
    <xf numFmtId="0" fontId="68" fillId="0" borderId="19" xfId="0" applyFont="1" applyBorder="1" applyAlignment="1">
      <alignment horizontal="justify" vertical="center" wrapText="1"/>
    </xf>
    <xf numFmtId="0" fontId="68" fillId="0" borderId="13" xfId="0" applyFont="1" applyBorder="1" applyAlignment="1">
      <alignment horizontal="justify" vertical="center" wrapText="1"/>
    </xf>
    <xf numFmtId="177" fontId="12" fillId="0" borderId="12" xfId="0" applyNumberFormat="1" applyFont="1" applyBorder="1" applyAlignment="1">
      <alignment horizontal="center" vertical="center"/>
    </xf>
    <xf numFmtId="177" fontId="12" fillId="0" borderId="19" xfId="0" applyNumberFormat="1" applyFont="1" applyBorder="1" applyAlignment="1">
      <alignment horizontal="center" vertical="center"/>
    </xf>
    <xf numFmtId="177" fontId="12" fillId="0" borderId="13" xfId="0" applyNumberFormat="1" applyFont="1" applyBorder="1" applyAlignment="1">
      <alignment horizontal="center" vertical="center"/>
    </xf>
    <xf numFmtId="0" fontId="68" fillId="0" borderId="11"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9" xfId="0" applyFont="1" applyFill="1" applyBorder="1" applyAlignment="1">
      <alignment horizontal="justify" vertical="center" wrapText="1"/>
    </xf>
    <xf numFmtId="2" fontId="12" fillId="0" borderId="12" xfId="63" applyNumberFormat="1" applyFont="1" applyFill="1" applyBorder="1" applyAlignment="1">
      <alignment horizontal="center" vertical="center" wrapText="1"/>
    </xf>
    <xf numFmtId="2" fontId="12" fillId="0" borderId="19" xfId="63" applyNumberFormat="1" applyFont="1" applyFill="1" applyBorder="1" applyAlignment="1">
      <alignment horizontal="center" vertical="center" wrapText="1"/>
    </xf>
    <xf numFmtId="2" fontId="12" fillId="0" borderId="13" xfId="63" applyNumberFormat="1" applyFont="1" applyFill="1" applyBorder="1" applyAlignment="1">
      <alignment horizontal="center" vertical="center" wrapText="1"/>
    </xf>
    <xf numFmtId="3" fontId="10" fillId="0" borderId="12" xfId="0" applyNumberFormat="1" applyFont="1" applyBorder="1" applyAlignment="1">
      <alignment horizontal="center" vertical="center"/>
    </xf>
    <xf numFmtId="3" fontId="10" fillId="0" borderId="19" xfId="0" applyNumberFormat="1" applyFont="1" applyBorder="1" applyAlignment="1">
      <alignment horizontal="center" vertical="center"/>
    </xf>
    <xf numFmtId="3" fontId="10" fillId="0" borderId="13" xfId="0" applyNumberFormat="1" applyFont="1" applyBorder="1" applyAlignment="1">
      <alignment horizontal="center" vertical="center"/>
    </xf>
    <xf numFmtId="3" fontId="10" fillId="0" borderId="19" xfId="0" applyNumberFormat="1" applyFont="1" applyFill="1" applyBorder="1" applyAlignment="1">
      <alignment horizontal="center" vertical="center"/>
    </xf>
    <xf numFmtId="0" fontId="17" fillId="0" borderId="12" xfId="63" applyNumberFormat="1" applyFont="1" applyFill="1" applyBorder="1" applyAlignment="1">
      <alignment horizontal="center" vertical="center" wrapText="1"/>
    </xf>
    <xf numFmtId="0" fontId="17" fillId="0" borderId="19" xfId="63" applyNumberFormat="1" applyFont="1" applyFill="1" applyBorder="1" applyAlignment="1">
      <alignment horizontal="center" vertical="center" wrapText="1"/>
    </xf>
    <xf numFmtId="0" fontId="17" fillId="0" borderId="13" xfId="63" applyNumberFormat="1" applyFont="1" applyFill="1" applyBorder="1" applyAlignment="1">
      <alignment horizontal="center" vertical="center" wrapText="1"/>
    </xf>
    <xf numFmtId="2" fontId="12" fillId="34" borderId="12" xfId="63" applyNumberFormat="1" applyFont="1" applyFill="1" applyBorder="1" applyAlignment="1">
      <alignment horizontal="center" vertical="center" wrapText="1"/>
    </xf>
    <xf numFmtId="2" fontId="12" fillId="34" borderId="19" xfId="63" applyNumberFormat="1" applyFont="1" applyFill="1" applyBorder="1" applyAlignment="1">
      <alignment horizontal="center" vertical="center" wrapText="1"/>
    </xf>
    <xf numFmtId="2" fontId="12" fillId="34" borderId="13" xfId="63" applyNumberFormat="1" applyFont="1" applyFill="1" applyBorder="1" applyAlignment="1">
      <alignment horizontal="center" vertical="center" wrapText="1"/>
    </xf>
    <xf numFmtId="9" fontId="68" fillId="0" borderId="12" xfId="0" applyNumberFormat="1" applyFont="1" applyBorder="1" applyAlignment="1">
      <alignment horizontal="center" vertical="center"/>
    </xf>
    <xf numFmtId="9" fontId="68" fillId="0" borderId="19" xfId="0" applyNumberFormat="1" applyFont="1" applyBorder="1" applyAlignment="1">
      <alignment horizontal="center" vertical="center"/>
    </xf>
    <xf numFmtId="9" fontId="68" fillId="0" borderId="13" xfId="0" applyNumberFormat="1" applyFont="1" applyBorder="1" applyAlignment="1">
      <alignment horizontal="center" vertical="center"/>
    </xf>
    <xf numFmtId="4" fontId="10" fillId="0" borderId="12" xfId="0" applyNumberFormat="1" applyFont="1" applyBorder="1" applyAlignment="1">
      <alignment horizontal="center" vertical="center"/>
    </xf>
    <xf numFmtId="4" fontId="10" fillId="0" borderId="19" xfId="0" applyNumberFormat="1" applyFont="1" applyBorder="1" applyAlignment="1">
      <alignment horizontal="center" vertical="center"/>
    </xf>
    <xf numFmtId="4" fontId="10" fillId="0" borderId="13" xfId="0" applyNumberFormat="1" applyFont="1" applyBorder="1" applyAlignment="1">
      <alignment horizontal="center" vertical="center"/>
    </xf>
    <xf numFmtId="0" fontId="12" fillId="0" borderId="12" xfId="63" applyNumberFormat="1" applyFont="1" applyFill="1" applyBorder="1" applyAlignment="1">
      <alignment horizontal="center" vertical="center" wrapText="1"/>
    </xf>
    <xf numFmtId="0" fontId="12" fillId="0" borderId="13" xfId="63" applyNumberFormat="1" applyFont="1" applyFill="1" applyBorder="1" applyAlignment="1">
      <alignment horizontal="center" vertical="center" wrapText="1"/>
    </xf>
    <xf numFmtId="2" fontId="67" fillId="0" borderId="13" xfId="0" applyNumberFormat="1" applyFont="1" applyFill="1" applyBorder="1" applyAlignment="1">
      <alignment horizontal="center" vertical="center" wrapText="1"/>
    </xf>
    <xf numFmtId="1" fontId="12" fillId="0" borderId="12" xfId="63" applyNumberFormat="1" applyFont="1" applyFill="1" applyBorder="1" applyAlignment="1">
      <alignment horizontal="center" vertical="center" wrapText="1"/>
    </xf>
    <xf numFmtId="1" fontId="12" fillId="0" borderId="13" xfId="63" applyNumberFormat="1" applyFont="1" applyFill="1" applyBorder="1" applyAlignment="1">
      <alignment horizontal="center" vertical="center" wrapText="1"/>
    </xf>
    <xf numFmtId="0" fontId="68" fillId="0" borderId="12" xfId="0" applyFont="1" applyFill="1" applyBorder="1" applyAlignment="1">
      <alignment vertical="center" wrapText="1"/>
    </xf>
    <xf numFmtId="0" fontId="68" fillId="0" borderId="19" xfId="0" applyFont="1" applyFill="1" applyBorder="1" applyAlignment="1">
      <alignment vertical="center" wrapText="1"/>
    </xf>
    <xf numFmtId="0" fontId="68" fillId="0" borderId="13" xfId="0" applyFont="1" applyFill="1" applyBorder="1" applyAlignment="1">
      <alignment vertical="center" wrapText="1"/>
    </xf>
    <xf numFmtId="0" fontId="67" fillId="0" borderId="12" xfId="0" applyFont="1" applyFill="1" applyBorder="1" applyAlignment="1">
      <alignment horizontal="left" vertical="center" wrapText="1"/>
    </xf>
    <xf numFmtId="0" fontId="67" fillId="0" borderId="19" xfId="0" applyFont="1" applyFill="1" applyBorder="1" applyAlignment="1">
      <alignment horizontal="left" vertical="center" wrapText="1"/>
    </xf>
    <xf numFmtId="0" fontId="67" fillId="0" borderId="13" xfId="0" applyFont="1" applyFill="1" applyBorder="1" applyAlignment="1">
      <alignment horizontal="left" vertical="center" wrapText="1"/>
    </xf>
    <xf numFmtId="1" fontId="12" fillId="0" borderId="19" xfId="63" applyNumberFormat="1" applyFont="1" applyFill="1" applyBorder="1" applyAlignment="1">
      <alignment horizontal="center" vertical="center" wrapText="1"/>
    </xf>
    <xf numFmtId="0" fontId="12" fillId="0" borderId="19" xfId="63" applyNumberFormat="1" applyFont="1" applyFill="1" applyBorder="1" applyAlignment="1">
      <alignment horizontal="center" vertical="center" wrapText="1"/>
    </xf>
    <xf numFmtId="179" fontId="12" fillId="0" borderId="12" xfId="63" applyNumberFormat="1" applyFont="1" applyFill="1" applyBorder="1" applyAlignment="1">
      <alignment horizontal="center" vertical="center" wrapText="1"/>
    </xf>
    <xf numFmtId="179" fontId="12" fillId="0" borderId="13" xfId="63" applyNumberFormat="1" applyFont="1" applyFill="1" applyBorder="1" applyAlignment="1">
      <alignment horizontal="center" vertical="center" wrapText="1"/>
    </xf>
    <xf numFmtId="0" fontId="39" fillId="0" borderId="11" xfId="0" applyFont="1" applyBorder="1" applyAlignment="1">
      <alignment horizontal="center" vertical="center"/>
    </xf>
    <xf numFmtId="0" fontId="39" fillId="0" borderId="16" xfId="0" applyFont="1" applyBorder="1" applyAlignment="1">
      <alignment horizontal="center" vertical="center"/>
    </xf>
    <xf numFmtId="3" fontId="68" fillId="0" borderId="12" xfId="0" applyNumberFormat="1" applyFont="1" applyBorder="1" applyAlignment="1">
      <alignment horizontal="center" vertical="center" wrapText="1"/>
    </xf>
    <xf numFmtId="3" fontId="68" fillId="0" borderId="13" xfId="0" applyNumberFormat="1" applyFont="1" applyBorder="1" applyAlignment="1">
      <alignment horizontal="center" vertical="center" wrapText="1"/>
    </xf>
    <xf numFmtId="3" fontId="68" fillId="0" borderId="19" xfId="0" applyNumberFormat="1" applyFont="1" applyBorder="1" applyAlignment="1">
      <alignment horizontal="center" vertical="center" wrapText="1"/>
    </xf>
    <xf numFmtId="0" fontId="10" fillId="0" borderId="19" xfId="0" applyFont="1" applyFill="1" applyBorder="1" applyAlignment="1">
      <alignment horizontal="justify" vertical="center" wrapText="1"/>
    </xf>
    <xf numFmtId="3" fontId="68" fillId="0" borderId="12" xfId="63" applyNumberFormat="1" applyFont="1" applyFill="1" applyBorder="1" applyAlignment="1">
      <alignment horizontal="center" vertical="center" wrapText="1"/>
    </xf>
    <xf numFmtId="3" fontId="68" fillId="0" borderId="13" xfId="63" applyNumberFormat="1" applyFont="1" applyFill="1" applyBorder="1" applyAlignment="1">
      <alignment horizontal="center" vertical="center" wrapText="1"/>
    </xf>
    <xf numFmtId="3" fontId="68" fillId="0" borderId="12" xfId="63" applyNumberFormat="1" applyFont="1" applyBorder="1" applyAlignment="1">
      <alignment horizontal="center" vertical="center" wrapText="1"/>
    </xf>
    <xf numFmtId="3" fontId="68" fillId="0" borderId="19" xfId="63" applyNumberFormat="1" applyFont="1" applyBorder="1" applyAlignment="1">
      <alignment horizontal="center" vertical="center" wrapText="1"/>
    </xf>
    <xf numFmtId="3" fontId="68" fillId="0" borderId="13" xfId="63" applyNumberFormat="1" applyFont="1" applyBorder="1" applyAlignment="1">
      <alignment horizontal="center" vertical="center" wrapText="1"/>
    </xf>
    <xf numFmtId="9" fontId="68" fillId="0" borderId="19" xfId="63" applyFont="1" applyFill="1" applyBorder="1" applyAlignment="1">
      <alignment horizontal="center" vertical="center" wrapText="1"/>
    </xf>
    <xf numFmtId="0" fontId="68" fillId="0" borderId="12" xfId="0" applyFont="1" applyBorder="1" applyAlignment="1">
      <alignment horizontal="center" vertical="center"/>
    </xf>
    <xf numFmtId="9" fontId="12" fillId="0" borderId="12" xfId="58" applyNumberFormat="1" applyFont="1" applyFill="1" applyBorder="1" applyAlignment="1">
      <alignment horizontal="center" vertical="center" wrapText="1"/>
      <protection/>
    </xf>
    <xf numFmtId="9" fontId="12" fillId="0" borderId="19" xfId="58" applyNumberFormat="1" applyFont="1" applyFill="1" applyBorder="1" applyAlignment="1">
      <alignment horizontal="center" vertical="center" wrapText="1"/>
      <protection/>
    </xf>
    <xf numFmtId="9" fontId="12" fillId="0" borderId="13" xfId="58" applyNumberFormat="1" applyFont="1" applyFill="1" applyBorder="1" applyAlignment="1">
      <alignment horizontal="center" vertical="center" wrapText="1"/>
      <protection/>
    </xf>
    <xf numFmtId="0" fontId="10" fillId="0" borderId="42" xfId="0" applyFont="1" applyBorder="1" applyAlignment="1">
      <alignment horizontal="center" vertical="center" wrapText="1"/>
    </xf>
    <xf numFmtId="3" fontId="12" fillId="0" borderId="12" xfId="58" applyNumberFormat="1" applyFont="1" applyFill="1" applyBorder="1" applyAlignment="1">
      <alignment horizontal="center" vertical="center" wrapText="1"/>
      <protection/>
    </xf>
    <xf numFmtId="3" fontId="12" fillId="0" borderId="13" xfId="58" applyNumberFormat="1" applyFont="1" applyFill="1" applyBorder="1" applyAlignment="1">
      <alignment horizontal="center" vertical="center" wrapText="1"/>
      <protection/>
    </xf>
    <xf numFmtId="2" fontId="12" fillId="0" borderId="12" xfId="58" applyNumberFormat="1" applyFont="1" applyFill="1" applyBorder="1" applyAlignment="1">
      <alignment horizontal="center" vertical="center" wrapText="1"/>
      <protection/>
    </xf>
    <xf numFmtId="2" fontId="12" fillId="0" borderId="19" xfId="58" applyNumberFormat="1" applyFont="1" applyFill="1" applyBorder="1" applyAlignment="1">
      <alignment horizontal="center" vertical="center" wrapText="1"/>
      <protection/>
    </xf>
    <xf numFmtId="2" fontId="12" fillId="0" borderId="13" xfId="58" applyNumberFormat="1" applyFont="1" applyFill="1" applyBorder="1" applyAlignment="1">
      <alignment horizontal="center" vertical="center" wrapText="1"/>
      <protection/>
    </xf>
    <xf numFmtId="0" fontId="12" fillId="0" borderId="10" xfId="58" applyFont="1" applyBorder="1" applyAlignment="1">
      <alignment horizontal="center" vertical="center" wrapText="1"/>
      <protection/>
    </xf>
    <xf numFmtId="2" fontId="10" fillId="0" borderId="19" xfId="0" applyNumberFormat="1" applyFont="1" applyBorder="1" applyAlignment="1">
      <alignment horizontal="center" vertical="center" wrapText="1"/>
    </xf>
    <xf numFmtId="0" fontId="12" fillId="0" borderId="10" xfId="58" applyFont="1" applyFill="1" applyBorder="1" applyAlignment="1">
      <alignment horizontal="center" vertical="center" wrapText="1"/>
      <protection/>
    </xf>
    <xf numFmtId="0" fontId="12" fillId="0" borderId="10" xfId="58" applyFont="1" applyFill="1" applyBorder="1" applyAlignment="1">
      <alignment horizontal="justify" vertical="center" wrapText="1"/>
      <protection/>
    </xf>
    <xf numFmtId="9" fontId="10" fillId="0" borderId="12" xfId="61" applyFont="1" applyBorder="1" applyAlignment="1">
      <alignment horizontal="center" vertical="center" wrapText="1"/>
    </xf>
    <xf numFmtId="9" fontId="10" fillId="0" borderId="19" xfId="61" applyFont="1" applyBorder="1" applyAlignment="1">
      <alignment horizontal="center" vertical="center" wrapText="1"/>
    </xf>
    <xf numFmtId="9" fontId="10" fillId="0" borderId="13" xfId="61" applyFont="1" applyBorder="1" applyAlignment="1">
      <alignment horizontal="center" vertical="center" wrapText="1"/>
    </xf>
    <xf numFmtId="3" fontId="68" fillId="0" borderId="12" xfId="0" applyNumberFormat="1" applyFont="1" applyBorder="1" applyAlignment="1">
      <alignment horizontal="center" vertical="center"/>
    </xf>
    <xf numFmtId="3" fontId="68" fillId="0" borderId="13" xfId="0" applyNumberFormat="1" applyFont="1" applyBorder="1" applyAlignment="1">
      <alignment horizontal="center" vertical="center"/>
    </xf>
    <xf numFmtId="37" fontId="10" fillId="0" borderId="12" xfId="52" applyNumberFormat="1" applyFont="1" applyBorder="1" applyAlignment="1">
      <alignment horizontal="center" vertical="center" wrapText="1"/>
    </xf>
    <xf numFmtId="37" fontId="10" fillId="0" borderId="19" xfId="52" applyNumberFormat="1" applyFont="1" applyBorder="1" applyAlignment="1">
      <alignment horizontal="center" vertical="center" wrapText="1"/>
    </xf>
    <xf numFmtId="37" fontId="10" fillId="0" borderId="13" xfId="52" applyNumberFormat="1" applyFont="1" applyBorder="1" applyAlignment="1">
      <alignment horizontal="center" vertical="center" wrapText="1"/>
    </xf>
    <xf numFmtId="37" fontId="67" fillId="0" borderId="12" xfId="0" applyNumberFormat="1" applyFont="1" applyBorder="1" applyAlignment="1">
      <alignment horizontal="center" vertical="center" wrapText="1"/>
    </xf>
    <xf numFmtId="37" fontId="67" fillId="0" borderId="19" xfId="0" applyNumberFormat="1" applyFont="1" applyBorder="1" applyAlignment="1">
      <alignment horizontal="center" vertical="center" wrapText="1"/>
    </xf>
    <xf numFmtId="0" fontId="67" fillId="0" borderId="19" xfId="0" applyFont="1" applyBorder="1" applyAlignment="1">
      <alignment horizontal="center" vertical="center" wrapText="1"/>
    </xf>
    <xf numFmtId="0" fontId="67" fillId="0" borderId="13" xfId="0" applyFont="1" applyBorder="1" applyAlignment="1">
      <alignment horizontal="center" vertical="center" wrapText="1"/>
    </xf>
    <xf numFmtId="3" fontId="67" fillId="0" borderId="12" xfId="0" applyNumberFormat="1" applyFont="1" applyBorder="1" applyAlignment="1">
      <alignment horizontal="center" vertical="center" wrapText="1"/>
    </xf>
    <xf numFmtId="0" fontId="67" fillId="0" borderId="12" xfId="0" applyFont="1" applyBorder="1" applyAlignment="1">
      <alignment horizontal="center" vertical="center" wrapText="1"/>
    </xf>
    <xf numFmtId="0" fontId="67" fillId="0" borderId="10" xfId="0" applyFont="1" applyBorder="1" applyAlignment="1">
      <alignment horizontal="justify" vertical="center" wrapText="1"/>
    </xf>
    <xf numFmtId="9" fontId="10" fillId="0" borderId="12" xfId="61" applyNumberFormat="1" applyFont="1" applyBorder="1" applyAlignment="1">
      <alignment horizontal="center" vertical="center"/>
    </xf>
    <xf numFmtId="9" fontId="10" fillId="0" borderId="13" xfId="61" applyNumberFormat="1" applyFont="1" applyBorder="1" applyAlignment="1">
      <alignment horizontal="center" vertical="center"/>
    </xf>
    <xf numFmtId="0" fontId="67" fillId="0" borderId="11" xfId="0" applyFont="1" applyBorder="1" applyAlignment="1">
      <alignment horizontal="justify" vertical="center" wrapText="1"/>
    </xf>
    <xf numFmtId="3" fontId="67" fillId="0" borderId="13" xfId="0" applyNumberFormat="1" applyFont="1" applyBorder="1" applyAlignment="1">
      <alignment horizontal="center" vertical="center" wrapText="1"/>
    </xf>
    <xf numFmtId="43" fontId="12" fillId="0" borderId="12" xfId="53" applyNumberFormat="1" applyFont="1" applyFill="1" applyBorder="1" applyAlignment="1">
      <alignment horizontal="center" vertical="center"/>
    </xf>
    <xf numFmtId="43" fontId="12" fillId="0" borderId="13" xfId="53" applyNumberFormat="1" applyFont="1" applyFill="1" applyBorder="1" applyAlignment="1">
      <alignment horizontal="center" vertical="center"/>
    </xf>
    <xf numFmtId="9" fontId="67" fillId="0" borderId="12" xfId="0" applyNumberFormat="1" applyFont="1" applyBorder="1" applyAlignment="1">
      <alignment horizontal="center" vertical="center" wrapText="1"/>
    </xf>
    <xf numFmtId="9" fontId="67" fillId="0" borderId="19" xfId="0" applyNumberFormat="1" applyFont="1" applyBorder="1" applyAlignment="1">
      <alignment horizontal="center" vertical="center" wrapText="1"/>
    </xf>
    <xf numFmtId="9" fontId="67" fillId="0" borderId="13" xfId="0" applyNumberFormat="1" applyFont="1" applyBorder="1" applyAlignment="1">
      <alignment horizontal="center" vertical="center" wrapText="1"/>
    </xf>
    <xf numFmtId="9" fontId="10" fillId="0" borderId="12" xfId="62" applyFont="1" applyBorder="1" applyAlignment="1">
      <alignment horizontal="center" vertical="center" wrapText="1"/>
    </xf>
    <xf numFmtId="9" fontId="10" fillId="0" borderId="19" xfId="62" applyFont="1" applyBorder="1" applyAlignment="1">
      <alignment horizontal="center" vertical="center" wrapText="1"/>
    </xf>
    <xf numFmtId="9" fontId="10" fillId="0" borderId="13" xfId="62" applyFont="1" applyBorder="1" applyAlignment="1">
      <alignment horizontal="center" vertical="center" wrapText="1"/>
    </xf>
    <xf numFmtId="3" fontId="68" fillId="0" borderId="19" xfId="0" applyNumberFormat="1" applyFont="1" applyBorder="1" applyAlignment="1">
      <alignment horizontal="center" vertical="center"/>
    </xf>
    <xf numFmtId="0" fontId="12" fillId="0" borderId="12" xfId="53" applyNumberFormat="1" applyFont="1" applyBorder="1" applyAlignment="1">
      <alignment horizontal="center" vertical="center" wrapText="1"/>
    </xf>
    <xf numFmtId="0" fontId="12" fillId="0" borderId="13" xfId="53" applyNumberFormat="1" applyFont="1" applyBorder="1" applyAlignment="1">
      <alignment horizontal="center" vertical="center" wrapText="1"/>
    </xf>
    <xf numFmtId="0" fontId="0" fillId="0" borderId="13" xfId="0" applyBorder="1" applyAlignment="1">
      <alignment/>
    </xf>
    <xf numFmtId="9" fontId="10" fillId="0" borderId="19" xfId="61" applyNumberFormat="1" applyFont="1" applyBorder="1" applyAlignment="1">
      <alignment horizontal="center" vertical="center"/>
    </xf>
    <xf numFmtId="0" fontId="68" fillId="0" borderId="12"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13" xfId="0" applyFont="1" applyBorder="1" applyAlignment="1">
      <alignment horizontal="center" vertical="center" wrapText="1"/>
    </xf>
    <xf numFmtId="9" fontId="12" fillId="33" borderId="12" xfId="63" applyNumberFormat="1" applyFont="1" applyFill="1" applyBorder="1" applyAlignment="1">
      <alignment horizontal="center" vertical="center"/>
    </xf>
    <xf numFmtId="9" fontId="12" fillId="33" borderId="13" xfId="63" applyNumberFormat="1" applyFont="1" applyFill="1" applyBorder="1" applyAlignment="1">
      <alignment horizontal="center" vertical="center"/>
    </xf>
    <xf numFmtId="0" fontId="10" fillId="0" borderId="12" xfId="63" applyNumberFormat="1" applyFont="1" applyBorder="1" applyAlignment="1">
      <alignment horizontal="center" vertical="center"/>
    </xf>
    <xf numFmtId="0" fontId="10" fillId="0" borderId="13" xfId="63" applyNumberFormat="1" applyFont="1" applyBorder="1" applyAlignment="1">
      <alignment horizontal="center" vertical="center"/>
    </xf>
    <xf numFmtId="1" fontId="10" fillId="0" borderId="12" xfId="63" applyNumberFormat="1" applyFont="1" applyBorder="1" applyAlignment="1">
      <alignment horizontal="center" vertical="center"/>
    </xf>
    <xf numFmtId="1" fontId="10" fillId="0" borderId="13" xfId="63" applyNumberFormat="1" applyFont="1" applyBorder="1" applyAlignment="1">
      <alignment horizontal="center" vertical="center"/>
    </xf>
    <xf numFmtId="9" fontId="12" fillId="33" borderId="19" xfId="63" applyNumberFormat="1" applyFont="1" applyFill="1" applyBorder="1" applyAlignment="1">
      <alignment horizontal="center" vertical="center"/>
    </xf>
    <xf numFmtId="3" fontId="67" fillId="0" borderId="19" xfId="0" applyNumberFormat="1" applyFont="1" applyBorder="1" applyAlignment="1">
      <alignment horizontal="center" vertical="center" wrapText="1"/>
    </xf>
    <xf numFmtId="0" fontId="10" fillId="0" borderId="12"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1" fontId="10" fillId="0" borderId="19" xfId="63" applyNumberFormat="1" applyFont="1" applyBorder="1" applyAlignment="1">
      <alignment horizontal="center" vertical="center"/>
    </xf>
    <xf numFmtId="9" fontId="10" fillId="0" borderId="19" xfId="0" applyNumberFormat="1" applyFont="1" applyFill="1" applyBorder="1" applyAlignment="1">
      <alignment horizontal="center" vertical="center"/>
    </xf>
    <xf numFmtId="0" fontId="10" fillId="0" borderId="19" xfId="63" applyNumberFormat="1" applyFont="1" applyBorder="1" applyAlignment="1">
      <alignment horizontal="center" vertical="center"/>
    </xf>
    <xf numFmtId="0" fontId="67" fillId="0" borderId="18" xfId="0" applyFont="1" applyBorder="1" applyAlignment="1">
      <alignment horizontal="justify" vertical="center" wrapText="1"/>
    </xf>
    <xf numFmtId="0" fontId="67" fillId="0" borderId="14" xfId="0" applyFont="1" applyBorder="1" applyAlignment="1">
      <alignment horizontal="justify" vertical="center" wrapText="1"/>
    </xf>
    <xf numFmtId="9" fontId="10" fillId="0" borderId="12" xfId="63" applyNumberFormat="1" applyFont="1" applyFill="1" applyBorder="1" applyAlignment="1">
      <alignment horizontal="center" vertical="center" wrapText="1"/>
    </xf>
    <xf numFmtId="9" fontId="10" fillId="0" borderId="13" xfId="63" applyNumberFormat="1" applyFont="1" applyFill="1" applyBorder="1" applyAlignment="1">
      <alignment horizontal="center" vertical="center" wrapText="1"/>
    </xf>
    <xf numFmtId="4" fontId="10" fillId="0" borderId="12" xfId="0" applyNumberFormat="1" applyFont="1" applyFill="1" applyBorder="1" applyAlignment="1">
      <alignment horizontal="center" vertical="center"/>
    </xf>
    <xf numFmtId="4" fontId="10" fillId="0" borderId="19"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4" fontId="10" fillId="0" borderId="12" xfId="52" applyNumberFormat="1" applyFont="1" applyFill="1" applyBorder="1" applyAlignment="1">
      <alignment horizontal="center" vertical="center"/>
    </xf>
    <xf numFmtId="4" fontId="10" fillId="0" borderId="13" xfId="52" applyNumberFormat="1" applyFont="1" applyFill="1" applyBorder="1" applyAlignment="1">
      <alignment horizontal="center" vertical="center"/>
    </xf>
    <xf numFmtId="9" fontId="10" fillId="0" borderId="12" xfId="63" applyNumberFormat="1" applyFont="1" applyFill="1" applyBorder="1" applyAlignment="1">
      <alignment horizontal="center" vertical="center"/>
    </xf>
    <xf numFmtId="9" fontId="10" fillId="0" borderId="13" xfId="63" applyNumberFormat="1" applyFont="1" applyFill="1" applyBorder="1" applyAlignment="1">
      <alignment horizontal="center" vertical="center"/>
    </xf>
    <xf numFmtId="0" fontId="10" fillId="0" borderId="12" xfId="63" applyNumberFormat="1" applyFont="1" applyFill="1" applyBorder="1" applyAlignment="1">
      <alignment horizontal="center" vertical="center"/>
    </xf>
    <xf numFmtId="0" fontId="10" fillId="0" borderId="13" xfId="63" applyNumberFormat="1" applyFont="1" applyFill="1" applyBorder="1" applyAlignment="1">
      <alignment horizontal="center" vertical="center"/>
    </xf>
    <xf numFmtId="9" fontId="10" fillId="0" borderId="19" xfId="63" applyNumberFormat="1" applyFont="1" applyFill="1" applyBorder="1" applyAlignment="1">
      <alignment horizontal="center" vertical="center"/>
    </xf>
    <xf numFmtId="0" fontId="10" fillId="0" borderId="12" xfId="0" applyNumberFormat="1" applyFont="1" applyBorder="1" applyAlignment="1">
      <alignment horizontal="center" vertical="center"/>
    </xf>
    <xf numFmtId="0" fontId="10" fillId="0" borderId="13" xfId="0" applyNumberFormat="1" applyFont="1" applyBorder="1" applyAlignment="1">
      <alignment horizontal="center" vertical="center"/>
    </xf>
    <xf numFmtId="9" fontId="10" fillId="0" borderId="19" xfId="63" applyNumberFormat="1" applyFont="1" applyFill="1" applyBorder="1" applyAlignment="1">
      <alignment horizontal="center" vertical="center" wrapText="1"/>
    </xf>
    <xf numFmtId="3" fontId="67" fillId="0" borderId="10" xfId="0" applyNumberFormat="1" applyFont="1" applyBorder="1" applyAlignment="1">
      <alignment horizontal="center" vertical="center" wrapText="1"/>
    </xf>
    <xf numFmtId="9" fontId="67" fillId="0" borderId="10" xfId="0" applyNumberFormat="1" applyFont="1" applyBorder="1" applyAlignment="1">
      <alignment horizontal="center" vertical="center" wrapText="1"/>
    </xf>
    <xf numFmtId="9" fontId="12" fillId="0" borderId="12" xfId="63" applyNumberFormat="1" applyFont="1" applyFill="1" applyBorder="1" applyAlignment="1">
      <alignment horizontal="center" vertical="center"/>
    </xf>
    <xf numFmtId="9" fontId="12" fillId="0" borderId="19" xfId="63" applyNumberFormat="1" applyFont="1" applyFill="1" applyBorder="1" applyAlignment="1">
      <alignment horizontal="center" vertical="center"/>
    </xf>
    <xf numFmtId="9" fontId="12" fillId="0" borderId="13" xfId="63" applyNumberFormat="1" applyFont="1" applyFill="1" applyBorder="1" applyAlignment="1">
      <alignment horizontal="center" vertical="center"/>
    </xf>
    <xf numFmtId="9" fontId="10" fillId="0" borderId="12" xfId="63" applyFont="1" applyFill="1" applyBorder="1" applyAlignment="1">
      <alignment horizontal="center" vertical="center"/>
    </xf>
    <xf numFmtId="9" fontId="10" fillId="0" borderId="13" xfId="63" applyFont="1" applyFill="1" applyBorder="1" applyAlignment="1">
      <alignment horizontal="center" vertical="center"/>
    </xf>
    <xf numFmtId="0" fontId="67" fillId="0" borderId="10" xfId="0" applyFont="1" applyBorder="1" applyAlignment="1">
      <alignment horizontal="center" vertical="center" wrapText="1"/>
    </xf>
    <xf numFmtId="3" fontId="70" fillId="0" borderId="12" xfId="0" applyNumberFormat="1" applyFont="1" applyBorder="1" applyAlignment="1">
      <alignment horizontal="center" vertical="center" wrapText="1"/>
    </xf>
    <xf numFmtId="3" fontId="70" fillId="0" borderId="19" xfId="0" applyNumberFormat="1" applyFont="1" applyBorder="1" applyAlignment="1">
      <alignment horizontal="center" vertical="center" wrapText="1"/>
    </xf>
    <xf numFmtId="9" fontId="70" fillId="0" borderId="12" xfId="0" applyNumberFormat="1" applyFont="1" applyBorder="1" applyAlignment="1">
      <alignment horizontal="center" vertical="center" wrapText="1"/>
    </xf>
    <xf numFmtId="9" fontId="70" fillId="0" borderId="19" xfId="0" applyNumberFormat="1" applyFont="1" applyBorder="1" applyAlignment="1">
      <alignment horizontal="center" vertical="center" wrapText="1"/>
    </xf>
    <xf numFmtId="0" fontId="70" fillId="0" borderId="12" xfId="0" applyFont="1" applyBorder="1" applyAlignment="1">
      <alignment horizontal="center" vertical="center" wrapText="1"/>
    </xf>
    <xf numFmtId="0" fontId="70" fillId="0" borderId="19" xfId="0" applyFont="1" applyBorder="1" applyAlignment="1">
      <alignment horizontal="center" vertical="center" wrapText="1"/>
    </xf>
    <xf numFmtId="4" fontId="16" fillId="0" borderId="12" xfId="58" applyNumberFormat="1" applyFont="1" applyFill="1" applyBorder="1" applyAlignment="1">
      <alignment horizontal="center" vertical="center" wrapText="1"/>
      <protection/>
    </xf>
    <xf numFmtId="4" fontId="16" fillId="0" borderId="19" xfId="58" applyNumberFormat="1" applyFont="1" applyFill="1" applyBorder="1" applyAlignment="1">
      <alignment horizontal="center" vertical="center" wrapText="1"/>
      <protection/>
    </xf>
    <xf numFmtId="4" fontId="16" fillId="0" borderId="13" xfId="58" applyNumberFormat="1" applyFont="1" applyFill="1" applyBorder="1" applyAlignment="1">
      <alignment horizontal="center" vertical="center" wrapText="1"/>
      <protection/>
    </xf>
    <xf numFmtId="9" fontId="79" fillId="0" borderId="12" xfId="0" applyNumberFormat="1" applyFont="1" applyBorder="1" applyAlignment="1">
      <alignment horizontal="center" vertical="center"/>
    </xf>
    <xf numFmtId="9" fontId="79" fillId="0" borderId="19" xfId="0" applyNumberFormat="1" applyFont="1" applyBorder="1" applyAlignment="1">
      <alignment horizontal="center" vertical="center"/>
    </xf>
    <xf numFmtId="9" fontId="79" fillId="0" borderId="13" xfId="0" applyNumberFormat="1" applyFont="1" applyBorder="1" applyAlignment="1">
      <alignment horizontal="center" vertical="center"/>
    </xf>
    <xf numFmtId="0" fontId="68" fillId="0" borderId="12" xfId="0" applyFont="1" applyFill="1" applyBorder="1" applyAlignment="1">
      <alignment horizontal="center" vertical="center"/>
    </xf>
    <xf numFmtId="0" fontId="68" fillId="0" borderId="19" xfId="0" applyFont="1" applyFill="1" applyBorder="1" applyAlignment="1">
      <alignment horizontal="center" vertical="center"/>
    </xf>
    <xf numFmtId="0" fontId="68" fillId="0" borderId="13" xfId="0" applyFont="1" applyFill="1" applyBorder="1" applyAlignment="1">
      <alignment horizontal="center" vertical="center"/>
    </xf>
    <xf numFmtId="9" fontId="68" fillId="0" borderId="12" xfId="0" applyNumberFormat="1" applyFont="1" applyFill="1" applyBorder="1" applyAlignment="1">
      <alignment horizontal="center" vertical="center"/>
    </xf>
    <xf numFmtId="9" fontId="68" fillId="0" borderId="19" xfId="0" applyNumberFormat="1" applyFont="1" applyFill="1" applyBorder="1" applyAlignment="1">
      <alignment horizontal="center" vertical="center"/>
    </xf>
    <xf numFmtId="9" fontId="68" fillId="0" borderId="13" xfId="0" applyNumberFormat="1" applyFont="1" applyFill="1" applyBorder="1" applyAlignment="1">
      <alignment horizontal="center" vertical="center"/>
    </xf>
    <xf numFmtId="3" fontId="16" fillId="0" borderId="12" xfId="58" applyNumberFormat="1" applyFont="1" applyFill="1" applyBorder="1" applyAlignment="1">
      <alignment horizontal="center" vertical="center" wrapText="1"/>
      <protection/>
    </xf>
    <xf numFmtId="3" fontId="16" fillId="0" borderId="19" xfId="58" applyNumberFormat="1" applyFont="1" applyFill="1" applyBorder="1" applyAlignment="1">
      <alignment horizontal="center" vertical="center" wrapText="1"/>
      <protection/>
    </xf>
    <xf numFmtId="3" fontId="16" fillId="0" borderId="13" xfId="58" applyNumberFormat="1" applyFont="1" applyFill="1" applyBorder="1" applyAlignment="1">
      <alignment horizontal="center" vertical="center" wrapText="1"/>
      <protection/>
    </xf>
    <xf numFmtId="3" fontId="16" fillId="0" borderId="10" xfId="58" applyNumberFormat="1" applyFont="1" applyFill="1" applyBorder="1" applyAlignment="1">
      <alignment horizontal="center" vertical="center" wrapText="1"/>
      <protection/>
    </xf>
    <xf numFmtId="9" fontId="79" fillId="0" borderId="10" xfId="0" applyNumberFormat="1" applyFont="1" applyBorder="1" applyAlignment="1">
      <alignment horizontal="center" vertical="center"/>
    </xf>
    <xf numFmtId="4" fontId="70" fillId="0" borderId="12" xfId="0" applyNumberFormat="1" applyFont="1" applyBorder="1" applyAlignment="1">
      <alignment horizontal="center" vertical="center" wrapText="1"/>
    </xf>
    <xf numFmtId="0" fontId="70" fillId="0" borderId="13" xfId="0" applyFont="1" applyBorder="1" applyAlignment="1">
      <alignment horizontal="center" vertical="center" wrapText="1"/>
    </xf>
    <xf numFmtId="3" fontId="70" fillId="0" borderId="13" xfId="0" applyNumberFormat="1" applyFont="1" applyBorder="1" applyAlignment="1">
      <alignment horizontal="center" vertical="center" wrapText="1"/>
    </xf>
    <xf numFmtId="0" fontId="10" fillId="0" borderId="16" xfId="0" applyFont="1" applyBorder="1" applyAlignment="1">
      <alignment horizontal="center" vertical="center" wrapText="1"/>
    </xf>
    <xf numFmtId="0" fontId="68" fillId="0" borderId="10" xfId="0" applyFont="1" applyFill="1" applyBorder="1" applyAlignment="1">
      <alignment horizontal="justify" vertical="center" wrapText="1"/>
    </xf>
    <xf numFmtId="3" fontId="68" fillId="0" borderId="12" xfId="0" applyNumberFormat="1" applyFont="1" applyFill="1" applyBorder="1" applyAlignment="1">
      <alignment horizontal="center" vertical="center"/>
    </xf>
    <xf numFmtId="3" fontId="68" fillId="0" borderId="19" xfId="0" applyNumberFormat="1" applyFont="1" applyFill="1" applyBorder="1" applyAlignment="1">
      <alignment horizontal="center" vertical="center"/>
    </xf>
    <xf numFmtId="3" fontId="68" fillId="0" borderId="13" xfId="0" applyNumberFormat="1" applyFont="1" applyFill="1" applyBorder="1" applyAlignment="1">
      <alignment horizontal="center" vertical="center"/>
    </xf>
    <xf numFmtId="3" fontId="12" fillId="0" borderId="19" xfId="58" applyNumberFormat="1" applyFont="1" applyFill="1" applyBorder="1" applyAlignment="1">
      <alignment horizontal="center" vertical="center" wrapText="1"/>
      <protection/>
    </xf>
    <xf numFmtId="10" fontId="68" fillId="0" borderId="12" xfId="0" applyNumberFormat="1" applyFont="1" applyBorder="1" applyAlignment="1">
      <alignment horizontal="center" vertical="center"/>
    </xf>
    <xf numFmtId="10" fontId="68" fillId="0" borderId="19" xfId="0" applyNumberFormat="1" applyFont="1" applyBorder="1" applyAlignment="1">
      <alignment horizontal="center" vertical="center"/>
    </xf>
    <xf numFmtId="10" fontId="68" fillId="0" borderId="13" xfId="0" applyNumberFormat="1" applyFont="1" applyBorder="1" applyAlignment="1">
      <alignment horizontal="center" vertical="center"/>
    </xf>
    <xf numFmtId="3" fontId="70" fillId="0" borderId="10" xfId="0" applyNumberFormat="1" applyFont="1" applyBorder="1" applyAlignment="1">
      <alignment horizontal="center" vertical="center" wrapText="1"/>
    </xf>
    <xf numFmtId="0" fontId="70" fillId="0" borderId="10" xfId="0" applyFont="1" applyBorder="1" applyAlignment="1">
      <alignment horizontal="center" vertical="center" wrapText="1"/>
    </xf>
    <xf numFmtId="0" fontId="67" fillId="0" borderId="12" xfId="0" applyFont="1" applyBorder="1" applyAlignment="1">
      <alignment horizontal="left" vertical="center" wrapText="1"/>
    </xf>
    <xf numFmtId="0" fontId="67" fillId="0" borderId="13" xfId="0" applyFont="1" applyBorder="1" applyAlignment="1">
      <alignment horizontal="left" vertical="center" wrapText="1"/>
    </xf>
    <xf numFmtId="0" fontId="69" fillId="0" borderId="11" xfId="0" applyFont="1" applyBorder="1" applyAlignment="1">
      <alignment horizontal="center" vertical="center"/>
    </xf>
    <xf numFmtId="0" fontId="69" fillId="0" borderId="16" xfId="0" applyFont="1" applyBorder="1" applyAlignment="1">
      <alignment horizontal="center" vertical="center"/>
    </xf>
    <xf numFmtId="9" fontId="68" fillId="0" borderId="12" xfId="63" applyFont="1" applyFill="1" applyBorder="1" applyAlignment="1">
      <alignment horizontal="center" vertical="center"/>
    </xf>
    <xf numFmtId="9" fontId="68" fillId="0" borderId="13" xfId="63" applyFont="1" applyFill="1" applyBorder="1" applyAlignment="1">
      <alignment horizontal="center" vertical="center"/>
    </xf>
    <xf numFmtId="3" fontId="68" fillId="0" borderId="12" xfId="63" applyNumberFormat="1" applyFont="1" applyFill="1" applyBorder="1" applyAlignment="1">
      <alignment horizontal="center" vertical="center"/>
    </xf>
    <xf numFmtId="3" fontId="68" fillId="0" borderId="13" xfId="63" applyNumberFormat="1" applyFont="1" applyFill="1" applyBorder="1" applyAlignment="1">
      <alignment horizontal="center" vertical="center"/>
    </xf>
    <xf numFmtId="0" fontId="68" fillId="0" borderId="10" xfId="0" applyFont="1" applyBorder="1" applyAlignment="1">
      <alignment horizontal="center" vertical="center" wrapText="1"/>
    </xf>
    <xf numFmtId="0" fontId="68" fillId="0" borderId="12" xfId="63" applyNumberFormat="1" applyFont="1" applyFill="1" applyBorder="1" applyAlignment="1">
      <alignment horizontal="center" vertical="center"/>
    </xf>
    <xf numFmtId="0" fontId="68" fillId="0" borderId="13" xfId="63" applyNumberFormat="1" applyFont="1" applyFill="1" applyBorder="1" applyAlignment="1">
      <alignment horizontal="center" vertical="center"/>
    </xf>
    <xf numFmtId="0" fontId="12" fillId="0" borderId="12" xfId="63" applyNumberFormat="1" applyFont="1" applyFill="1" applyBorder="1" applyAlignment="1">
      <alignment horizontal="center" vertical="center"/>
    </xf>
    <xf numFmtId="0" fontId="12" fillId="0" borderId="13" xfId="63" applyNumberFormat="1" applyFont="1" applyFill="1" applyBorder="1" applyAlignment="1">
      <alignment horizontal="center" vertical="center"/>
    </xf>
    <xf numFmtId="3" fontId="12" fillId="0" borderId="12" xfId="63" applyNumberFormat="1" applyFont="1" applyFill="1" applyBorder="1" applyAlignment="1">
      <alignment horizontal="center" vertical="center"/>
    </xf>
    <xf numFmtId="3" fontId="12" fillId="0" borderId="13" xfId="63" applyNumberFormat="1" applyFont="1" applyFill="1" applyBorder="1" applyAlignment="1">
      <alignment horizontal="center" vertical="center"/>
    </xf>
    <xf numFmtId="9" fontId="68" fillId="0" borderId="12" xfId="63" applyNumberFormat="1" applyFont="1" applyFill="1" applyBorder="1" applyAlignment="1">
      <alignment horizontal="center" vertical="center"/>
    </xf>
    <xf numFmtId="9" fontId="68" fillId="0" borderId="13" xfId="63" applyNumberFormat="1" applyFont="1" applyFill="1" applyBorder="1" applyAlignment="1">
      <alignment horizontal="center" vertical="center"/>
    </xf>
    <xf numFmtId="0" fontId="68" fillId="0" borderId="12" xfId="63" applyNumberFormat="1" applyFont="1" applyBorder="1" applyAlignment="1">
      <alignment horizontal="center" vertical="center"/>
    </xf>
    <xf numFmtId="0" fontId="68" fillId="0" borderId="13" xfId="63" applyNumberFormat="1" applyFont="1" applyBorder="1" applyAlignment="1">
      <alignment horizontal="center" vertical="center"/>
    </xf>
    <xf numFmtId="3" fontId="68" fillId="0" borderId="12" xfId="63" applyNumberFormat="1" applyFont="1" applyBorder="1" applyAlignment="1">
      <alignment horizontal="center" vertical="center"/>
    </xf>
    <xf numFmtId="3" fontId="68" fillId="0" borderId="13" xfId="63" applyNumberFormat="1" applyFont="1" applyBorder="1" applyAlignment="1">
      <alignment horizontal="center" vertical="center"/>
    </xf>
    <xf numFmtId="9" fontId="68" fillId="0" borderId="12" xfId="63" applyFont="1" applyBorder="1" applyAlignment="1">
      <alignment horizontal="center" vertical="center"/>
    </xf>
    <xf numFmtId="9" fontId="68" fillId="0" borderId="13" xfId="63" applyFont="1" applyBorder="1" applyAlignment="1">
      <alignment horizontal="center" vertical="center"/>
    </xf>
    <xf numFmtId="9" fontId="0" fillId="0"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0" fontId="10" fillId="0" borderId="18" xfId="0" applyFont="1" applyFill="1" applyBorder="1" applyAlignment="1">
      <alignment horizontal="justify" vertical="center" wrapText="1"/>
    </xf>
    <xf numFmtId="0" fontId="10" fillId="0" borderId="14" xfId="0" applyFont="1" applyFill="1" applyBorder="1" applyAlignment="1">
      <alignment horizontal="justify" vertical="center" wrapText="1"/>
    </xf>
    <xf numFmtId="3" fontId="0" fillId="0" borderId="12" xfId="0" applyNumberFormat="1" applyFont="1" applyBorder="1" applyAlignment="1">
      <alignment horizontal="center" vertical="center"/>
    </xf>
    <xf numFmtId="3" fontId="0" fillId="0" borderId="13" xfId="0" applyNumberFormat="1" applyFont="1" applyBorder="1" applyAlignment="1">
      <alignment horizontal="center" vertical="center"/>
    </xf>
    <xf numFmtId="3" fontId="0" fillId="0" borderId="19" xfId="0" applyNumberFormat="1" applyFont="1" applyBorder="1" applyAlignment="1">
      <alignment horizontal="center" vertical="center"/>
    </xf>
    <xf numFmtId="0" fontId="12" fillId="0" borderId="1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3" xfId="0" applyFont="1" applyFill="1" applyBorder="1" applyAlignment="1">
      <alignment horizontal="center" vertical="center" wrapText="1"/>
    </xf>
    <xf numFmtId="9" fontId="0" fillId="0" borderId="12"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13" xfId="0" applyNumberFormat="1" applyFont="1" applyFill="1" applyBorder="1" applyAlignment="1">
      <alignment horizontal="center" vertical="center"/>
    </xf>
    <xf numFmtId="0" fontId="10" fillId="0" borderId="27" xfId="0" applyFont="1" applyFill="1" applyBorder="1" applyAlignment="1">
      <alignment horizontal="justify" vertical="center" wrapText="1"/>
    </xf>
    <xf numFmtId="0" fontId="68" fillId="0" borderId="11" xfId="0" applyFont="1" applyBorder="1" applyAlignment="1">
      <alignment horizontal="left" vertical="center"/>
    </xf>
    <xf numFmtId="0" fontId="68" fillId="0" borderId="17" xfId="0" applyFont="1" applyBorder="1" applyAlignment="1">
      <alignment horizontal="left" vertical="center"/>
    </xf>
    <xf numFmtId="0" fontId="68" fillId="0" borderId="16" xfId="0" applyFont="1" applyBorder="1" applyAlignment="1">
      <alignment horizontal="left" vertical="center"/>
    </xf>
    <xf numFmtId="9" fontId="0" fillId="0" borderId="12" xfId="0" applyNumberFormat="1" applyFont="1" applyBorder="1" applyAlignment="1">
      <alignment horizontal="center" vertical="center"/>
    </xf>
    <xf numFmtId="9" fontId="0" fillId="0" borderId="13"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Border="1" applyAlignment="1">
      <alignment horizontal="justify" vertical="center"/>
    </xf>
    <xf numFmtId="0" fontId="17" fillId="0" borderId="10" xfId="58" applyFont="1" applyBorder="1" applyAlignment="1">
      <alignment horizontal="center" vertical="center" wrapText="1"/>
      <protection/>
    </xf>
    <xf numFmtId="2" fontId="10" fillId="0" borderId="10" xfId="63" applyNumberFormat="1" applyFont="1" applyFill="1" applyBorder="1" applyAlignment="1">
      <alignment horizontal="center" vertical="center"/>
    </xf>
    <xf numFmtId="0" fontId="0" fillId="0" borderId="10" xfId="0" applyBorder="1" applyAlignment="1">
      <alignment vertical="center"/>
    </xf>
    <xf numFmtId="2" fontId="0" fillId="0" borderId="10" xfId="0" applyNumberFormat="1" applyBorder="1" applyAlignment="1">
      <alignment vertical="center"/>
    </xf>
    <xf numFmtId="9" fontId="10" fillId="34" borderId="10" xfId="63" applyFont="1" applyFill="1" applyBorder="1" applyAlignment="1">
      <alignment horizontal="center" vertical="center"/>
    </xf>
    <xf numFmtId="0" fontId="10" fillId="0" borderId="10" xfId="63" applyNumberFormat="1" applyFont="1" applyFill="1" applyBorder="1" applyAlignment="1">
      <alignment horizontal="center" vertical="center"/>
    </xf>
    <xf numFmtId="3" fontId="10" fillId="0" borderId="12" xfId="49" applyNumberFormat="1" applyFont="1" applyFill="1" applyBorder="1" applyAlignment="1">
      <alignment horizontal="center" vertical="center" wrapText="1"/>
    </xf>
    <xf numFmtId="3" fontId="10" fillId="0" borderId="19" xfId="49" applyNumberFormat="1" applyFont="1" applyFill="1" applyBorder="1" applyAlignment="1">
      <alignment horizontal="center" vertical="center" wrapText="1"/>
    </xf>
    <xf numFmtId="3" fontId="10" fillId="0" borderId="13" xfId="49" applyNumberFormat="1" applyFont="1" applyFill="1" applyBorder="1" applyAlignment="1">
      <alignment horizontal="center" vertical="center" wrapText="1"/>
    </xf>
    <xf numFmtId="9" fontId="10" fillId="0" borderId="12" xfId="60" applyNumberFormat="1" applyFont="1" applyFill="1" applyBorder="1" applyAlignment="1">
      <alignment horizontal="center" vertical="center" wrapText="1"/>
    </xf>
    <xf numFmtId="9" fontId="10" fillId="0" borderId="19" xfId="60" applyNumberFormat="1" applyFont="1" applyFill="1" applyBorder="1" applyAlignment="1">
      <alignment horizontal="center" vertical="center" wrapText="1"/>
    </xf>
    <xf numFmtId="9" fontId="10" fillId="0" borderId="13" xfId="60" applyNumberFormat="1" applyFont="1" applyFill="1" applyBorder="1" applyAlignment="1">
      <alignment horizontal="center" vertical="center" wrapText="1"/>
    </xf>
    <xf numFmtId="0" fontId="66" fillId="0" borderId="11" xfId="0" applyFont="1" applyFill="1" applyBorder="1" applyAlignment="1">
      <alignment horizontal="center" vertical="center"/>
    </xf>
    <xf numFmtId="0" fontId="66" fillId="0" borderId="16" xfId="0" applyFont="1" applyFill="1" applyBorder="1" applyAlignment="1">
      <alignment horizontal="center" vertical="center"/>
    </xf>
    <xf numFmtId="0" fontId="68" fillId="0" borderId="12" xfId="0" applyFont="1" applyBorder="1" applyAlignment="1">
      <alignment horizontal="left" vertical="center"/>
    </xf>
    <xf numFmtId="0" fontId="68" fillId="0" borderId="13" xfId="0" applyFont="1" applyBorder="1" applyAlignment="1">
      <alignment horizontal="left"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4" xfId="52"/>
    <cellStyle name="Millares 5" xfId="53"/>
    <cellStyle name="Currency" xfId="54"/>
    <cellStyle name="Currency [0]" xfId="55"/>
    <cellStyle name="Moneda 2" xfId="56"/>
    <cellStyle name="Neutral" xfId="57"/>
    <cellStyle name="Normal 2" xfId="58"/>
    <cellStyle name="Notas" xfId="59"/>
    <cellStyle name="Percent" xfId="60"/>
    <cellStyle name="Porcentaje 2" xfId="61"/>
    <cellStyle name="Porcentaje 3" xfId="62"/>
    <cellStyle name="Porcentual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dor\Escritorio\SEGUIMIENTO%20Y%20EVALUACION%20PLAN%20DE%20DESARROLLO\FORMATOS%20-%20JUNIO%202013\INFRAESTRUCTURA\F3%20Y%20F4%20INVERSI&#211;N%20MPIOS.%20PROY-CONTRATOS%20JUNIO%2030%20DE%202013%20DEFINITIV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dor\Escritorio\SEGUIMIENTO%20Y%20EVALUACION%20PLAN%20DE%20DESARROLLO\FORMATOS%20-%20JUNIO%202013\PROMOTORA\INVERSION%20MPIOS.%20PROVIQUINDIO%20JUNI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dor\Configuraci&#243;n%20local\Archivos%20temporales%20de%20Internet\Content.IE5\08CM2HVR\FORMATOS\FORMATOS%20AGOSTO\INVERSION%20MPIOS.%20FAMILIA%20-%20AGOS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dministrador\Configuraci&#243;n%20local\Archivos%20temporales%20de%20Internet\Content.IE5\08CM2HVR\FORMATOS\FORMATOS%20AGOSTO\INVERSION%20MPIOS.%20PLANEACION%20AGOS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Administrador\Configuraci&#243;n%20local\Archivos%20temporales%20de%20Internet\Content.IE5\ZLO33UOE\consolidadodic2013[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ARjaramillo\AppData\Local\Microsoft\Windows\Temporary%20Internet%20Files\Content.IE5\4VNCWU2Z\consolidadodic201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3 INV. MPIOS X PTO. ENTREGADO"/>
      <sheetName val="F4 GESTION RECURSOS PROY."/>
    </sheetNames>
    <sheetDataSet>
      <sheetData sheetId="0">
        <row r="138">
          <cell r="F138">
            <v>14875316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3 INV. MPIOS X PTO. ENTREGADO"/>
      <sheetName val="F4 GESTION RECURSOS PROY."/>
    </sheetNames>
    <sheetDataSet>
      <sheetData sheetId="0">
        <row r="45">
          <cell r="F45">
            <v>334363553.07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3 INV. MPIOS X PTO. ENTREGADO"/>
      <sheetName val="F4 GESTION RECURSOS PROY. "/>
      <sheetName val="Hoja1"/>
    </sheetNames>
    <sheetDataSet>
      <sheetData sheetId="0">
        <row r="74">
          <cell r="F74">
            <v>31142000</v>
          </cell>
        </row>
        <row r="108">
          <cell r="F108">
            <v>28500000</v>
          </cell>
        </row>
        <row r="235">
          <cell r="F235">
            <v>25000000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3 INV. MPIOS X PTO. ENTREGADO"/>
      <sheetName val="F4 GESTION RECURSOS PROY."/>
    </sheetNames>
    <sheetDataSet>
      <sheetData sheetId="0">
        <row r="76">
          <cell r="F76">
            <v>41506830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xls].xls].xls].xls].xls].xls].xls]."/>
    </sheetNames>
    <sheetDataSet>
      <sheetData sheetId="0">
        <row r="137">
          <cell r="F137">
            <v>425554675.41</v>
          </cell>
          <cell r="I137">
            <v>425554675.41</v>
          </cell>
        </row>
        <row r="208">
          <cell r="F208">
            <v>997312051</v>
          </cell>
          <cell r="H208">
            <v>796494102.96</v>
          </cell>
          <cell r="I208">
            <v>780103567.96</v>
          </cell>
        </row>
        <row r="209">
          <cell r="F209">
            <v>12544576251.82</v>
          </cell>
          <cell r="H209">
            <v>5506392672.67</v>
          </cell>
          <cell r="I209">
            <v>3665252083.32</v>
          </cell>
        </row>
        <row r="216">
          <cell r="F216">
            <v>14536051580.7</v>
          </cell>
          <cell r="H216">
            <v>7664700501.11</v>
          </cell>
          <cell r="I216">
            <v>6439049182.84</v>
          </cell>
        </row>
        <row r="223">
          <cell r="F223">
            <v>250934858.94</v>
          </cell>
          <cell r="I223">
            <v>0</v>
          </cell>
        </row>
        <row r="226">
          <cell r="F226">
            <v>800000000</v>
          </cell>
          <cell r="H226">
            <v>175844683</v>
          </cell>
          <cell r="I226">
            <v>25850883</v>
          </cell>
        </row>
        <row r="234">
          <cell r="F234">
            <v>1364708099.87</v>
          </cell>
          <cell r="H234">
            <v>457449965</v>
          </cell>
          <cell r="I234">
            <v>457449965</v>
          </cell>
        </row>
        <row r="235">
          <cell r="F235">
            <v>300000000</v>
          </cell>
          <cell r="H235">
            <v>0</v>
          </cell>
          <cell r="I235">
            <v>0</v>
          </cell>
        </row>
        <row r="236">
          <cell r="F236">
            <v>3727254280</v>
          </cell>
          <cell r="H236">
            <v>0</v>
          </cell>
          <cell r="I236">
            <v>0</v>
          </cell>
        </row>
        <row r="237">
          <cell r="F237">
            <v>2074418947</v>
          </cell>
        </row>
        <row r="239">
          <cell r="F239">
            <v>44187354</v>
          </cell>
          <cell r="I239">
            <v>42556716</v>
          </cell>
        </row>
        <row r="240">
          <cell r="F240">
            <v>104819345.35</v>
          </cell>
          <cell r="H240">
            <v>104287931</v>
          </cell>
          <cell r="I240">
            <v>92514194</v>
          </cell>
        </row>
        <row r="241">
          <cell r="F241">
            <v>252371269</v>
          </cell>
          <cell r="H241">
            <v>251972318.09</v>
          </cell>
          <cell r="I241">
            <v>0</v>
          </cell>
        </row>
        <row r="243">
          <cell r="F243">
            <v>36213989.61</v>
          </cell>
          <cell r="H243">
            <v>36213989</v>
          </cell>
          <cell r="I243">
            <v>36213989</v>
          </cell>
        </row>
        <row r="244">
          <cell r="F244">
            <v>1479373606.94</v>
          </cell>
          <cell r="H244">
            <v>1267352854.35</v>
          </cell>
          <cell r="I244">
            <v>1241220609.35</v>
          </cell>
        </row>
        <row r="245">
          <cell r="F245">
            <v>400000000</v>
          </cell>
          <cell r="H245">
            <v>400000000</v>
          </cell>
          <cell r="I245">
            <v>400000000</v>
          </cell>
        </row>
        <row r="246">
          <cell r="F246">
            <v>2011815729.62</v>
          </cell>
          <cell r="H246">
            <v>0</v>
          </cell>
          <cell r="I246">
            <v>0</v>
          </cell>
        </row>
        <row r="247">
          <cell r="F247">
            <v>0</v>
          </cell>
        </row>
        <row r="248">
          <cell r="F248">
            <v>119908620</v>
          </cell>
          <cell r="I248">
            <v>14875316</v>
          </cell>
        </row>
        <row r="249">
          <cell r="F249">
            <v>324408504</v>
          </cell>
          <cell r="H249">
            <v>299294783</v>
          </cell>
          <cell r="I249">
            <v>294081783</v>
          </cell>
        </row>
        <row r="252">
          <cell r="H252">
            <v>38414000</v>
          </cell>
          <cell r="I252">
            <v>37689320</v>
          </cell>
        </row>
        <row r="253">
          <cell r="F253">
            <v>38414000</v>
          </cell>
        </row>
        <row r="254">
          <cell r="F254">
            <v>2187332387.56</v>
          </cell>
          <cell r="H254">
            <v>2105080622.64</v>
          </cell>
          <cell r="I254">
            <v>603871162.54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MesPptoCDP.rpt"/>
    </sheetNames>
    <sheetDataSet>
      <sheetData sheetId="0">
        <row r="142">
          <cell r="F142">
            <v>532420596</v>
          </cell>
          <cell r="H142">
            <v>529073272.1</v>
          </cell>
          <cell r="I142">
            <v>529073272.1</v>
          </cell>
        </row>
        <row r="147">
          <cell r="F147">
            <v>607085976.6</v>
          </cell>
          <cell r="H147">
            <v>607085976.6</v>
          </cell>
        </row>
        <row r="152">
          <cell r="F152">
            <v>77946500</v>
          </cell>
          <cell r="I152">
            <v>77946499.77</v>
          </cell>
        </row>
        <row r="157">
          <cell r="H157">
            <v>140641174.6</v>
          </cell>
        </row>
        <row r="158">
          <cell r="F158">
            <v>140641174.6</v>
          </cell>
        </row>
        <row r="161">
          <cell r="H161">
            <v>25750002</v>
          </cell>
        </row>
        <row r="162">
          <cell r="F162">
            <v>25750002</v>
          </cell>
        </row>
        <row r="295">
          <cell r="F295">
            <v>3094522918.47</v>
          </cell>
          <cell r="H295">
            <v>2685248002.49</v>
          </cell>
          <cell r="I295">
            <v>2676798002.49</v>
          </cell>
        </row>
        <row r="299">
          <cell r="F299">
            <v>561090880.98</v>
          </cell>
          <cell r="H299">
            <v>312491581</v>
          </cell>
          <cell r="I299">
            <v>312491581</v>
          </cell>
        </row>
        <row r="303">
          <cell r="F303">
            <v>52050212</v>
          </cell>
          <cell r="H303">
            <v>52000000</v>
          </cell>
          <cell r="I303">
            <v>52000000</v>
          </cell>
        </row>
        <row r="307">
          <cell r="F307">
            <v>66250000.8</v>
          </cell>
          <cell r="H307">
            <v>43247700</v>
          </cell>
          <cell r="I307">
            <v>43247700</v>
          </cell>
        </row>
        <row r="309">
          <cell r="F309">
            <v>172034756.38</v>
          </cell>
          <cell r="H309">
            <v>146902591</v>
          </cell>
          <cell r="I309">
            <v>146902591</v>
          </cell>
        </row>
        <row r="311">
          <cell r="F311">
            <v>47850212</v>
          </cell>
          <cell r="H311">
            <v>47370820</v>
          </cell>
          <cell r="I311">
            <v>47370820</v>
          </cell>
        </row>
        <row r="315">
          <cell r="F315">
            <v>61666666</v>
          </cell>
          <cell r="H315">
            <v>61568399</v>
          </cell>
          <cell r="I315">
            <v>61568399</v>
          </cell>
        </row>
        <row r="317">
          <cell r="F317">
            <v>117560457</v>
          </cell>
          <cell r="H317">
            <v>112560457</v>
          </cell>
          <cell r="I317">
            <v>108560457</v>
          </cell>
        </row>
        <row r="321">
          <cell r="F321">
            <v>294764800.02</v>
          </cell>
          <cell r="H321">
            <v>293062225</v>
          </cell>
          <cell r="I321">
            <v>286062225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BR21"/>
  <sheetViews>
    <sheetView zoomScale="60" zoomScaleNormal="60" zoomScalePageLayoutView="0" workbookViewId="0" topLeftCell="A9">
      <selection activeCell="F8" sqref="F8:F16"/>
    </sheetView>
  </sheetViews>
  <sheetFormatPr defaultColWidth="11.421875" defaultRowHeight="15"/>
  <cols>
    <col min="1" max="1" width="20.8515625" style="62" customWidth="1"/>
    <col min="2" max="2" width="30.421875" style="46" customWidth="1"/>
    <col min="3" max="3" width="26.8515625" style="46" customWidth="1"/>
    <col min="4" max="4" width="20.7109375" style="46" customWidth="1"/>
    <col min="5" max="6" width="22.140625" style="46" customWidth="1"/>
    <col min="7" max="7" width="27.57421875" style="46" customWidth="1"/>
    <col min="8" max="8" width="33.28125" style="46" customWidth="1"/>
    <col min="9" max="10" width="22.140625" style="46" customWidth="1"/>
    <col min="11" max="11" width="22.140625" style="313" customWidth="1"/>
    <col min="12" max="12" width="29.140625" style="46" customWidth="1"/>
    <col min="13" max="13" width="29.7109375" style="46" customWidth="1"/>
    <col min="14" max="16" width="22.140625" style="46" customWidth="1"/>
    <col min="17" max="17" width="16.7109375" style="313" customWidth="1"/>
    <col min="18" max="18" width="14.8515625" style="62" customWidth="1"/>
    <col min="19" max="19" width="22.57421875" style="46" customWidth="1"/>
    <col min="20" max="16384" width="11.421875" style="46" customWidth="1"/>
  </cols>
  <sheetData>
    <row r="1" ht="26.25" customHeight="1" thickBot="1"/>
    <row r="2" spans="1:70" s="300" customFormat="1" ht="24" customHeight="1" thickBot="1">
      <c r="A2" s="505" t="s">
        <v>8</v>
      </c>
      <c r="B2" s="506"/>
      <c r="C2" s="506"/>
      <c r="D2" s="506"/>
      <c r="E2" s="506"/>
      <c r="F2" s="506"/>
      <c r="G2" s="506"/>
      <c r="H2" s="506"/>
      <c r="I2" s="506"/>
      <c r="J2" s="506"/>
      <c r="K2" s="506"/>
      <c r="L2" s="506"/>
      <c r="M2" s="506"/>
      <c r="N2" s="506"/>
      <c r="O2" s="506"/>
      <c r="P2" s="506"/>
      <c r="Q2" s="506"/>
      <c r="R2" s="506"/>
      <c r="S2" s="507"/>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row>
    <row r="3" spans="1:70" s="300" customFormat="1" ht="24" customHeight="1" thickBot="1">
      <c r="A3" s="508" t="s">
        <v>1683</v>
      </c>
      <c r="B3" s="509"/>
      <c r="C3" s="509"/>
      <c r="D3" s="509"/>
      <c r="E3" s="509"/>
      <c r="F3" s="509"/>
      <c r="G3" s="509"/>
      <c r="H3" s="509"/>
      <c r="I3" s="509"/>
      <c r="J3" s="509"/>
      <c r="K3" s="509"/>
      <c r="L3" s="509"/>
      <c r="M3" s="509"/>
      <c r="N3" s="509"/>
      <c r="O3" s="509"/>
      <c r="P3" s="509"/>
      <c r="Q3" s="509"/>
      <c r="R3" s="509"/>
      <c r="S3" s="510"/>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row>
    <row r="4" spans="1:70" s="301" customFormat="1" ht="31.5" customHeight="1">
      <c r="A4" s="552" t="s">
        <v>200</v>
      </c>
      <c r="B4" s="552"/>
      <c r="C4" s="552"/>
      <c r="D4" s="552"/>
      <c r="E4" s="552"/>
      <c r="F4" s="552"/>
      <c r="G4" s="552"/>
      <c r="H4" s="553" t="s">
        <v>1721</v>
      </c>
      <c r="I4" s="553"/>
      <c r="J4" s="553"/>
      <c r="K4" s="553"/>
      <c r="L4" s="553"/>
      <c r="M4" s="552" t="s">
        <v>1183</v>
      </c>
      <c r="N4" s="552"/>
      <c r="O4" s="554"/>
      <c r="P4" s="555" t="s">
        <v>1679</v>
      </c>
      <c r="Q4" s="552"/>
      <c r="R4" s="552"/>
      <c r="S4" s="554"/>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row>
    <row r="5" spans="1:70" s="303" customFormat="1" ht="30" customHeight="1">
      <c r="A5" s="539" t="s">
        <v>0</v>
      </c>
      <c r="B5" s="540"/>
      <c r="C5" s="540"/>
      <c r="D5" s="540"/>
      <c r="E5" s="540"/>
      <c r="F5" s="541"/>
      <c r="G5" s="542" t="s">
        <v>1</v>
      </c>
      <c r="H5" s="543"/>
      <c r="I5" s="543"/>
      <c r="J5" s="543"/>
      <c r="K5" s="543"/>
      <c r="L5" s="543"/>
      <c r="M5" s="543"/>
      <c r="N5" s="543" t="s">
        <v>1299</v>
      </c>
      <c r="O5" s="543"/>
      <c r="P5" s="543"/>
      <c r="Q5" s="543"/>
      <c r="R5" s="543"/>
      <c r="S5" s="302"/>
      <c r="T5" s="498"/>
      <c r="U5" s="498"/>
      <c r="V5" s="498"/>
      <c r="W5" s="498"/>
      <c r="X5" s="498"/>
      <c r="Y5" s="498"/>
      <c r="Z5" s="498"/>
      <c r="AA5" s="498"/>
      <c r="AB5" s="498"/>
      <c r="AC5" s="498"/>
      <c r="AD5" s="498"/>
      <c r="AE5" s="498"/>
      <c r="AF5" s="498"/>
      <c r="AG5" s="498"/>
      <c r="AH5" s="498"/>
      <c r="AI5" s="498"/>
      <c r="AJ5" s="498"/>
      <c r="AK5" s="498"/>
      <c r="AL5" s="498"/>
      <c r="AM5" s="498"/>
      <c r="AN5" s="498"/>
      <c r="AO5" s="498"/>
      <c r="AP5" s="498"/>
      <c r="AQ5" s="498"/>
      <c r="AR5" s="498"/>
      <c r="AS5" s="498"/>
      <c r="AT5" s="498"/>
      <c r="AU5" s="498"/>
      <c r="AV5" s="498"/>
      <c r="AW5" s="498"/>
      <c r="AX5" s="498"/>
      <c r="AY5" s="498"/>
      <c r="AZ5" s="498"/>
      <c r="BA5" s="498"/>
      <c r="BB5" s="498"/>
      <c r="BC5" s="498"/>
      <c r="BD5" s="498"/>
      <c r="BE5" s="498"/>
      <c r="BF5" s="498"/>
      <c r="BG5" s="498"/>
      <c r="BH5" s="498"/>
      <c r="BI5" s="498"/>
      <c r="BJ5" s="498"/>
      <c r="BK5" s="498"/>
      <c r="BL5" s="498"/>
      <c r="BM5" s="498"/>
      <c r="BN5" s="498"/>
      <c r="BO5" s="498"/>
      <c r="BP5" s="498"/>
      <c r="BQ5" s="498"/>
      <c r="BR5" s="498"/>
    </row>
    <row r="6" spans="1:70" s="304" customFormat="1" ht="23.25" customHeight="1">
      <c r="A6" s="502" t="s">
        <v>2</v>
      </c>
      <c r="B6" s="502" t="s">
        <v>4</v>
      </c>
      <c r="C6" s="502" t="s">
        <v>3</v>
      </c>
      <c r="D6" s="502" t="s">
        <v>1116</v>
      </c>
      <c r="E6" s="502" t="s">
        <v>1117</v>
      </c>
      <c r="F6" s="502" t="s">
        <v>1118</v>
      </c>
      <c r="G6" s="502" t="s">
        <v>1186</v>
      </c>
      <c r="H6" s="502" t="s">
        <v>9</v>
      </c>
      <c r="I6" s="516" t="s">
        <v>1180</v>
      </c>
      <c r="J6" s="516" t="s">
        <v>1181</v>
      </c>
      <c r="K6" s="558" t="s">
        <v>1103</v>
      </c>
      <c r="L6" s="544" t="s">
        <v>1637</v>
      </c>
      <c r="M6" s="502" t="s">
        <v>1816</v>
      </c>
      <c r="N6" s="502" t="s">
        <v>1115</v>
      </c>
      <c r="O6" s="502" t="s">
        <v>1119</v>
      </c>
      <c r="P6" s="502" t="s">
        <v>1120</v>
      </c>
      <c r="Q6" s="531" t="s">
        <v>1185</v>
      </c>
      <c r="R6" s="502" t="s">
        <v>924</v>
      </c>
      <c r="S6" s="502" t="s">
        <v>1684</v>
      </c>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row>
    <row r="7" spans="1:70" s="304" customFormat="1" ht="23.25" customHeight="1">
      <c r="A7" s="503"/>
      <c r="B7" s="503"/>
      <c r="C7" s="503"/>
      <c r="D7" s="503"/>
      <c r="E7" s="503"/>
      <c r="F7" s="503"/>
      <c r="G7" s="503"/>
      <c r="H7" s="503"/>
      <c r="I7" s="517"/>
      <c r="J7" s="517"/>
      <c r="K7" s="559"/>
      <c r="L7" s="545"/>
      <c r="M7" s="503"/>
      <c r="N7" s="503"/>
      <c r="O7" s="503"/>
      <c r="P7" s="503"/>
      <c r="Q7" s="532"/>
      <c r="R7" s="503"/>
      <c r="S7" s="503"/>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row>
    <row r="8" spans="1:19" ht="77.25" customHeight="1">
      <c r="A8" s="88" t="s">
        <v>201</v>
      </c>
      <c r="B8" s="43" t="s">
        <v>202</v>
      </c>
      <c r="C8" s="28" t="s">
        <v>203</v>
      </c>
      <c r="D8" s="443">
        <v>0.4</v>
      </c>
      <c r="E8" s="239">
        <v>1</v>
      </c>
      <c r="F8" s="240">
        <v>1</v>
      </c>
      <c r="G8" s="515" t="s">
        <v>876</v>
      </c>
      <c r="H8" s="515" t="s">
        <v>1681</v>
      </c>
      <c r="I8" s="511">
        <f>128118700/1000</f>
        <v>128118.7</v>
      </c>
      <c r="J8" s="511">
        <v>128119</v>
      </c>
      <c r="K8" s="513">
        <f>J8/I8</f>
        <v>1.0000023415785517</v>
      </c>
      <c r="L8" s="515" t="s">
        <v>1680</v>
      </c>
      <c r="M8" s="28" t="s">
        <v>1979</v>
      </c>
      <c r="N8" s="500">
        <v>1</v>
      </c>
      <c r="O8" s="500">
        <f>J8</f>
        <v>128119</v>
      </c>
      <c r="P8" s="500">
        <v>127600</v>
      </c>
      <c r="Q8" s="533">
        <f>P8/O8</f>
        <v>0.9959490785909975</v>
      </c>
      <c r="R8" s="556" t="s">
        <v>26</v>
      </c>
      <c r="S8" s="515" t="s">
        <v>878</v>
      </c>
    </row>
    <row r="9" spans="1:19" ht="159.75" customHeight="1">
      <c r="A9" s="88" t="s">
        <v>204</v>
      </c>
      <c r="B9" s="43" t="s">
        <v>205</v>
      </c>
      <c r="C9" s="28" t="s">
        <v>206</v>
      </c>
      <c r="D9" s="443">
        <v>0.5</v>
      </c>
      <c r="E9" s="239">
        <v>15</v>
      </c>
      <c r="F9" s="240">
        <v>1</v>
      </c>
      <c r="G9" s="515"/>
      <c r="H9" s="515"/>
      <c r="I9" s="512"/>
      <c r="J9" s="512"/>
      <c r="K9" s="514"/>
      <c r="L9" s="515"/>
      <c r="M9" s="28" t="s">
        <v>1980</v>
      </c>
      <c r="N9" s="501"/>
      <c r="O9" s="501"/>
      <c r="P9" s="501"/>
      <c r="Q9" s="534"/>
      <c r="R9" s="557"/>
      <c r="S9" s="515"/>
    </row>
    <row r="10" spans="1:19" ht="89.25" customHeight="1">
      <c r="A10" s="88" t="s">
        <v>1722</v>
      </c>
      <c r="B10" s="43" t="s">
        <v>1714</v>
      </c>
      <c r="C10" s="43" t="s">
        <v>1715</v>
      </c>
      <c r="D10" s="241">
        <v>10000</v>
      </c>
      <c r="E10" s="241">
        <v>18453</v>
      </c>
      <c r="F10" s="240">
        <v>1</v>
      </c>
      <c r="G10" s="43"/>
      <c r="H10" s="43"/>
      <c r="I10" s="38"/>
      <c r="J10" s="38"/>
      <c r="K10" s="159"/>
      <c r="L10" s="43"/>
      <c r="M10" s="43" t="s">
        <v>1981</v>
      </c>
      <c r="N10" s="44"/>
      <c r="O10" s="44"/>
      <c r="P10" s="44"/>
      <c r="Q10" s="291"/>
      <c r="R10" s="286"/>
      <c r="S10" s="43"/>
    </row>
    <row r="11" spans="1:19" ht="56.25" customHeight="1">
      <c r="A11" s="525" t="s">
        <v>207</v>
      </c>
      <c r="B11" s="527" t="s">
        <v>208</v>
      </c>
      <c r="C11" s="527" t="s">
        <v>209</v>
      </c>
      <c r="D11" s="529">
        <v>3</v>
      </c>
      <c r="E11" s="529">
        <v>3</v>
      </c>
      <c r="F11" s="536">
        <v>1</v>
      </c>
      <c r="G11" s="527" t="s">
        <v>877</v>
      </c>
      <c r="H11" s="48" t="s">
        <v>1799</v>
      </c>
      <c r="I11" s="518">
        <f>2290437788.74/1000</f>
        <v>2290437.7887399998</v>
      </c>
      <c r="J11" s="518">
        <f>1671705814/1000</f>
        <v>1671705.814</v>
      </c>
      <c r="K11" s="535">
        <f>J11/I11</f>
        <v>0.7298630079447072</v>
      </c>
      <c r="L11" s="538" t="s">
        <v>370</v>
      </c>
      <c r="M11" s="527" t="s">
        <v>1982</v>
      </c>
      <c r="N11" s="518">
        <v>198</v>
      </c>
      <c r="O11" s="518">
        <f>1691705814/1000</f>
        <v>1691705.814</v>
      </c>
      <c r="P11" s="518">
        <f>J11</f>
        <v>1671705.814</v>
      </c>
      <c r="Q11" s="535">
        <f>P11/O11</f>
        <v>0.9881776134866437</v>
      </c>
      <c r="R11" s="560" t="s">
        <v>26</v>
      </c>
      <c r="S11" s="527" t="s">
        <v>878</v>
      </c>
    </row>
    <row r="12" spans="1:19" ht="88.5" customHeight="1">
      <c r="A12" s="526"/>
      <c r="B12" s="528"/>
      <c r="C12" s="528"/>
      <c r="D12" s="530"/>
      <c r="E12" s="530"/>
      <c r="F12" s="537"/>
      <c r="G12" s="538"/>
      <c r="H12" s="28" t="s">
        <v>1800</v>
      </c>
      <c r="I12" s="518"/>
      <c r="J12" s="518"/>
      <c r="K12" s="535"/>
      <c r="L12" s="538"/>
      <c r="M12" s="528"/>
      <c r="N12" s="518"/>
      <c r="O12" s="518"/>
      <c r="P12" s="518"/>
      <c r="Q12" s="535"/>
      <c r="R12" s="560"/>
      <c r="S12" s="538"/>
    </row>
    <row r="13" spans="1:19" ht="51" customHeight="1">
      <c r="A13" s="525" t="s">
        <v>210</v>
      </c>
      <c r="B13" s="527" t="s">
        <v>211</v>
      </c>
      <c r="C13" s="527" t="s">
        <v>212</v>
      </c>
      <c r="D13" s="562">
        <v>1250</v>
      </c>
      <c r="E13" s="562">
        <v>1485</v>
      </c>
      <c r="F13" s="536">
        <v>1</v>
      </c>
      <c r="G13" s="538"/>
      <c r="H13" s="28" t="s">
        <v>1802</v>
      </c>
      <c r="I13" s="518"/>
      <c r="J13" s="518"/>
      <c r="K13" s="535"/>
      <c r="L13" s="538"/>
      <c r="M13" s="527" t="s">
        <v>1983</v>
      </c>
      <c r="N13" s="518"/>
      <c r="O13" s="518"/>
      <c r="P13" s="518"/>
      <c r="Q13" s="535"/>
      <c r="R13" s="560"/>
      <c r="S13" s="538"/>
    </row>
    <row r="14" spans="1:19" ht="45.75" customHeight="1">
      <c r="A14" s="561"/>
      <c r="B14" s="538"/>
      <c r="C14" s="538"/>
      <c r="D14" s="563"/>
      <c r="E14" s="565"/>
      <c r="F14" s="551"/>
      <c r="G14" s="538"/>
      <c r="H14" s="28" t="s">
        <v>1803</v>
      </c>
      <c r="I14" s="518"/>
      <c r="J14" s="518"/>
      <c r="K14" s="535"/>
      <c r="L14" s="538"/>
      <c r="M14" s="538"/>
      <c r="N14" s="518"/>
      <c r="O14" s="518"/>
      <c r="P14" s="518"/>
      <c r="Q14" s="535"/>
      <c r="R14" s="560"/>
      <c r="S14" s="538"/>
    </row>
    <row r="15" spans="1:19" ht="54" customHeight="1">
      <c r="A15" s="526"/>
      <c r="B15" s="528"/>
      <c r="C15" s="528"/>
      <c r="D15" s="564"/>
      <c r="E15" s="530"/>
      <c r="F15" s="537"/>
      <c r="G15" s="528"/>
      <c r="H15" s="28" t="s">
        <v>1804</v>
      </c>
      <c r="I15" s="501"/>
      <c r="J15" s="501"/>
      <c r="K15" s="534"/>
      <c r="L15" s="528"/>
      <c r="M15" s="528"/>
      <c r="N15" s="501"/>
      <c r="O15" s="501"/>
      <c r="P15" s="501"/>
      <c r="Q15" s="534"/>
      <c r="R15" s="560"/>
      <c r="S15" s="528"/>
    </row>
    <row r="16" spans="1:19" ht="114" customHeight="1">
      <c r="A16" s="88" t="s">
        <v>1801</v>
      </c>
      <c r="B16" s="43" t="s">
        <v>1716</v>
      </c>
      <c r="C16" s="43" t="s">
        <v>1717</v>
      </c>
      <c r="D16" s="241">
        <v>9</v>
      </c>
      <c r="E16" s="241">
        <v>0</v>
      </c>
      <c r="F16" s="287">
        <f>E16/D16</f>
        <v>0</v>
      </c>
      <c r="G16" s="43"/>
      <c r="H16" s="28"/>
      <c r="I16" s="282"/>
      <c r="J16" s="282"/>
      <c r="K16" s="332"/>
      <c r="L16" s="43"/>
      <c r="M16" s="43" t="s">
        <v>1984</v>
      </c>
      <c r="N16" s="282"/>
      <c r="O16" s="282"/>
      <c r="P16" s="282"/>
      <c r="Q16" s="332"/>
      <c r="R16" s="281"/>
      <c r="S16" s="43"/>
    </row>
    <row r="17" spans="1:19" s="45" customFormat="1" ht="24" customHeight="1">
      <c r="A17" s="519" t="s">
        <v>1093</v>
      </c>
      <c r="B17" s="520"/>
      <c r="C17" s="521"/>
      <c r="D17" s="146"/>
      <c r="E17" s="146"/>
      <c r="F17" s="312">
        <v>0.83</v>
      </c>
      <c r="G17" s="107">
        <v>2</v>
      </c>
      <c r="H17" s="28"/>
      <c r="I17" s="251">
        <f>SUM(I8:I15)</f>
        <v>2418556.48874</v>
      </c>
      <c r="J17" s="251">
        <f>SUM(J8:J15)</f>
        <v>1799824.814</v>
      </c>
      <c r="K17" s="311">
        <f>J17/I17</f>
        <v>0.7441731555080023</v>
      </c>
      <c r="L17" s="28"/>
      <c r="M17" s="23"/>
      <c r="N17" s="252">
        <f>SUM(N8:N11)</f>
        <v>199</v>
      </c>
      <c r="O17" s="251">
        <f>SUM(O8:O11)</f>
        <v>1819824.814</v>
      </c>
      <c r="P17" s="251">
        <f>SUM(P8:P11)</f>
        <v>1799305.814</v>
      </c>
      <c r="Q17" s="297">
        <f>P17/O17</f>
        <v>0.9887247388637926</v>
      </c>
      <c r="R17" s="167"/>
      <c r="S17" s="28"/>
    </row>
    <row r="18" spans="1:19" s="45" customFormat="1" ht="24" customHeight="1">
      <c r="A18" s="522" t="s">
        <v>6</v>
      </c>
      <c r="B18" s="523"/>
      <c r="C18" s="524"/>
      <c r="D18" s="147"/>
      <c r="E18" s="147"/>
      <c r="F18" s="147"/>
      <c r="G18" s="55"/>
      <c r="H18" s="55"/>
      <c r="I18" s="90"/>
      <c r="J18" s="90"/>
      <c r="K18" s="314"/>
      <c r="L18" s="55"/>
      <c r="M18" s="55"/>
      <c r="N18" s="55"/>
      <c r="O18" s="55"/>
      <c r="P18" s="55"/>
      <c r="Q18" s="320"/>
      <c r="R18" s="167"/>
      <c r="S18" s="55"/>
    </row>
    <row r="19" spans="1:19" s="45" customFormat="1" ht="22.5" customHeight="1">
      <c r="A19" s="549" t="s">
        <v>1713</v>
      </c>
      <c r="B19" s="550"/>
      <c r="C19" s="270"/>
      <c r="D19" s="255"/>
      <c r="E19" s="255"/>
      <c r="F19" s="255"/>
      <c r="G19" s="55"/>
      <c r="H19" s="55"/>
      <c r="I19" s="90"/>
      <c r="J19" s="90"/>
      <c r="K19" s="314"/>
      <c r="L19" s="55"/>
      <c r="M19" s="55"/>
      <c r="N19" s="55"/>
      <c r="O19" s="55"/>
      <c r="P19" s="55"/>
      <c r="Q19" s="320"/>
      <c r="R19" s="167"/>
      <c r="S19" s="55"/>
    </row>
    <row r="20" spans="1:19" ht="21" customHeight="1">
      <c r="A20" s="546"/>
      <c r="B20" s="547"/>
      <c r="C20" s="548"/>
      <c r="D20" s="16"/>
      <c r="E20" s="16"/>
      <c r="F20" s="16"/>
      <c r="G20" s="66"/>
      <c r="H20" s="66"/>
      <c r="I20" s="66"/>
      <c r="J20" s="66"/>
      <c r="K20" s="345"/>
      <c r="L20" s="66"/>
      <c r="M20" s="66"/>
      <c r="N20" s="66"/>
      <c r="O20" s="66"/>
      <c r="P20" s="66"/>
      <c r="Q20" s="345"/>
      <c r="R20" s="58"/>
      <c r="S20" s="66"/>
    </row>
    <row r="21" spans="1:19" ht="27.75" customHeight="1">
      <c r="A21" s="504" t="s">
        <v>7</v>
      </c>
      <c r="B21" s="504"/>
      <c r="C21" s="504"/>
      <c r="D21" s="264" t="s">
        <v>1100</v>
      </c>
      <c r="E21" s="145"/>
      <c r="F21" s="257"/>
      <c r="G21" s="66"/>
      <c r="H21" s="101"/>
      <c r="I21" s="101"/>
      <c r="J21" s="101"/>
      <c r="K21" s="346"/>
      <c r="L21" s="66"/>
      <c r="M21" s="66"/>
      <c r="N21" s="66"/>
      <c r="O21" s="66"/>
      <c r="P21" s="66"/>
      <c r="Q21" s="345"/>
      <c r="R21" s="58"/>
      <c r="S21" s="66"/>
    </row>
  </sheetData>
  <sheetProtection/>
  <mergeCells count="70">
    <mergeCell ref="K11:K15"/>
    <mergeCell ref="R11:R15"/>
    <mergeCell ref="S11:S15"/>
    <mergeCell ref="A13:A15"/>
    <mergeCell ref="B13:B15"/>
    <mergeCell ref="C13:C15"/>
    <mergeCell ref="D13:D15"/>
    <mergeCell ref="E13:E15"/>
    <mergeCell ref="M11:M12"/>
    <mergeCell ref="M13:M15"/>
    <mergeCell ref="F13:F15"/>
    <mergeCell ref="L11:L15"/>
    <mergeCell ref="A4:G4"/>
    <mergeCell ref="H4:L4"/>
    <mergeCell ref="M4:O4"/>
    <mergeCell ref="P4:S4"/>
    <mergeCell ref="R8:R9"/>
    <mergeCell ref="J6:J7"/>
    <mergeCell ref="K6:K7"/>
    <mergeCell ref="O6:O7"/>
    <mergeCell ref="A5:F5"/>
    <mergeCell ref="G5:M5"/>
    <mergeCell ref="N5:R5"/>
    <mergeCell ref="G8:G9"/>
    <mergeCell ref="L6:L7"/>
    <mergeCell ref="A20:C20"/>
    <mergeCell ref="A19:B19"/>
    <mergeCell ref="N11:N15"/>
    <mergeCell ref="O11:O15"/>
    <mergeCell ref="P11:P15"/>
    <mergeCell ref="C11:C12"/>
    <mergeCell ref="D11:D12"/>
    <mergeCell ref="Q6:Q7"/>
    <mergeCell ref="R6:R7"/>
    <mergeCell ref="Q8:Q9"/>
    <mergeCell ref="Q11:Q15"/>
    <mergeCell ref="E11:E12"/>
    <mergeCell ref="F11:F12"/>
    <mergeCell ref="G11:G15"/>
    <mergeCell ref="M6:M7"/>
    <mergeCell ref="P6:P7"/>
    <mergeCell ref="N6:N7"/>
    <mergeCell ref="I11:I15"/>
    <mergeCell ref="A17:C17"/>
    <mergeCell ref="A18:C18"/>
    <mergeCell ref="L8:L9"/>
    <mergeCell ref="H8:H9"/>
    <mergeCell ref="F6:F7"/>
    <mergeCell ref="A11:A12"/>
    <mergeCell ref="B11:B12"/>
    <mergeCell ref="I6:I7"/>
    <mergeCell ref="J11:J15"/>
    <mergeCell ref="O8:O9"/>
    <mergeCell ref="A6:A7"/>
    <mergeCell ref="B6:B7"/>
    <mergeCell ref="C6:C7"/>
    <mergeCell ref="G6:G7"/>
    <mergeCell ref="E6:E7"/>
    <mergeCell ref="D6:D7"/>
    <mergeCell ref="H6:H7"/>
    <mergeCell ref="P8:P9"/>
    <mergeCell ref="S6:S7"/>
    <mergeCell ref="A21:C21"/>
    <mergeCell ref="A2:S2"/>
    <mergeCell ref="A3:S3"/>
    <mergeCell ref="I8:I9"/>
    <mergeCell ref="J8:J9"/>
    <mergeCell ref="K8:K9"/>
    <mergeCell ref="S8:S9"/>
    <mergeCell ref="N8:N9"/>
  </mergeCells>
  <printOptions/>
  <pageMargins left="1.299212598425197" right="0.31496062992125984" top="0.7480314960629921" bottom="0.7480314960629921" header="0.31496062992125984" footer="0.31496062992125984"/>
  <pageSetup horizontalDpi="600" verticalDpi="600" orientation="landscape" paperSize="5" scale="85" r:id="rId3"/>
  <legacyDrawing r:id="rId2"/>
</worksheet>
</file>

<file path=xl/worksheets/sheet10.xml><?xml version="1.0" encoding="utf-8"?>
<worksheet xmlns="http://schemas.openxmlformats.org/spreadsheetml/2006/main" xmlns:r="http://schemas.openxmlformats.org/officeDocument/2006/relationships">
  <dimension ref="A1:S13"/>
  <sheetViews>
    <sheetView zoomScale="60" zoomScaleNormal="60" zoomScalePageLayoutView="0" workbookViewId="0" topLeftCell="H1">
      <selection activeCell="Z18" sqref="Z18"/>
    </sheetView>
  </sheetViews>
  <sheetFormatPr defaultColWidth="11.421875" defaultRowHeight="15"/>
  <cols>
    <col min="1" max="1" width="22.57421875" style="46" customWidth="1"/>
    <col min="2" max="2" width="31.00390625" style="46" customWidth="1"/>
    <col min="3" max="3" width="23.7109375" style="46" customWidth="1"/>
    <col min="4" max="4" width="21.7109375" style="46" customWidth="1"/>
    <col min="5" max="5" width="17.28125" style="46" customWidth="1"/>
    <col min="6" max="6" width="19.421875" style="46" customWidth="1"/>
    <col min="7" max="7" width="23.7109375" style="46" customWidth="1"/>
    <col min="8" max="8" width="27.00390625" style="46" customWidth="1"/>
    <col min="9" max="9" width="20.8515625" style="46" customWidth="1"/>
    <col min="10" max="11" width="19.7109375" style="46" customWidth="1"/>
    <col min="12" max="12" width="35.8515625" style="46" customWidth="1"/>
    <col min="13" max="13" width="23.7109375" style="46" customWidth="1"/>
    <col min="14" max="14" width="20.28125" style="46" customWidth="1"/>
    <col min="15" max="15" width="17.7109375" style="46" customWidth="1"/>
    <col min="16" max="16" width="20.28125" style="46" customWidth="1"/>
    <col min="17" max="17" width="17.7109375" style="46" customWidth="1"/>
    <col min="18" max="18" width="12.28125" style="46" customWidth="1"/>
    <col min="19" max="19" width="20.57421875" style="46" customWidth="1"/>
    <col min="20" max="16384" width="11.421875" style="46" customWidth="1"/>
  </cols>
  <sheetData>
    <row r="1" ht="26.25" customHeight="1" thickBot="1">
      <c r="R1" s="62"/>
    </row>
    <row r="2" spans="1:19" s="253" customFormat="1" ht="24" customHeight="1" thickBot="1">
      <c r="A2" s="505" t="s">
        <v>8</v>
      </c>
      <c r="B2" s="506"/>
      <c r="C2" s="506"/>
      <c r="D2" s="506"/>
      <c r="E2" s="506"/>
      <c r="F2" s="506"/>
      <c r="G2" s="506"/>
      <c r="H2" s="506"/>
      <c r="I2" s="506"/>
      <c r="J2" s="506"/>
      <c r="K2" s="506"/>
      <c r="L2" s="506"/>
      <c r="M2" s="506"/>
      <c r="N2" s="506"/>
      <c r="O2" s="506"/>
      <c r="P2" s="506"/>
      <c r="Q2" s="506"/>
      <c r="R2" s="506"/>
      <c r="S2" s="507"/>
    </row>
    <row r="3" spans="1:19" s="253" customFormat="1" ht="29.25" customHeight="1" thickBot="1">
      <c r="A3" s="508" t="s">
        <v>1683</v>
      </c>
      <c r="B3" s="509"/>
      <c r="C3" s="509"/>
      <c r="D3" s="509"/>
      <c r="E3" s="509"/>
      <c r="F3" s="509"/>
      <c r="G3" s="509"/>
      <c r="H3" s="509"/>
      <c r="I3" s="509"/>
      <c r="J3" s="509"/>
      <c r="K3" s="509"/>
      <c r="L3" s="509"/>
      <c r="M3" s="509"/>
      <c r="N3" s="509"/>
      <c r="O3" s="509"/>
      <c r="P3" s="509"/>
      <c r="Q3" s="509"/>
      <c r="R3" s="509"/>
      <c r="S3" s="510"/>
    </row>
    <row r="4" spans="1:19" s="62" customFormat="1" ht="27.75" customHeight="1">
      <c r="A4" s="666" t="s">
        <v>551</v>
      </c>
      <c r="B4" s="667"/>
      <c r="C4" s="667"/>
      <c r="D4" s="667"/>
      <c r="E4" s="667"/>
      <c r="F4" s="667"/>
      <c r="G4" s="667"/>
      <c r="H4" s="684" t="s">
        <v>1721</v>
      </c>
      <c r="I4" s="684"/>
      <c r="J4" s="684"/>
      <c r="K4" s="684"/>
      <c r="L4" s="684"/>
      <c r="M4" s="666" t="s">
        <v>1183</v>
      </c>
      <c r="N4" s="667"/>
      <c r="O4" s="668"/>
      <c r="P4" s="666" t="s">
        <v>1334</v>
      </c>
      <c r="Q4" s="667"/>
      <c r="R4" s="667"/>
      <c r="S4" s="668"/>
    </row>
    <row r="5" spans="1:19" s="42" customFormat="1" ht="24.75" customHeight="1">
      <c r="A5" s="698" t="s">
        <v>0</v>
      </c>
      <c r="B5" s="699"/>
      <c r="C5" s="699"/>
      <c r="D5" s="699"/>
      <c r="E5" s="699"/>
      <c r="F5" s="700"/>
      <c r="G5" s="697" t="s">
        <v>1</v>
      </c>
      <c r="H5" s="697"/>
      <c r="I5" s="697"/>
      <c r="J5" s="697"/>
      <c r="K5" s="697"/>
      <c r="L5" s="697"/>
      <c r="M5" s="697"/>
      <c r="N5" s="697" t="s">
        <v>1187</v>
      </c>
      <c r="O5" s="697"/>
      <c r="P5" s="697"/>
      <c r="Q5" s="697"/>
      <c r="R5" s="697"/>
      <c r="S5" s="669" t="s">
        <v>1685</v>
      </c>
    </row>
    <row r="6" spans="1:19" s="42" customFormat="1" ht="28.5" customHeight="1">
      <c r="A6" s="697" t="s">
        <v>2</v>
      </c>
      <c r="B6" s="697" t="s">
        <v>4</v>
      </c>
      <c r="C6" s="697" t="s">
        <v>3</v>
      </c>
      <c r="D6" s="669" t="s">
        <v>1116</v>
      </c>
      <c r="E6" s="669" t="s">
        <v>1117</v>
      </c>
      <c r="F6" s="669" t="s">
        <v>1118</v>
      </c>
      <c r="G6" s="697" t="s">
        <v>1186</v>
      </c>
      <c r="H6" s="669" t="s">
        <v>9</v>
      </c>
      <c r="I6" s="693" t="s">
        <v>1180</v>
      </c>
      <c r="J6" s="693" t="s">
        <v>1181</v>
      </c>
      <c r="K6" s="693" t="s">
        <v>1103</v>
      </c>
      <c r="L6" s="682" t="s">
        <v>1637</v>
      </c>
      <c r="M6" s="697" t="s">
        <v>5</v>
      </c>
      <c r="N6" s="669" t="s">
        <v>1115</v>
      </c>
      <c r="O6" s="669" t="s">
        <v>1119</v>
      </c>
      <c r="P6" s="669" t="s">
        <v>1120</v>
      </c>
      <c r="Q6" s="669" t="s">
        <v>1185</v>
      </c>
      <c r="R6" s="697" t="s">
        <v>924</v>
      </c>
      <c r="S6" s="761"/>
    </row>
    <row r="7" spans="1:19" s="42" customFormat="1" ht="43.5" customHeight="1">
      <c r="A7" s="697"/>
      <c r="B7" s="697"/>
      <c r="C7" s="697"/>
      <c r="D7" s="670"/>
      <c r="E7" s="670"/>
      <c r="F7" s="670"/>
      <c r="G7" s="697"/>
      <c r="H7" s="670"/>
      <c r="I7" s="694"/>
      <c r="J7" s="694"/>
      <c r="K7" s="694"/>
      <c r="L7" s="683"/>
      <c r="M7" s="697"/>
      <c r="N7" s="670"/>
      <c r="O7" s="670"/>
      <c r="P7" s="670"/>
      <c r="Q7" s="670"/>
      <c r="R7" s="697"/>
      <c r="S7" s="670"/>
    </row>
    <row r="8" spans="1:19" ht="216" customHeight="1">
      <c r="A8" s="61" t="s">
        <v>547</v>
      </c>
      <c r="B8" s="43" t="s">
        <v>548</v>
      </c>
      <c r="C8" s="43" t="s">
        <v>549</v>
      </c>
      <c r="D8" s="161">
        <v>7</v>
      </c>
      <c r="E8" s="161">
        <v>8</v>
      </c>
      <c r="F8" s="144">
        <v>1</v>
      </c>
      <c r="G8" s="63" t="s">
        <v>1003</v>
      </c>
      <c r="H8" s="63" t="s">
        <v>1333</v>
      </c>
      <c r="I8" s="140">
        <f>131924000.45/1000</f>
        <v>131924.00045</v>
      </c>
      <c r="J8" s="140">
        <f>131924000.45/1000</f>
        <v>131924.00045</v>
      </c>
      <c r="K8" s="144">
        <f>J8/I8</f>
        <v>1</v>
      </c>
      <c r="L8" s="138" t="s">
        <v>1002</v>
      </c>
      <c r="M8" s="43" t="s">
        <v>2158</v>
      </c>
      <c r="N8" s="171">
        <v>16</v>
      </c>
      <c r="O8" s="44">
        <f>131924000.45/1000</f>
        <v>131924.00045</v>
      </c>
      <c r="P8" s="137">
        <f>J8</f>
        <v>131924.00045</v>
      </c>
      <c r="Q8" s="293">
        <f>P8/O8</f>
        <v>1</v>
      </c>
      <c r="R8" s="137" t="s">
        <v>26</v>
      </c>
      <c r="S8" s="43" t="s">
        <v>550</v>
      </c>
    </row>
    <row r="9" spans="1:19" s="45" customFormat="1" ht="21.75" customHeight="1">
      <c r="A9" s="519" t="s">
        <v>1093</v>
      </c>
      <c r="B9" s="520"/>
      <c r="C9" s="268"/>
      <c r="D9" s="131"/>
      <c r="E9" s="131"/>
      <c r="F9" s="312">
        <v>1</v>
      </c>
      <c r="G9" s="107">
        <v>1</v>
      </c>
      <c r="H9" s="28"/>
      <c r="I9" s="106">
        <f>SUM(I8)</f>
        <v>131924.00045</v>
      </c>
      <c r="J9" s="106">
        <f>SUM(J8)</f>
        <v>131924.00045</v>
      </c>
      <c r="K9" s="297">
        <f>J9/I9</f>
        <v>1</v>
      </c>
      <c r="L9" s="28"/>
      <c r="M9" s="23"/>
      <c r="N9" s="106">
        <f>SUM(N8)</f>
        <v>16</v>
      </c>
      <c r="O9" s="106">
        <f>SUM(O8)</f>
        <v>131924.00045</v>
      </c>
      <c r="P9" s="106">
        <f>SUM(P8)</f>
        <v>131924.00045</v>
      </c>
      <c r="Q9" s="297">
        <f>P9/O9</f>
        <v>1</v>
      </c>
      <c r="R9" s="167"/>
      <c r="S9" s="28"/>
    </row>
    <row r="10" spans="1:19" s="45" customFormat="1" ht="21.75" customHeight="1">
      <c r="A10" s="519" t="s">
        <v>6</v>
      </c>
      <c r="B10" s="520"/>
      <c r="C10" s="269"/>
      <c r="D10" s="132"/>
      <c r="E10" s="132"/>
      <c r="F10" s="132"/>
      <c r="G10" s="55"/>
      <c r="H10" s="55"/>
      <c r="I10" s="90"/>
      <c r="J10" s="90"/>
      <c r="K10" s="90"/>
      <c r="L10" s="55"/>
      <c r="M10" s="55"/>
      <c r="N10" s="55"/>
      <c r="O10" s="55"/>
      <c r="P10" s="55"/>
      <c r="Q10" s="55"/>
      <c r="R10" s="167"/>
      <c r="S10" s="55"/>
    </row>
    <row r="11" spans="1:19" s="45" customFormat="1" ht="22.5" customHeight="1">
      <c r="A11" s="549" t="s">
        <v>1713</v>
      </c>
      <c r="B11" s="550"/>
      <c r="C11" s="270"/>
      <c r="D11" s="255"/>
      <c r="E11" s="255"/>
      <c r="F11" s="255"/>
      <c r="G11" s="55"/>
      <c r="H11" s="55"/>
      <c r="I11" s="90"/>
      <c r="J11" s="90"/>
      <c r="K11" s="90"/>
      <c r="L11" s="55"/>
      <c r="M11" s="55"/>
      <c r="N11" s="55"/>
      <c r="O11" s="55"/>
      <c r="P11" s="55"/>
      <c r="Q11" s="55"/>
      <c r="R11" s="167"/>
      <c r="S11" s="55"/>
    </row>
    <row r="12" spans="1:19" ht="22.5" customHeight="1">
      <c r="A12" s="549"/>
      <c r="B12" s="550"/>
      <c r="C12" s="16"/>
      <c r="D12" s="16"/>
      <c r="E12" s="16"/>
      <c r="F12" s="16"/>
      <c r="G12" s="66"/>
      <c r="H12" s="66"/>
      <c r="I12" s="66"/>
      <c r="J12" s="66"/>
      <c r="K12" s="66"/>
      <c r="L12" s="66"/>
      <c r="M12" s="66"/>
      <c r="N12" s="66"/>
      <c r="O12" s="66"/>
      <c r="P12" s="66"/>
      <c r="Q12" s="66"/>
      <c r="R12" s="66"/>
      <c r="S12" s="66"/>
    </row>
    <row r="13" spans="1:19" ht="24" customHeight="1">
      <c r="A13" s="549" t="s">
        <v>7</v>
      </c>
      <c r="B13" s="550"/>
      <c r="C13" s="278" t="s">
        <v>550</v>
      </c>
      <c r="D13" s="129"/>
      <c r="E13" s="129"/>
      <c r="F13" s="129"/>
      <c r="G13" s="101"/>
      <c r="H13" s="101"/>
      <c r="I13" s="101"/>
      <c r="J13" s="101"/>
      <c r="K13" s="101"/>
      <c r="L13" s="66"/>
      <c r="M13" s="66"/>
      <c r="N13" s="66"/>
      <c r="O13" s="66"/>
      <c r="P13" s="66"/>
      <c r="Q13" s="66"/>
      <c r="R13" s="66"/>
      <c r="S13" s="66"/>
    </row>
  </sheetData>
  <sheetProtection/>
  <mergeCells count="33">
    <mergeCell ref="A3:S3"/>
    <mergeCell ref="D6:D7"/>
    <mergeCell ref="F6:F7"/>
    <mergeCell ref="G6:G7"/>
    <mergeCell ref="A11:B11"/>
    <mergeCell ref="A9:B9"/>
    <mergeCell ref="A10:B10"/>
    <mergeCell ref="A4:G4"/>
    <mergeCell ref="H4:L4"/>
    <mergeCell ref="B6:B7"/>
    <mergeCell ref="A13:B13"/>
    <mergeCell ref="K6:K7"/>
    <mergeCell ref="N6:N7"/>
    <mergeCell ref="H6:H7"/>
    <mergeCell ref="I6:I7"/>
    <mergeCell ref="E6:E7"/>
    <mergeCell ref="J6:J7"/>
    <mergeCell ref="A5:F5"/>
    <mergeCell ref="G5:M5"/>
    <mergeCell ref="N5:R5"/>
    <mergeCell ref="Q6:Q7"/>
    <mergeCell ref="S5:S7"/>
    <mergeCell ref="A12:B12"/>
    <mergeCell ref="A2:S2"/>
    <mergeCell ref="M4:O4"/>
    <mergeCell ref="L6:L7"/>
    <mergeCell ref="O6:O7"/>
    <mergeCell ref="M6:M7"/>
    <mergeCell ref="P6:P7"/>
    <mergeCell ref="P4:S4"/>
    <mergeCell ref="R6:R7"/>
    <mergeCell ref="A6:A7"/>
    <mergeCell ref="C6:C7"/>
  </mergeCells>
  <printOptions/>
  <pageMargins left="1.299212598425197" right="0.31496062992125984" top="0.7480314960629921" bottom="0.7480314960629921" header="0.31496062992125984" footer="0.31496062992125984"/>
  <pageSetup horizontalDpi="600" verticalDpi="600" orientation="landscape" paperSize="5" scale="80"/>
  <legacyDrawing r:id="rId2"/>
</worksheet>
</file>

<file path=xl/worksheets/sheet11.xml><?xml version="1.0" encoding="utf-8"?>
<worksheet xmlns="http://schemas.openxmlformats.org/spreadsheetml/2006/main" xmlns:r="http://schemas.openxmlformats.org/officeDocument/2006/relationships">
  <dimension ref="A2:S23"/>
  <sheetViews>
    <sheetView zoomScale="60" zoomScaleNormal="60" zoomScalePageLayoutView="0" workbookViewId="0" topLeftCell="A11">
      <selection activeCell="G16" sqref="G16:G18"/>
    </sheetView>
  </sheetViews>
  <sheetFormatPr defaultColWidth="11.421875" defaultRowHeight="15"/>
  <cols>
    <col min="1" max="1" width="18.140625" style="62" customWidth="1"/>
    <col min="2" max="2" width="35.140625" style="46" customWidth="1"/>
    <col min="3" max="3" width="22.7109375" style="46" customWidth="1"/>
    <col min="4" max="4" width="18.421875" style="46" customWidth="1"/>
    <col min="5" max="5" width="18.7109375" style="46" customWidth="1"/>
    <col min="6" max="6" width="16.7109375" style="46" customWidth="1"/>
    <col min="7" max="7" width="33.00390625" style="46" customWidth="1"/>
    <col min="8" max="8" width="34.8515625" style="46" customWidth="1"/>
    <col min="9" max="9" width="20.7109375" style="46" customWidth="1"/>
    <col min="10" max="10" width="20.140625" style="46" customWidth="1"/>
    <col min="11" max="11" width="17.57421875" style="313" customWidth="1"/>
    <col min="12" max="12" width="41.421875" style="46" customWidth="1"/>
    <col min="13" max="13" width="35.28125" style="46" customWidth="1"/>
    <col min="14" max="14" width="21.421875" style="46" customWidth="1"/>
    <col min="15" max="15" width="22.8515625" style="46" customWidth="1"/>
    <col min="16" max="16" width="23.140625" style="46" customWidth="1"/>
    <col min="17" max="17" width="18.7109375" style="313" customWidth="1"/>
    <col min="18" max="18" width="16.28125" style="62" customWidth="1"/>
    <col min="19" max="19" width="24.140625" style="46" customWidth="1"/>
    <col min="20" max="16384" width="11.421875" style="46" customWidth="1"/>
  </cols>
  <sheetData>
    <row r="1" ht="26.25" customHeight="1" thickBot="1"/>
    <row r="2" spans="1:19" s="253" customFormat="1" ht="24" customHeight="1" thickBot="1">
      <c r="A2" s="505" t="s">
        <v>8</v>
      </c>
      <c r="B2" s="506"/>
      <c r="C2" s="506"/>
      <c r="D2" s="506"/>
      <c r="E2" s="506"/>
      <c r="F2" s="506"/>
      <c r="G2" s="506"/>
      <c r="H2" s="506"/>
      <c r="I2" s="506"/>
      <c r="J2" s="506"/>
      <c r="K2" s="506"/>
      <c r="L2" s="506"/>
      <c r="M2" s="506"/>
      <c r="N2" s="506"/>
      <c r="O2" s="506"/>
      <c r="P2" s="506"/>
      <c r="Q2" s="506"/>
      <c r="R2" s="506"/>
      <c r="S2" s="507"/>
    </row>
    <row r="3" spans="1:19" s="253" customFormat="1" ht="29.25" customHeight="1" thickBot="1">
      <c r="A3" s="508" t="s">
        <v>1683</v>
      </c>
      <c r="B3" s="509"/>
      <c r="C3" s="509"/>
      <c r="D3" s="509"/>
      <c r="E3" s="509"/>
      <c r="F3" s="509"/>
      <c r="G3" s="509"/>
      <c r="H3" s="509"/>
      <c r="I3" s="509"/>
      <c r="J3" s="509"/>
      <c r="K3" s="509"/>
      <c r="L3" s="509"/>
      <c r="M3" s="509"/>
      <c r="N3" s="509"/>
      <c r="O3" s="509"/>
      <c r="P3" s="509"/>
      <c r="Q3" s="509"/>
      <c r="R3" s="509"/>
      <c r="S3" s="510"/>
    </row>
    <row r="4" spans="1:19" s="62" customFormat="1" ht="33" customHeight="1">
      <c r="A4" s="666" t="s">
        <v>1696</v>
      </c>
      <c r="B4" s="667"/>
      <c r="C4" s="667"/>
      <c r="D4" s="667"/>
      <c r="E4" s="667"/>
      <c r="F4" s="667"/>
      <c r="G4" s="667"/>
      <c r="H4" s="684" t="s">
        <v>1721</v>
      </c>
      <c r="I4" s="684"/>
      <c r="J4" s="684"/>
      <c r="K4" s="684"/>
      <c r="L4" s="684"/>
      <c r="M4" s="666" t="s">
        <v>1183</v>
      </c>
      <c r="N4" s="667"/>
      <c r="O4" s="668"/>
      <c r="P4" s="666" t="s">
        <v>1695</v>
      </c>
      <c r="Q4" s="667"/>
      <c r="R4" s="667"/>
      <c r="S4" s="668"/>
    </row>
    <row r="5" spans="1:19" s="42" customFormat="1" ht="27.75" customHeight="1">
      <c r="A5" s="698" t="s">
        <v>0</v>
      </c>
      <c r="B5" s="699"/>
      <c r="C5" s="699"/>
      <c r="D5" s="699"/>
      <c r="E5" s="699"/>
      <c r="F5" s="700"/>
      <c r="G5" s="697" t="s">
        <v>1</v>
      </c>
      <c r="H5" s="697"/>
      <c r="I5" s="697"/>
      <c r="J5" s="697"/>
      <c r="K5" s="697"/>
      <c r="L5" s="697"/>
      <c r="M5" s="697"/>
      <c r="N5" s="697" t="s">
        <v>1187</v>
      </c>
      <c r="O5" s="697"/>
      <c r="P5" s="697"/>
      <c r="Q5" s="697"/>
      <c r="R5" s="697"/>
      <c r="S5" s="669" t="s">
        <v>1685</v>
      </c>
    </row>
    <row r="6" spans="1:19" s="42" customFormat="1" ht="15" customHeight="1">
      <c r="A6" s="697" t="s">
        <v>2</v>
      </c>
      <c r="B6" s="697" t="s">
        <v>4</v>
      </c>
      <c r="C6" s="697" t="s">
        <v>3</v>
      </c>
      <c r="D6" s="669" t="s">
        <v>1116</v>
      </c>
      <c r="E6" s="669" t="s">
        <v>1117</v>
      </c>
      <c r="F6" s="669" t="s">
        <v>1118</v>
      </c>
      <c r="G6" s="697" t="s">
        <v>1186</v>
      </c>
      <c r="H6" s="669" t="s">
        <v>9</v>
      </c>
      <c r="I6" s="693" t="s">
        <v>1180</v>
      </c>
      <c r="J6" s="693" t="s">
        <v>1181</v>
      </c>
      <c r="K6" s="695" t="s">
        <v>1103</v>
      </c>
      <c r="L6" s="682" t="s">
        <v>1637</v>
      </c>
      <c r="M6" s="697" t="s">
        <v>2015</v>
      </c>
      <c r="N6" s="669" t="s">
        <v>1115</v>
      </c>
      <c r="O6" s="669" t="s">
        <v>1119</v>
      </c>
      <c r="P6" s="669" t="s">
        <v>1120</v>
      </c>
      <c r="Q6" s="671" t="s">
        <v>1185</v>
      </c>
      <c r="R6" s="697" t="s">
        <v>924</v>
      </c>
      <c r="S6" s="761"/>
    </row>
    <row r="7" spans="1:19" s="42" customFormat="1" ht="48.75" customHeight="1">
      <c r="A7" s="697"/>
      <c r="B7" s="697"/>
      <c r="C7" s="697"/>
      <c r="D7" s="670"/>
      <c r="E7" s="670"/>
      <c r="F7" s="670"/>
      <c r="G7" s="697"/>
      <c r="H7" s="670"/>
      <c r="I7" s="694"/>
      <c r="J7" s="694"/>
      <c r="K7" s="696"/>
      <c r="L7" s="683"/>
      <c r="M7" s="697"/>
      <c r="N7" s="670"/>
      <c r="O7" s="670"/>
      <c r="P7" s="670"/>
      <c r="Q7" s="672"/>
      <c r="R7" s="697"/>
      <c r="S7" s="670"/>
    </row>
    <row r="8" spans="1:19" ht="62.25" customHeight="1">
      <c r="A8" s="965" t="s">
        <v>552</v>
      </c>
      <c r="B8" s="515" t="s">
        <v>553</v>
      </c>
      <c r="C8" s="676" t="s">
        <v>554</v>
      </c>
      <c r="D8" s="962">
        <v>0.3</v>
      </c>
      <c r="E8" s="962">
        <v>0.1</v>
      </c>
      <c r="F8" s="956">
        <f>E8/D8</f>
        <v>0.33333333333333337</v>
      </c>
      <c r="G8" s="43" t="s">
        <v>1004</v>
      </c>
      <c r="H8" s="168" t="s">
        <v>1321</v>
      </c>
      <c r="I8" s="169">
        <f>78478183/1000</f>
        <v>78478.183</v>
      </c>
      <c r="J8" s="169">
        <f>7478183/1000</f>
        <v>7478.183</v>
      </c>
      <c r="K8" s="170">
        <f>J8/I8</f>
        <v>0.09528996103286437</v>
      </c>
      <c r="L8" s="8" t="s">
        <v>1009</v>
      </c>
      <c r="M8" s="676" t="s">
        <v>2159</v>
      </c>
      <c r="N8" s="82">
        <v>2</v>
      </c>
      <c r="O8" s="82">
        <f>78478183/1000</f>
        <v>78478.183</v>
      </c>
      <c r="P8" s="172">
        <f>J8</f>
        <v>7478.183</v>
      </c>
      <c r="Q8" s="291">
        <f>P8/O8</f>
        <v>0.09528996103286437</v>
      </c>
      <c r="R8" s="44" t="s">
        <v>1325</v>
      </c>
      <c r="S8" s="43" t="s">
        <v>1013</v>
      </c>
    </row>
    <row r="9" spans="1:19" ht="81.75" customHeight="1">
      <c r="A9" s="965"/>
      <c r="B9" s="515"/>
      <c r="C9" s="676"/>
      <c r="D9" s="963"/>
      <c r="E9" s="963"/>
      <c r="F9" s="957"/>
      <c r="G9" s="43" t="s">
        <v>1005</v>
      </c>
      <c r="H9" s="168" t="s">
        <v>1322</v>
      </c>
      <c r="I9" s="169">
        <f>77631235/1000</f>
        <v>77631.235</v>
      </c>
      <c r="J9" s="169">
        <f>77631235/1000</f>
        <v>77631.235</v>
      </c>
      <c r="K9" s="170">
        <f>J9/I9</f>
        <v>1</v>
      </c>
      <c r="L9" s="8" t="s">
        <v>1010</v>
      </c>
      <c r="M9" s="676"/>
      <c r="N9" s="82">
        <v>4</v>
      </c>
      <c r="O9" s="169">
        <f>77631235/1000</f>
        <v>77631.235</v>
      </c>
      <c r="P9" s="172">
        <f>J9</f>
        <v>77631.235</v>
      </c>
      <c r="Q9" s="291">
        <f>P9/O9</f>
        <v>1</v>
      </c>
      <c r="R9" s="44" t="s">
        <v>1325</v>
      </c>
      <c r="S9" s="43" t="s">
        <v>1013</v>
      </c>
    </row>
    <row r="10" spans="1:19" ht="54.75" customHeight="1">
      <c r="A10" s="965"/>
      <c r="B10" s="515"/>
      <c r="C10" s="676"/>
      <c r="D10" s="963"/>
      <c r="E10" s="963"/>
      <c r="F10" s="957"/>
      <c r="G10" s="515" t="s">
        <v>1006</v>
      </c>
      <c r="H10" s="135" t="s">
        <v>1323</v>
      </c>
      <c r="I10" s="960">
        <f>98129000.01/1000</f>
        <v>98129.00001</v>
      </c>
      <c r="J10" s="960">
        <f>98129000.01/1000</f>
        <v>98129.00001</v>
      </c>
      <c r="K10" s="956">
        <f>J10/I10</f>
        <v>1</v>
      </c>
      <c r="L10" s="8" t="s">
        <v>1011</v>
      </c>
      <c r="M10" s="676"/>
      <c r="N10" s="959">
        <v>13</v>
      </c>
      <c r="O10" s="960">
        <f>98129000.01/1000</f>
        <v>98129.00001</v>
      </c>
      <c r="P10" s="610">
        <f>J10</f>
        <v>98129.00001</v>
      </c>
      <c r="Q10" s="533">
        <f>P10/O10</f>
        <v>1</v>
      </c>
      <c r="R10" s="762" t="s">
        <v>1325</v>
      </c>
      <c r="S10" s="515" t="s">
        <v>1013</v>
      </c>
    </row>
    <row r="11" spans="1:19" ht="54.75" customHeight="1">
      <c r="A11" s="965"/>
      <c r="B11" s="515"/>
      <c r="C11" s="676"/>
      <c r="D11" s="964"/>
      <c r="E11" s="964"/>
      <c r="F11" s="958"/>
      <c r="G11" s="515"/>
      <c r="H11" s="168" t="s">
        <v>1324</v>
      </c>
      <c r="I11" s="961"/>
      <c r="J11" s="961"/>
      <c r="K11" s="958"/>
      <c r="L11" s="8" t="s">
        <v>1012</v>
      </c>
      <c r="M11" s="676"/>
      <c r="N11" s="605"/>
      <c r="O11" s="961"/>
      <c r="P11" s="747"/>
      <c r="Q11" s="534"/>
      <c r="R11" s="762"/>
      <c r="S11" s="515"/>
    </row>
    <row r="12" spans="1:19" ht="57" customHeight="1">
      <c r="A12" s="85" t="s">
        <v>555</v>
      </c>
      <c r="B12" s="43" t="s">
        <v>556</v>
      </c>
      <c r="C12" s="28" t="s">
        <v>557</v>
      </c>
      <c r="D12" s="61">
        <v>1</v>
      </c>
      <c r="E12" s="61">
        <v>1</v>
      </c>
      <c r="F12" s="170">
        <f>E12/D12</f>
        <v>1</v>
      </c>
      <c r="G12" s="515" t="s">
        <v>1007</v>
      </c>
      <c r="H12" s="43" t="s">
        <v>1326</v>
      </c>
      <c r="I12" s="500">
        <f>582713782/1000</f>
        <v>582713.782</v>
      </c>
      <c r="J12" s="500">
        <f>575963782/1000</f>
        <v>575963.782</v>
      </c>
      <c r="K12" s="533">
        <f>J12/I12</f>
        <v>0.9884162684863356</v>
      </c>
      <c r="L12" s="48" t="s">
        <v>570</v>
      </c>
      <c r="M12" s="28" t="s">
        <v>2162</v>
      </c>
      <c r="N12" s="604">
        <v>20</v>
      </c>
      <c r="O12" s="500">
        <f>582713782/1000</f>
        <v>582713.782</v>
      </c>
      <c r="P12" s="500">
        <f>J12</f>
        <v>575963.782</v>
      </c>
      <c r="Q12" s="533">
        <f>P12/O12</f>
        <v>0.9884162684863356</v>
      </c>
      <c r="R12" s="762" t="s">
        <v>1325</v>
      </c>
      <c r="S12" s="515" t="s">
        <v>1013</v>
      </c>
    </row>
    <row r="13" spans="1:19" ht="78" customHeight="1">
      <c r="A13" s="85" t="s">
        <v>558</v>
      </c>
      <c r="B13" s="43" t="s">
        <v>559</v>
      </c>
      <c r="C13" s="28" t="s">
        <v>560</v>
      </c>
      <c r="D13" s="61">
        <v>1</v>
      </c>
      <c r="E13" s="61">
        <v>1</v>
      </c>
      <c r="F13" s="170">
        <f>E13/D13</f>
        <v>1</v>
      </c>
      <c r="G13" s="515"/>
      <c r="H13" s="43" t="s">
        <v>1328</v>
      </c>
      <c r="I13" s="518"/>
      <c r="J13" s="518"/>
      <c r="K13" s="535"/>
      <c r="L13" s="43" t="s">
        <v>571</v>
      </c>
      <c r="M13" s="28" t="s">
        <v>2163</v>
      </c>
      <c r="N13" s="634"/>
      <c r="O13" s="518"/>
      <c r="P13" s="634"/>
      <c r="Q13" s="535"/>
      <c r="R13" s="762"/>
      <c r="S13" s="515"/>
    </row>
    <row r="14" spans="1:19" ht="105.75" customHeight="1">
      <c r="A14" s="85" t="s">
        <v>561</v>
      </c>
      <c r="B14" s="43" t="s">
        <v>562</v>
      </c>
      <c r="C14" s="28" t="s">
        <v>563</v>
      </c>
      <c r="D14" s="61"/>
      <c r="E14" s="61"/>
      <c r="F14" s="170"/>
      <c r="G14" s="515"/>
      <c r="H14" s="43" t="s">
        <v>1329</v>
      </c>
      <c r="I14" s="518"/>
      <c r="J14" s="518"/>
      <c r="K14" s="535"/>
      <c r="L14" s="515" t="s">
        <v>572</v>
      </c>
      <c r="M14" s="28" t="s">
        <v>2101</v>
      </c>
      <c r="N14" s="634"/>
      <c r="O14" s="518"/>
      <c r="P14" s="634"/>
      <c r="Q14" s="535"/>
      <c r="R14" s="762"/>
      <c r="S14" s="515"/>
    </row>
    <row r="15" spans="1:19" ht="141" customHeight="1">
      <c r="A15" s="85" t="s">
        <v>564</v>
      </c>
      <c r="B15" s="43" t="s">
        <v>565</v>
      </c>
      <c r="C15" s="43" t="s">
        <v>566</v>
      </c>
      <c r="D15" s="61">
        <v>4</v>
      </c>
      <c r="E15" s="61">
        <v>4</v>
      </c>
      <c r="F15" s="170">
        <f>E15/D15</f>
        <v>1</v>
      </c>
      <c r="G15" s="515"/>
      <c r="H15" s="43" t="s">
        <v>1327</v>
      </c>
      <c r="I15" s="501"/>
      <c r="J15" s="501"/>
      <c r="K15" s="534"/>
      <c r="L15" s="515"/>
      <c r="M15" s="43" t="s">
        <v>2164</v>
      </c>
      <c r="N15" s="605"/>
      <c r="O15" s="501"/>
      <c r="P15" s="605"/>
      <c r="Q15" s="534"/>
      <c r="R15" s="762"/>
      <c r="S15" s="515"/>
    </row>
    <row r="16" spans="1:19" ht="68.25" customHeight="1">
      <c r="A16" s="967" t="s">
        <v>567</v>
      </c>
      <c r="B16" s="968" t="s">
        <v>568</v>
      </c>
      <c r="C16" s="676" t="s">
        <v>569</v>
      </c>
      <c r="D16" s="850">
        <v>0.3</v>
      </c>
      <c r="E16" s="837">
        <v>0.1</v>
      </c>
      <c r="F16" s="969">
        <f>E16/D16</f>
        <v>0.33333333333333337</v>
      </c>
      <c r="G16" s="515" t="s">
        <v>1008</v>
      </c>
      <c r="H16" s="43" t="s">
        <v>1330</v>
      </c>
      <c r="I16" s="500">
        <f>55680000/1000</f>
        <v>55680</v>
      </c>
      <c r="J16" s="500">
        <v>0</v>
      </c>
      <c r="K16" s="956">
        <v>0</v>
      </c>
      <c r="L16" s="43" t="s">
        <v>573</v>
      </c>
      <c r="M16" s="676" t="s">
        <v>2165</v>
      </c>
      <c r="N16" s="604">
        <v>0</v>
      </c>
      <c r="O16" s="604">
        <v>0</v>
      </c>
      <c r="P16" s="604">
        <v>0</v>
      </c>
      <c r="Q16" s="533">
        <v>0</v>
      </c>
      <c r="R16" s="604" t="s">
        <v>1325</v>
      </c>
      <c r="S16" s="515" t="s">
        <v>1013</v>
      </c>
    </row>
    <row r="17" spans="1:19" ht="68.25" customHeight="1">
      <c r="A17" s="967"/>
      <c r="B17" s="968"/>
      <c r="C17" s="676"/>
      <c r="D17" s="966"/>
      <c r="E17" s="838"/>
      <c r="F17" s="970"/>
      <c r="G17" s="515"/>
      <c r="H17" s="43" t="s">
        <v>1331</v>
      </c>
      <c r="I17" s="518"/>
      <c r="J17" s="518"/>
      <c r="K17" s="957"/>
      <c r="L17" s="43" t="s">
        <v>574</v>
      </c>
      <c r="M17" s="676"/>
      <c r="N17" s="634"/>
      <c r="O17" s="634"/>
      <c r="P17" s="634"/>
      <c r="Q17" s="535"/>
      <c r="R17" s="634"/>
      <c r="S17" s="515"/>
    </row>
    <row r="18" spans="1:19" ht="68.25" customHeight="1">
      <c r="A18" s="967"/>
      <c r="B18" s="968"/>
      <c r="C18" s="676"/>
      <c r="D18" s="851"/>
      <c r="E18" s="839"/>
      <c r="F18" s="971"/>
      <c r="G18" s="515"/>
      <c r="H18" s="43" t="s">
        <v>1332</v>
      </c>
      <c r="I18" s="501"/>
      <c r="J18" s="501"/>
      <c r="K18" s="958"/>
      <c r="L18" s="43" t="s">
        <v>575</v>
      </c>
      <c r="M18" s="676"/>
      <c r="N18" s="605"/>
      <c r="O18" s="605"/>
      <c r="P18" s="605"/>
      <c r="Q18" s="534"/>
      <c r="R18" s="605"/>
      <c r="S18" s="515"/>
    </row>
    <row r="19" spans="1:19" s="45" customFormat="1" ht="22.5" customHeight="1">
      <c r="A19" s="519" t="s">
        <v>1093</v>
      </c>
      <c r="B19" s="520"/>
      <c r="C19" s="268"/>
      <c r="D19" s="131"/>
      <c r="E19" s="131"/>
      <c r="F19" s="312">
        <v>0.73</v>
      </c>
      <c r="G19" s="107">
        <v>5</v>
      </c>
      <c r="H19" s="28"/>
      <c r="I19" s="106">
        <f>SUM(I8:I18)</f>
        <v>892632.20001</v>
      </c>
      <c r="J19" s="106">
        <f>SUM(J8:J18)</f>
        <v>759202.20001</v>
      </c>
      <c r="K19" s="311">
        <f>J19/I19</f>
        <v>0.8505207407950272</v>
      </c>
      <c r="L19" s="28"/>
      <c r="M19" s="23"/>
      <c r="N19" s="106">
        <f>SUM(N8:N18)</f>
        <v>39</v>
      </c>
      <c r="O19" s="106">
        <f>SUM(O8:O18)</f>
        <v>836952.20001</v>
      </c>
      <c r="P19" s="106">
        <f>SUM(P8:P18)</f>
        <v>759202.20001</v>
      </c>
      <c r="Q19" s="297">
        <f>P19/O19</f>
        <v>0.907103416420829</v>
      </c>
      <c r="R19" s="167"/>
      <c r="S19" s="28"/>
    </row>
    <row r="20" spans="1:19" s="45" customFormat="1" ht="22.5" customHeight="1">
      <c r="A20" s="519" t="s">
        <v>6</v>
      </c>
      <c r="B20" s="520"/>
      <c r="C20" s="269"/>
      <c r="D20" s="132"/>
      <c r="E20" s="132"/>
      <c r="F20" s="132"/>
      <c r="G20" s="55"/>
      <c r="H20" s="55"/>
      <c r="I20" s="90"/>
      <c r="J20" s="90"/>
      <c r="K20" s="314"/>
      <c r="L20" s="55"/>
      <c r="M20" s="55"/>
      <c r="N20" s="55"/>
      <c r="O20" s="55"/>
      <c r="P20" s="55"/>
      <c r="Q20" s="320"/>
      <c r="R20" s="167"/>
      <c r="S20" s="55"/>
    </row>
    <row r="21" spans="1:19" s="45" customFormat="1" ht="22.5" customHeight="1">
      <c r="A21" s="549" t="s">
        <v>1713</v>
      </c>
      <c r="B21" s="550"/>
      <c r="C21" s="270"/>
      <c r="D21" s="255"/>
      <c r="E21" s="255"/>
      <c r="F21" s="255"/>
      <c r="G21" s="55"/>
      <c r="H21" s="55"/>
      <c r="I21" s="90"/>
      <c r="J21" s="90"/>
      <c r="K21" s="314"/>
      <c r="L21" s="55"/>
      <c r="M21" s="55"/>
      <c r="N21" s="55"/>
      <c r="O21" s="55"/>
      <c r="P21" s="55"/>
      <c r="Q21" s="320"/>
      <c r="R21" s="167"/>
      <c r="S21" s="55"/>
    </row>
    <row r="22" spans="1:19" ht="22.5" customHeight="1">
      <c r="A22" s="549"/>
      <c r="B22" s="550"/>
      <c r="C22" s="16"/>
      <c r="D22" s="16"/>
      <c r="E22" s="16"/>
      <c r="F22" s="16"/>
      <c r="G22" s="66"/>
      <c r="H22" s="66"/>
      <c r="I22" s="66"/>
      <c r="J22" s="66"/>
      <c r="K22" s="345"/>
      <c r="L22" s="66"/>
      <c r="M22" s="66"/>
      <c r="N22" s="66"/>
      <c r="O22" s="66"/>
      <c r="P22" s="66"/>
      <c r="Q22" s="345"/>
      <c r="R22" s="58"/>
      <c r="S22" s="66"/>
    </row>
    <row r="23" spans="1:19" ht="22.5" customHeight="1">
      <c r="A23" s="549" t="s">
        <v>7</v>
      </c>
      <c r="B23" s="550"/>
      <c r="C23" s="278" t="s">
        <v>1687</v>
      </c>
      <c r="D23" s="129"/>
      <c r="E23" s="129"/>
      <c r="F23" s="129"/>
      <c r="G23" s="101"/>
      <c r="H23" s="101"/>
      <c r="I23" s="101"/>
      <c r="J23" s="101"/>
      <c r="K23" s="346"/>
      <c r="L23" s="66"/>
      <c r="M23" s="66"/>
      <c r="N23" s="66"/>
      <c r="O23" s="66"/>
      <c r="P23" s="66"/>
      <c r="Q23" s="345"/>
      <c r="R23" s="58"/>
      <c r="S23" s="66"/>
    </row>
  </sheetData>
  <sheetProtection/>
  <mergeCells count="78">
    <mergeCell ref="A22:B22"/>
    <mergeCell ref="A23:B23"/>
    <mergeCell ref="M16:M18"/>
    <mergeCell ref="R10:R11"/>
    <mergeCell ref="B8:B11"/>
    <mergeCell ref="F16:F18"/>
    <mergeCell ref="N16:N18"/>
    <mergeCell ref="O16:O18"/>
    <mergeCell ref="A21:B21"/>
    <mergeCell ref="A19:B19"/>
    <mergeCell ref="A20:B20"/>
    <mergeCell ref="Q12:Q15"/>
    <mergeCell ref="B16:B18"/>
    <mergeCell ref="C16:C18"/>
    <mergeCell ref="P12:P15"/>
    <mergeCell ref="N12:N15"/>
    <mergeCell ref="O12:O15"/>
    <mergeCell ref="P16:P18"/>
    <mergeCell ref="Q16:Q18"/>
    <mergeCell ref="I16:I18"/>
    <mergeCell ref="G16:G18"/>
    <mergeCell ref="A8:A11"/>
    <mergeCell ref="D16:D18"/>
    <mergeCell ref="G10:G11"/>
    <mergeCell ref="G12:G15"/>
    <mergeCell ref="L14:L15"/>
    <mergeCell ref="E16:E18"/>
    <mergeCell ref="A16:A18"/>
    <mergeCell ref="O6:O7"/>
    <mergeCell ref="C8:C11"/>
    <mergeCell ref="S16:S18"/>
    <mergeCell ref="S12:S15"/>
    <mergeCell ref="R16:R18"/>
    <mergeCell ref="R12:R15"/>
    <mergeCell ref="Q10:Q11"/>
    <mergeCell ref="I12:I15"/>
    <mergeCell ref="J12:J15"/>
    <mergeCell ref="K12:K15"/>
    <mergeCell ref="A2:S2"/>
    <mergeCell ref="A3:S3"/>
    <mergeCell ref="D8:D11"/>
    <mergeCell ref="E8:E11"/>
    <mergeCell ref="F8:F11"/>
    <mergeCell ref="I10:I11"/>
    <mergeCell ref="J10:J11"/>
    <mergeCell ref="K10:K11"/>
    <mergeCell ref="S10:S11"/>
    <mergeCell ref="A6:A7"/>
    <mergeCell ref="B6:B7"/>
    <mergeCell ref="R6:R7"/>
    <mergeCell ref="C6:C7"/>
    <mergeCell ref="P6:P7"/>
    <mergeCell ref="Q6:Q7"/>
    <mergeCell ref="N10:N11"/>
    <mergeCell ref="O10:O11"/>
    <mergeCell ref="P10:P11"/>
    <mergeCell ref="D6:D7"/>
    <mergeCell ref="E6:E7"/>
    <mergeCell ref="P4:S4"/>
    <mergeCell ref="F6:F7"/>
    <mergeCell ref="J6:J7"/>
    <mergeCell ref="K6:K7"/>
    <mergeCell ref="N6:N7"/>
    <mergeCell ref="H6:H7"/>
    <mergeCell ref="I6:I7"/>
    <mergeCell ref="L6:L7"/>
    <mergeCell ref="M6:M7"/>
    <mergeCell ref="G6:G7"/>
    <mergeCell ref="M8:M11"/>
    <mergeCell ref="S5:S7"/>
    <mergeCell ref="J16:J18"/>
    <mergeCell ref="K16:K18"/>
    <mergeCell ref="A4:G4"/>
    <mergeCell ref="A5:F5"/>
    <mergeCell ref="G5:M5"/>
    <mergeCell ref="N5:R5"/>
    <mergeCell ref="H4:L4"/>
    <mergeCell ref="M4:O4"/>
  </mergeCells>
  <printOptions/>
  <pageMargins left="1.299212598425197" right="0.11811023622047245" top="0.7480314960629921" bottom="0.7480314960629921" header="0.31496062992125984" footer="0.31496062992125984"/>
  <pageSetup horizontalDpi="600" verticalDpi="600" orientation="landscape" paperSize="5" scale="65"/>
  <headerFooter>
    <oddFooter>&amp;CPágina &amp;P</oddFooter>
  </headerFooter>
  <legacyDrawing r:id="rId2"/>
</worksheet>
</file>

<file path=xl/worksheets/sheet12.xml><?xml version="1.0" encoding="utf-8"?>
<worksheet xmlns="http://schemas.openxmlformats.org/spreadsheetml/2006/main" xmlns:r="http://schemas.openxmlformats.org/officeDocument/2006/relationships">
  <dimension ref="A2:S23"/>
  <sheetViews>
    <sheetView zoomScale="60" zoomScaleNormal="60" zoomScalePageLayoutView="0" workbookViewId="0" topLeftCell="A11">
      <selection activeCell="F8" sqref="F8:F18"/>
    </sheetView>
  </sheetViews>
  <sheetFormatPr defaultColWidth="11.421875" defaultRowHeight="15"/>
  <cols>
    <col min="1" max="1" width="31.7109375" style="46" customWidth="1"/>
    <col min="2" max="2" width="37.7109375" style="46" customWidth="1"/>
    <col min="3" max="3" width="29.7109375" style="46" customWidth="1"/>
    <col min="4" max="4" width="20.57421875" style="46" customWidth="1"/>
    <col min="5" max="5" width="16.00390625" style="46" customWidth="1"/>
    <col min="6" max="6" width="16.8515625" style="46" customWidth="1"/>
    <col min="7" max="7" width="29.8515625" style="46" customWidth="1"/>
    <col min="8" max="8" width="35.8515625" style="46" customWidth="1"/>
    <col min="9" max="9" width="23.28125" style="46" customWidth="1"/>
    <col min="10" max="10" width="21.28125" style="46" customWidth="1"/>
    <col min="11" max="11" width="18.28125" style="313" customWidth="1"/>
    <col min="12" max="12" width="34.421875" style="46" customWidth="1"/>
    <col min="13" max="13" width="32.421875" style="46" customWidth="1"/>
    <col min="14" max="14" width="18.7109375" style="46" customWidth="1"/>
    <col min="15" max="15" width="21.421875" style="46" customWidth="1"/>
    <col min="16" max="16" width="21.28125" style="46" customWidth="1"/>
    <col min="17" max="17" width="18.140625" style="313" customWidth="1"/>
    <col min="18" max="18" width="21.140625" style="62" customWidth="1"/>
    <col min="19" max="19" width="26.421875" style="46" customWidth="1"/>
    <col min="20" max="16384" width="11.421875" style="46" customWidth="1"/>
  </cols>
  <sheetData>
    <row r="1" ht="26.25" customHeight="1" thickBot="1"/>
    <row r="2" spans="1:19" s="253" customFormat="1" ht="24" customHeight="1" thickBot="1">
      <c r="A2" s="505" t="s">
        <v>8</v>
      </c>
      <c r="B2" s="506"/>
      <c r="C2" s="506"/>
      <c r="D2" s="506"/>
      <c r="E2" s="506"/>
      <c r="F2" s="506"/>
      <c r="G2" s="506"/>
      <c r="H2" s="506"/>
      <c r="I2" s="506"/>
      <c r="J2" s="506"/>
      <c r="K2" s="506"/>
      <c r="L2" s="506"/>
      <c r="M2" s="506"/>
      <c r="N2" s="506"/>
      <c r="O2" s="506"/>
      <c r="P2" s="506"/>
      <c r="Q2" s="506"/>
      <c r="R2" s="506"/>
      <c r="S2" s="507"/>
    </row>
    <row r="3" spans="1:19" s="253" customFormat="1" ht="29.25" customHeight="1" thickBot="1">
      <c r="A3" s="508" t="s">
        <v>1683</v>
      </c>
      <c r="B3" s="509"/>
      <c r="C3" s="509"/>
      <c r="D3" s="509"/>
      <c r="E3" s="509"/>
      <c r="F3" s="509"/>
      <c r="G3" s="509"/>
      <c r="H3" s="509"/>
      <c r="I3" s="509"/>
      <c r="J3" s="509"/>
      <c r="K3" s="509"/>
      <c r="L3" s="509"/>
      <c r="M3" s="509"/>
      <c r="N3" s="509"/>
      <c r="O3" s="509"/>
      <c r="P3" s="509"/>
      <c r="Q3" s="509"/>
      <c r="R3" s="509"/>
      <c r="S3" s="510"/>
    </row>
    <row r="4" spans="1:19" s="72" customFormat="1" ht="27.75" customHeight="1">
      <c r="A4" s="667" t="s">
        <v>576</v>
      </c>
      <c r="B4" s="667"/>
      <c r="C4" s="667"/>
      <c r="D4" s="667"/>
      <c r="E4" s="667"/>
      <c r="F4" s="667"/>
      <c r="G4" s="667"/>
      <c r="H4" s="684" t="s">
        <v>1721</v>
      </c>
      <c r="I4" s="684"/>
      <c r="J4" s="684"/>
      <c r="K4" s="684"/>
      <c r="L4" s="684"/>
      <c r="M4" s="666" t="s">
        <v>1183</v>
      </c>
      <c r="N4" s="667"/>
      <c r="O4" s="668"/>
      <c r="P4" s="666" t="s">
        <v>1301</v>
      </c>
      <c r="Q4" s="667"/>
      <c r="R4" s="667"/>
      <c r="S4" s="668"/>
    </row>
    <row r="5" spans="1:19" s="42" customFormat="1" ht="24" customHeight="1">
      <c r="A5" s="697" t="s">
        <v>0</v>
      </c>
      <c r="B5" s="697"/>
      <c r="C5" s="697"/>
      <c r="D5" s="339"/>
      <c r="E5" s="339"/>
      <c r="F5" s="339"/>
      <c r="G5" s="697" t="s">
        <v>1</v>
      </c>
      <c r="H5" s="697"/>
      <c r="I5" s="697"/>
      <c r="J5" s="697"/>
      <c r="K5" s="697"/>
      <c r="L5" s="697"/>
      <c r="M5" s="697" t="s">
        <v>1187</v>
      </c>
      <c r="N5" s="697"/>
      <c r="O5" s="697"/>
      <c r="P5" s="697"/>
      <c r="Q5" s="697"/>
      <c r="R5" s="697"/>
      <c r="S5" s="669" t="s">
        <v>1685</v>
      </c>
    </row>
    <row r="6" spans="1:19" s="42" customFormat="1" ht="15" customHeight="1">
      <c r="A6" s="697" t="s">
        <v>2</v>
      </c>
      <c r="B6" s="697" t="s">
        <v>4</v>
      </c>
      <c r="C6" s="697" t="s">
        <v>3</v>
      </c>
      <c r="D6" s="669" t="s">
        <v>1116</v>
      </c>
      <c r="E6" s="669" t="s">
        <v>1117</v>
      </c>
      <c r="F6" s="669" t="s">
        <v>1118</v>
      </c>
      <c r="G6" s="697" t="s">
        <v>1186</v>
      </c>
      <c r="H6" s="669" t="s">
        <v>9</v>
      </c>
      <c r="I6" s="693" t="s">
        <v>1180</v>
      </c>
      <c r="J6" s="693" t="s">
        <v>1181</v>
      </c>
      <c r="K6" s="695" t="s">
        <v>1103</v>
      </c>
      <c r="L6" s="682" t="s">
        <v>1637</v>
      </c>
      <c r="M6" s="697" t="s">
        <v>1816</v>
      </c>
      <c r="N6" s="669" t="s">
        <v>1115</v>
      </c>
      <c r="O6" s="669" t="s">
        <v>1119</v>
      </c>
      <c r="P6" s="669" t="s">
        <v>1120</v>
      </c>
      <c r="Q6" s="671" t="s">
        <v>1185</v>
      </c>
      <c r="R6" s="697" t="s">
        <v>924</v>
      </c>
      <c r="S6" s="761"/>
    </row>
    <row r="7" spans="1:19" s="42" customFormat="1" ht="35.25" customHeight="1">
      <c r="A7" s="697"/>
      <c r="B7" s="697"/>
      <c r="C7" s="697"/>
      <c r="D7" s="670"/>
      <c r="E7" s="670"/>
      <c r="F7" s="670"/>
      <c r="G7" s="697"/>
      <c r="H7" s="670"/>
      <c r="I7" s="694"/>
      <c r="J7" s="694"/>
      <c r="K7" s="696"/>
      <c r="L7" s="683"/>
      <c r="M7" s="697"/>
      <c r="N7" s="670"/>
      <c r="O7" s="670"/>
      <c r="P7" s="670"/>
      <c r="Q7" s="672"/>
      <c r="R7" s="697"/>
      <c r="S7" s="670"/>
    </row>
    <row r="8" spans="1:19" ht="135.75" customHeight="1">
      <c r="A8" s="164" t="s">
        <v>1303</v>
      </c>
      <c r="B8" s="8" t="s">
        <v>1033</v>
      </c>
      <c r="C8" s="8" t="s">
        <v>1023</v>
      </c>
      <c r="D8" s="41">
        <v>300</v>
      </c>
      <c r="E8" s="165">
        <v>50</v>
      </c>
      <c r="F8" s="166">
        <f>E8/D8</f>
        <v>0.16666666666666666</v>
      </c>
      <c r="G8" s="986" t="s">
        <v>1302</v>
      </c>
      <c r="H8" s="138" t="s">
        <v>1307</v>
      </c>
      <c r="I8" s="974">
        <v>5898670</v>
      </c>
      <c r="J8" s="974">
        <v>5443463</v>
      </c>
      <c r="K8" s="533">
        <f>J8/I8</f>
        <v>0.9228288749836827</v>
      </c>
      <c r="L8" s="983" t="s">
        <v>1024</v>
      </c>
      <c r="M8" s="385" t="s">
        <v>2166</v>
      </c>
      <c r="N8" s="982">
        <v>36</v>
      </c>
      <c r="O8" s="974">
        <f>5857478146.79/1000</f>
        <v>5857478.14679</v>
      </c>
      <c r="P8" s="977">
        <f>J8</f>
        <v>5443463</v>
      </c>
      <c r="Q8" s="990">
        <f>P8/O8</f>
        <v>0.9293185332638608</v>
      </c>
      <c r="R8" s="500" t="s">
        <v>1319</v>
      </c>
      <c r="S8" s="983" t="s">
        <v>577</v>
      </c>
    </row>
    <row r="9" spans="1:19" ht="78" customHeight="1">
      <c r="A9" s="997" t="s">
        <v>1304</v>
      </c>
      <c r="B9" s="843" t="s">
        <v>1025</v>
      </c>
      <c r="C9" s="843" t="s">
        <v>1026</v>
      </c>
      <c r="D9" s="1001">
        <v>200</v>
      </c>
      <c r="E9" s="945">
        <v>1021</v>
      </c>
      <c r="F9" s="993">
        <v>1</v>
      </c>
      <c r="G9" s="986"/>
      <c r="H9" s="340" t="s">
        <v>1810</v>
      </c>
      <c r="I9" s="975"/>
      <c r="J9" s="975"/>
      <c r="K9" s="535"/>
      <c r="L9" s="983"/>
      <c r="M9" s="843" t="s">
        <v>2167</v>
      </c>
      <c r="N9" s="979"/>
      <c r="O9" s="975"/>
      <c r="P9" s="978"/>
      <c r="Q9" s="991"/>
      <c r="R9" s="501"/>
      <c r="S9" s="983"/>
    </row>
    <row r="10" spans="1:19" ht="108" customHeight="1">
      <c r="A10" s="998"/>
      <c r="B10" s="845"/>
      <c r="C10" s="845"/>
      <c r="D10" s="1003"/>
      <c r="E10" s="1003"/>
      <c r="F10" s="995"/>
      <c r="G10" s="986"/>
      <c r="H10" s="138" t="s">
        <v>1811</v>
      </c>
      <c r="I10" s="975"/>
      <c r="J10" s="975"/>
      <c r="K10" s="535"/>
      <c r="L10" s="983"/>
      <c r="M10" s="845"/>
      <c r="N10" s="979"/>
      <c r="O10" s="975"/>
      <c r="P10" s="979"/>
      <c r="Q10" s="991"/>
      <c r="R10" s="500" t="s">
        <v>1318</v>
      </c>
      <c r="S10" s="983"/>
    </row>
    <row r="11" spans="1:19" ht="44.25" customHeight="1">
      <c r="A11" s="709" t="s">
        <v>1305</v>
      </c>
      <c r="B11" s="843" t="s">
        <v>2169</v>
      </c>
      <c r="C11" s="843" t="s">
        <v>2170</v>
      </c>
      <c r="D11" s="1001">
        <v>3</v>
      </c>
      <c r="E11" s="1001">
        <v>12</v>
      </c>
      <c r="F11" s="993">
        <v>1</v>
      </c>
      <c r="G11" s="986"/>
      <c r="H11" s="340" t="s">
        <v>1812</v>
      </c>
      <c r="I11" s="975"/>
      <c r="J11" s="975"/>
      <c r="K11" s="535"/>
      <c r="L11" s="983"/>
      <c r="M11" s="843" t="s">
        <v>2168</v>
      </c>
      <c r="N11" s="979"/>
      <c r="O11" s="975"/>
      <c r="P11" s="979"/>
      <c r="Q11" s="991"/>
      <c r="R11" s="518"/>
      <c r="S11" s="983"/>
    </row>
    <row r="12" spans="1:19" ht="48" customHeight="1">
      <c r="A12" s="711"/>
      <c r="B12" s="845"/>
      <c r="C12" s="845"/>
      <c r="D12" s="1003"/>
      <c r="E12" s="1003"/>
      <c r="F12" s="995"/>
      <c r="G12" s="986"/>
      <c r="H12" s="138" t="s">
        <v>1309</v>
      </c>
      <c r="I12" s="975"/>
      <c r="J12" s="975"/>
      <c r="K12" s="535"/>
      <c r="L12" s="983"/>
      <c r="M12" s="845"/>
      <c r="N12" s="979"/>
      <c r="O12" s="975"/>
      <c r="P12" s="979"/>
      <c r="Q12" s="991"/>
      <c r="R12" s="501"/>
      <c r="S12" s="983"/>
    </row>
    <row r="13" spans="1:19" ht="66" customHeight="1">
      <c r="A13" s="61" t="s">
        <v>1306</v>
      </c>
      <c r="B13" s="156" t="s">
        <v>1027</v>
      </c>
      <c r="C13" s="156" t="s">
        <v>1028</v>
      </c>
      <c r="D13" s="143"/>
      <c r="E13" s="143"/>
      <c r="F13" s="166"/>
      <c r="G13" s="986"/>
      <c r="H13" s="138" t="s">
        <v>1308</v>
      </c>
      <c r="I13" s="976"/>
      <c r="J13" s="976"/>
      <c r="K13" s="534"/>
      <c r="L13" s="983"/>
      <c r="M13" s="8" t="s">
        <v>2171</v>
      </c>
      <c r="N13" s="980"/>
      <c r="O13" s="976"/>
      <c r="P13" s="980"/>
      <c r="Q13" s="992"/>
      <c r="R13" s="44" t="s">
        <v>578</v>
      </c>
      <c r="S13" s="983"/>
    </row>
    <row r="14" spans="1:19" ht="48" customHeight="1">
      <c r="A14" s="982" t="s">
        <v>1311</v>
      </c>
      <c r="B14" s="843" t="s">
        <v>1312</v>
      </c>
      <c r="C14" s="983" t="s">
        <v>1029</v>
      </c>
      <c r="D14" s="1001">
        <v>16</v>
      </c>
      <c r="E14" s="955">
        <v>16</v>
      </c>
      <c r="F14" s="993">
        <f>E14/D14</f>
        <v>1</v>
      </c>
      <c r="G14" s="986" t="s">
        <v>1310</v>
      </c>
      <c r="H14" s="138" t="s">
        <v>1313</v>
      </c>
      <c r="I14" s="972">
        <f>1031282714.19/1000</f>
        <v>1031282.7141900001</v>
      </c>
      <c r="J14" s="972">
        <f>731712228.67/1000</f>
        <v>731712.22867</v>
      </c>
      <c r="K14" s="984">
        <f>J14/I14</f>
        <v>0.709516622941468</v>
      </c>
      <c r="L14" s="983" t="s">
        <v>1030</v>
      </c>
      <c r="M14" s="986" t="s">
        <v>2172</v>
      </c>
      <c r="N14" s="982">
        <v>6</v>
      </c>
      <c r="O14" s="981">
        <f>731712228.67/1000</f>
        <v>731712.22867</v>
      </c>
      <c r="P14" s="981">
        <f>J14</f>
        <v>731712.22867</v>
      </c>
      <c r="Q14" s="990">
        <f>P14/O14</f>
        <v>1</v>
      </c>
      <c r="R14" s="500" t="s">
        <v>1318</v>
      </c>
      <c r="S14" s="983" t="s">
        <v>577</v>
      </c>
    </row>
    <row r="15" spans="1:19" ht="56.25" customHeight="1">
      <c r="A15" s="979"/>
      <c r="B15" s="600"/>
      <c r="C15" s="983"/>
      <c r="D15" s="1002"/>
      <c r="E15" s="767"/>
      <c r="F15" s="994"/>
      <c r="G15" s="986"/>
      <c r="H15" s="138" t="s">
        <v>1314</v>
      </c>
      <c r="I15" s="996"/>
      <c r="J15" s="996"/>
      <c r="K15" s="1000"/>
      <c r="L15" s="983"/>
      <c r="M15" s="986"/>
      <c r="N15" s="979"/>
      <c r="O15" s="979"/>
      <c r="P15" s="979"/>
      <c r="Q15" s="991"/>
      <c r="R15" s="518"/>
      <c r="S15" s="983"/>
    </row>
    <row r="16" spans="1:19" ht="45.75" customHeight="1">
      <c r="A16" s="980"/>
      <c r="B16" s="601"/>
      <c r="C16" s="983"/>
      <c r="D16" s="1003"/>
      <c r="E16" s="768"/>
      <c r="F16" s="995"/>
      <c r="G16" s="983"/>
      <c r="H16" s="138" t="s">
        <v>1309</v>
      </c>
      <c r="I16" s="973"/>
      <c r="J16" s="973"/>
      <c r="K16" s="985"/>
      <c r="L16" s="983"/>
      <c r="M16" s="983"/>
      <c r="N16" s="980"/>
      <c r="O16" s="980"/>
      <c r="P16" s="980"/>
      <c r="Q16" s="992"/>
      <c r="R16" s="501"/>
      <c r="S16" s="983"/>
    </row>
    <row r="17" spans="1:19" ht="102" customHeight="1">
      <c r="A17" s="982" t="s">
        <v>1315</v>
      </c>
      <c r="B17" s="843" t="s">
        <v>1316</v>
      </c>
      <c r="C17" s="983" t="s">
        <v>1031</v>
      </c>
      <c r="D17" s="1001">
        <v>13</v>
      </c>
      <c r="E17" s="955">
        <v>14</v>
      </c>
      <c r="F17" s="993">
        <v>1</v>
      </c>
      <c r="G17" s="983" t="s">
        <v>1682</v>
      </c>
      <c r="H17" s="138" t="s">
        <v>1313</v>
      </c>
      <c r="I17" s="972">
        <f>334363553.07/1000</f>
        <v>334363.55306999997</v>
      </c>
      <c r="J17" s="972">
        <f>334363553/1000</f>
        <v>334363.553</v>
      </c>
      <c r="K17" s="984">
        <f>J17/I17</f>
        <v>0.9999999997906471</v>
      </c>
      <c r="L17" s="983" t="s">
        <v>1032</v>
      </c>
      <c r="M17" s="983" t="s">
        <v>2173</v>
      </c>
      <c r="N17" s="982">
        <v>1</v>
      </c>
      <c r="O17" s="981">
        <f>'[2]F3 INV. MPIOS X PTO. ENTREGADO'!$F$45/1000</f>
        <v>334363.55306999997</v>
      </c>
      <c r="P17" s="981">
        <f>J17</f>
        <v>334363.553</v>
      </c>
      <c r="Q17" s="990">
        <f>P17/O17</f>
        <v>0.9999999997906471</v>
      </c>
      <c r="R17" s="988" t="s">
        <v>1318</v>
      </c>
      <c r="S17" s="983" t="s">
        <v>577</v>
      </c>
    </row>
    <row r="18" spans="1:19" ht="129" customHeight="1">
      <c r="A18" s="999"/>
      <c r="B18" s="999"/>
      <c r="C18" s="983"/>
      <c r="D18" s="1003"/>
      <c r="E18" s="768"/>
      <c r="F18" s="995"/>
      <c r="G18" s="983"/>
      <c r="H18" s="138" t="s">
        <v>1317</v>
      </c>
      <c r="I18" s="973"/>
      <c r="J18" s="973"/>
      <c r="K18" s="985"/>
      <c r="L18" s="983"/>
      <c r="M18" s="983"/>
      <c r="N18" s="980"/>
      <c r="O18" s="987"/>
      <c r="P18" s="980"/>
      <c r="Q18" s="992"/>
      <c r="R18" s="989"/>
      <c r="S18" s="983"/>
    </row>
    <row r="19" spans="1:19" s="45" customFormat="1" ht="19.5" customHeight="1">
      <c r="A19" s="519" t="s">
        <v>1093</v>
      </c>
      <c r="B19" s="520"/>
      <c r="C19" s="268"/>
      <c r="D19" s="131"/>
      <c r="E19" s="131"/>
      <c r="F19" s="312">
        <v>0.83</v>
      </c>
      <c r="G19" s="107">
        <v>3</v>
      </c>
      <c r="H19" s="28"/>
      <c r="I19" s="106">
        <f>SUM(I8:I18)</f>
        <v>7264316.26726</v>
      </c>
      <c r="J19" s="106">
        <f>SUM(J8:J18)</f>
        <v>6509538.78167</v>
      </c>
      <c r="K19" s="311">
        <v>0.9</v>
      </c>
      <c r="L19" s="28"/>
      <c r="M19" s="23"/>
      <c r="N19" s="106">
        <f>SUM(N8:N18)</f>
        <v>43</v>
      </c>
      <c r="O19" s="106">
        <f>SUM(O8:O18)</f>
        <v>6923553.92853</v>
      </c>
      <c r="P19" s="106">
        <f>SUM(P8:P18)</f>
        <v>6509538.78167</v>
      </c>
      <c r="Q19" s="297">
        <f>P19/O19</f>
        <v>0.9402019322541909</v>
      </c>
      <c r="R19" s="167"/>
      <c r="S19" s="28"/>
    </row>
    <row r="20" spans="1:19" s="45" customFormat="1" ht="21" customHeight="1">
      <c r="A20" s="519" t="s">
        <v>6</v>
      </c>
      <c r="B20" s="520"/>
      <c r="C20" s="269"/>
      <c r="D20" s="132"/>
      <c r="E20" s="132"/>
      <c r="F20" s="132"/>
      <c r="G20" s="55"/>
      <c r="H20" s="55"/>
      <c r="I20" s="90"/>
      <c r="J20" s="90"/>
      <c r="K20" s="314"/>
      <c r="L20" s="55"/>
      <c r="M20" s="55"/>
      <c r="N20" s="55"/>
      <c r="O20" s="55"/>
      <c r="P20" s="55"/>
      <c r="Q20" s="320"/>
      <c r="R20" s="167"/>
      <c r="S20" s="55"/>
    </row>
    <row r="21" spans="1:19" s="45" customFormat="1" ht="22.5" customHeight="1">
      <c r="A21" s="549" t="s">
        <v>1713</v>
      </c>
      <c r="B21" s="550"/>
      <c r="C21" s="270"/>
      <c r="D21" s="255"/>
      <c r="E21" s="255"/>
      <c r="F21" s="255"/>
      <c r="G21" s="55"/>
      <c r="H21" s="55"/>
      <c r="I21" s="90"/>
      <c r="J21" s="90"/>
      <c r="K21" s="314"/>
      <c r="L21" s="55"/>
      <c r="M21" s="55"/>
      <c r="N21" s="55"/>
      <c r="O21" s="55"/>
      <c r="P21" s="55"/>
      <c r="Q21" s="320"/>
      <c r="R21" s="167"/>
      <c r="S21" s="55"/>
    </row>
    <row r="22" spans="1:19" ht="21" customHeight="1">
      <c r="A22" s="549"/>
      <c r="B22" s="550"/>
      <c r="C22" s="16"/>
      <c r="D22" s="16"/>
      <c r="E22" s="16"/>
      <c r="F22" s="16"/>
      <c r="G22" s="66"/>
      <c r="H22" s="66"/>
      <c r="I22" s="66"/>
      <c r="J22" s="66"/>
      <c r="K22" s="345"/>
      <c r="L22" s="66"/>
      <c r="M22" s="66"/>
      <c r="N22" s="66"/>
      <c r="O22" s="66"/>
      <c r="P22" s="66"/>
      <c r="Q22" s="345"/>
      <c r="R22" s="58"/>
      <c r="S22" s="66"/>
    </row>
    <row r="23" spans="1:19" ht="21" customHeight="1">
      <c r="A23" s="549" t="s">
        <v>7</v>
      </c>
      <c r="B23" s="550"/>
      <c r="C23" s="278" t="s">
        <v>1320</v>
      </c>
      <c r="D23" s="129"/>
      <c r="E23" s="129"/>
      <c r="F23" s="129"/>
      <c r="G23" s="101"/>
      <c r="H23" s="101"/>
      <c r="I23" s="101"/>
      <c r="J23" s="101"/>
      <c r="K23" s="346"/>
      <c r="L23" s="66"/>
      <c r="M23" s="66"/>
      <c r="N23" s="66"/>
      <c r="O23" s="66"/>
      <c r="P23" s="66"/>
      <c r="Q23" s="345"/>
      <c r="R23" s="58"/>
      <c r="S23" s="66"/>
    </row>
  </sheetData>
  <sheetProtection/>
  <mergeCells count="95">
    <mergeCell ref="D9:D10"/>
    <mergeCell ref="E9:E10"/>
    <mergeCell ref="F9:F10"/>
    <mergeCell ref="A11:A12"/>
    <mergeCell ref="B11:B12"/>
    <mergeCell ref="C11:C12"/>
    <mergeCell ref="D11:D12"/>
    <mergeCell ref="E11:E12"/>
    <mergeCell ref="F11:F12"/>
    <mergeCell ref="A22:B22"/>
    <mergeCell ref="A23:B23"/>
    <mergeCell ref="E6:E7"/>
    <mergeCell ref="A14:A16"/>
    <mergeCell ref="B14:B16"/>
    <mergeCell ref="C14:C16"/>
    <mergeCell ref="D14:D16"/>
    <mergeCell ref="B17:B18"/>
    <mergeCell ref="C17:C18"/>
    <mergeCell ref="D17:D18"/>
    <mergeCell ref="A21:B21"/>
    <mergeCell ref="A19:B19"/>
    <mergeCell ref="A20:B20"/>
    <mergeCell ref="L8:L13"/>
    <mergeCell ref="F17:F18"/>
    <mergeCell ref="A17:A18"/>
    <mergeCell ref="G14:G16"/>
    <mergeCell ref="J14:J16"/>
    <mergeCell ref="K14:K16"/>
    <mergeCell ref="G17:G18"/>
    <mergeCell ref="A2:S2"/>
    <mergeCell ref="A3:S3"/>
    <mergeCell ref="M4:O4"/>
    <mergeCell ref="A5:C5"/>
    <mergeCell ref="G5:L5"/>
    <mergeCell ref="A4:G4"/>
    <mergeCell ref="H4:L4"/>
    <mergeCell ref="P4:S4"/>
    <mergeCell ref="M5:R5"/>
    <mergeCell ref="S5:S7"/>
    <mergeCell ref="I14:I16"/>
    <mergeCell ref="A6:A7"/>
    <mergeCell ref="B6:B7"/>
    <mergeCell ref="C6:C7"/>
    <mergeCell ref="G6:G7"/>
    <mergeCell ref="D6:D7"/>
    <mergeCell ref="F6:F7"/>
    <mergeCell ref="A9:A10"/>
    <mergeCell ref="B9:B10"/>
    <mergeCell ref="C9:C10"/>
    <mergeCell ref="I17:I18"/>
    <mergeCell ref="L6:L7"/>
    <mergeCell ref="K6:K7"/>
    <mergeCell ref="P6:P7"/>
    <mergeCell ref="Q6:Q7"/>
    <mergeCell ref="E14:E16"/>
    <mergeCell ref="F14:F16"/>
    <mergeCell ref="E17:E18"/>
    <mergeCell ref="L14:L16"/>
    <mergeCell ref="G8:G13"/>
    <mergeCell ref="R6:R7"/>
    <mergeCell ref="Q8:Q13"/>
    <mergeCell ref="O8:O13"/>
    <mergeCell ref="H6:H7"/>
    <mergeCell ref="I6:I7"/>
    <mergeCell ref="J6:J7"/>
    <mergeCell ref="N8:N13"/>
    <mergeCell ref="I8:I13"/>
    <mergeCell ref="M9:M10"/>
    <mergeCell ref="M11:M12"/>
    <mergeCell ref="S8:S13"/>
    <mergeCell ref="R10:R12"/>
    <mergeCell ref="R17:R18"/>
    <mergeCell ref="R8:R9"/>
    <mergeCell ref="R14:R16"/>
    <mergeCell ref="P14:P16"/>
    <mergeCell ref="Q14:Q16"/>
    <mergeCell ref="S14:S16"/>
    <mergeCell ref="S17:S18"/>
    <mergeCell ref="Q17:Q18"/>
    <mergeCell ref="O6:O7"/>
    <mergeCell ref="K17:K18"/>
    <mergeCell ref="N14:N16"/>
    <mergeCell ref="M6:M7"/>
    <mergeCell ref="N6:N7"/>
    <mergeCell ref="M14:M16"/>
    <mergeCell ref="M17:M18"/>
    <mergeCell ref="O17:O18"/>
    <mergeCell ref="J17:J18"/>
    <mergeCell ref="J8:J13"/>
    <mergeCell ref="P8:P13"/>
    <mergeCell ref="O14:O16"/>
    <mergeCell ref="N17:N18"/>
    <mergeCell ref="L17:L18"/>
    <mergeCell ref="K8:K13"/>
    <mergeCell ref="P17:P18"/>
  </mergeCells>
  <printOptions/>
  <pageMargins left="1.299212598425197" right="0.31496062992125984" top="0.7480314960629921" bottom="0.7480314960629921" header="0.31496062992125984" footer="0.31496062992125984"/>
  <pageSetup horizontalDpi="600" verticalDpi="600" orientation="landscape" paperSize="5" scale="60" r:id="rId3"/>
  <headerFooter>
    <oddFooter>&amp;CPágina &amp;P</oddFooter>
  </headerFooter>
  <legacyDrawing r:id="rId2"/>
</worksheet>
</file>

<file path=xl/worksheets/sheet13.xml><?xml version="1.0" encoding="utf-8"?>
<worksheet xmlns="http://schemas.openxmlformats.org/spreadsheetml/2006/main" xmlns:r="http://schemas.openxmlformats.org/officeDocument/2006/relationships">
  <dimension ref="A1:W97"/>
  <sheetViews>
    <sheetView zoomScale="60" zoomScaleNormal="60" zoomScalePageLayoutView="0" workbookViewId="0" topLeftCell="A60">
      <selection activeCell="H69" sqref="H69"/>
    </sheetView>
  </sheetViews>
  <sheetFormatPr defaultColWidth="11.421875" defaultRowHeight="15"/>
  <cols>
    <col min="1" max="1" width="20.28125" style="76" customWidth="1"/>
    <col min="2" max="2" width="36.421875" style="75" customWidth="1"/>
    <col min="3" max="3" width="34.7109375" style="75" customWidth="1"/>
    <col min="4" max="4" width="22.00390625" style="75" customWidth="1"/>
    <col min="5" max="5" width="18.421875" style="75" customWidth="1"/>
    <col min="6" max="6" width="15.8515625" style="75" customWidth="1"/>
    <col min="7" max="7" width="32.28125" style="75" customWidth="1"/>
    <col min="8" max="8" width="35.7109375" style="75" customWidth="1"/>
    <col min="9" max="9" width="20.28125" style="75" customWidth="1"/>
    <col min="10" max="10" width="22.421875" style="75" customWidth="1"/>
    <col min="11" max="11" width="19.28125" style="347" customWidth="1"/>
    <col min="12" max="12" width="29.8515625" style="75" customWidth="1"/>
    <col min="13" max="13" width="32.140625" style="75" customWidth="1"/>
    <col min="14" max="14" width="18.8515625" style="75" customWidth="1"/>
    <col min="15" max="15" width="22.421875" style="75" customWidth="1"/>
    <col min="16" max="16" width="23.00390625" style="75" customWidth="1"/>
    <col min="17" max="17" width="18.8515625" style="347" customWidth="1"/>
    <col min="18" max="18" width="21.8515625" style="75" customWidth="1"/>
    <col min="19" max="19" width="22.421875" style="75" customWidth="1"/>
    <col min="20" max="22" width="11.421875" style="75" customWidth="1"/>
    <col min="23" max="23" width="16.421875" style="75" bestFit="1" customWidth="1"/>
    <col min="24" max="16384" width="11.421875" style="75" customWidth="1"/>
  </cols>
  <sheetData>
    <row r="1" spans="11:18" s="46" customFormat="1" ht="26.25" customHeight="1" thickBot="1">
      <c r="K1" s="313"/>
      <c r="Q1" s="313"/>
      <c r="R1" s="62"/>
    </row>
    <row r="2" spans="1:19" s="253" customFormat="1" ht="24" customHeight="1" thickBot="1">
      <c r="A2" s="505" t="s">
        <v>8</v>
      </c>
      <c r="B2" s="506"/>
      <c r="C2" s="506"/>
      <c r="D2" s="506"/>
      <c r="E2" s="506"/>
      <c r="F2" s="506"/>
      <c r="G2" s="506"/>
      <c r="H2" s="506"/>
      <c r="I2" s="506"/>
      <c r="J2" s="506"/>
      <c r="K2" s="506"/>
      <c r="L2" s="506"/>
      <c r="M2" s="506"/>
      <c r="N2" s="506"/>
      <c r="O2" s="506"/>
      <c r="P2" s="506"/>
      <c r="Q2" s="506"/>
      <c r="R2" s="506"/>
      <c r="S2" s="507"/>
    </row>
    <row r="3" spans="1:19" s="253" customFormat="1" ht="29.25" customHeight="1" thickBot="1">
      <c r="A3" s="508" t="s">
        <v>1683</v>
      </c>
      <c r="B3" s="509"/>
      <c r="C3" s="509"/>
      <c r="D3" s="509"/>
      <c r="E3" s="509"/>
      <c r="F3" s="509"/>
      <c r="G3" s="509"/>
      <c r="H3" s="509"/>
      <c r="I3" s="509"/>
      <c r="J3" s="509"/>
      <c r="K3" s="509"/>
      <c r="L3" s="509"/>
      <c r="M3" s="509"/>
      <c r="N3" s="509"/>
      <c r="O3" s="509"/>
      <c r="P3" s="509"/>
      <c r="Q3" s="509"/>
      <c r="R3" s="509"/>
      <c r="S3" s="510"/>
    </row>
    <row r="4" spans="1:19" s="11" customFormat="1" ht="30.75" customHeight="1">
      <c r="A4" s="666" t="s">
        <v>1241</v>
      </c>
      <c r="B4" s="667"/>
      <c r="C4" s="667"/>
      <c r="D4" s="667"/>
      <c r="E4" s="667"/>
      <c r="F4" s="667"/>
      <c r="G4" s="668"/>
      <c r="H4" s="684" t="s">
        <v>1721</v>
      </c>
      <c r="I4" s="684"/>
      <c r="J4" s="684"/>
      <c r="K4" s="684"/>
      <c r="L4" s="684"/>
      <c r="M4" s="666" t="s">
        <v>1183</v>
      </c>
      <c r="N4" s="667"/>
      <c r="O4" s="668"/>
      <c r="P4" s="666" t="s">
        <v>1300</v>
      </c>
      <c r="Q4" s="667"/>
      <c r="R4" s="667"/>
      <c r="S4" s="668"/>
    </row>
    <row r="5" spans="1:19" s="42" customFormat="1" ht="22.5" customHeight="1">
      <c r="A5" s="698" t="s">
        <v>0</v>
      </c>
      <c r="B5" s="699"/>
      <c r="C5" s="699"/>
      <c r="D5" s="699"/>
      <c r="E5" s="699"/>
      <c r="F5" s="700"/>
      <c r="G5" s="698" t="s">
        <v>1</v>
      </c>
      <c r="H5" s="699"/>
      <c r="I5" s="699"/>
      <c r="J5" s="699"/>
      <c r="K5" s="699"/>
      <c r="L5" s="699"/>
      <c r="M5" s="700"/>
      <c r="N5" s="697" t="s">
        <v>1187</v>
      </c>
      <c r="O5" s="697"/>
      <c r="P5" s="697"/>
      <c r="Q5" s="697"/>
      <c r="R5" s="697"/>
      <c r="S5" s="669" t="s">
        <v>1685</v>
      </c>
    </row>
    <row r="6" spans="1:19" s="42" customFormat="1" ht="15" customHeight="1">
      <c r="A6" s="697" t="s">
        <v>2</v>
      </c>
      <c r="B6" s="697" t="s">
        <v>4</v>
      </c>
      <c r="C6" s="697" t="s">
        <v>3</v>
      </c>
      <c r="D6" s="669" t="s">
        <v>1116</v>
      </c>
      <c r="E6" s="669" t="s">
        <v>1117</v>
      </c>
      <c r="F6" s="669" t="s">
        <v>1118</v>
      </c>
      <c r="G6" s="697" t="s">
        <v>1186</v>
      </c>
      <c r="H6" s="669" t="s">
        <v>9</v>
      </c>
      <c r="I6" s="693" t="s">
        <v>1180</v>
      </c>
      <c r="J6" s="693" t="s">
        <v>1181</v>
      </c>
      <c r="K6" s="695" t="s">
        <v>1103</v>
      </c>
      <c r="L6" s="682" t="s">
        <v>1637</v>
      </c>
      <c r="M6" s="669" t="s">
        <v>1914</v>
      </c>
      <c r="N6" s="669" t="s">
        <v>1115</v>
      </c>
      <c r="O6" s="669" t="s">
        <v>1119</v>
      </c>
      <c r="P6" s="669" t="s">
        <v>1120</v>
      </c>
      <c r="Q6" s="671" t="s">
        <v>1185</v>
      </c>
      <c r="R6" s="669" t="s">
        <v>926</v>
      </c>
      <c r="S6" s="761"/>
    </row>
    <row r="7" spans="1:19" s="42" customFormat="1" ht="33" customHeight="1">
      <c r="A7" s="697"/>
      <c r="B7" s="697"/>
      <c r="C7" s="697"/>
      <c r="D7" s="670"/>
      <c r="E7" s="670"/>
      <c r="F7" s="670"/>
      <c r="G7" s="697"/>
      <c r="H7" s="670"/>
      <c r="I7" s="694"/>
      <c r="J7" s="694"/>
      <c r="K7" s="696"/>
      <c r="L7" s="683"/>
      <c r="M7" s="670"/>
      <c r="N7" s="670"/>
      <c r="O7" s="670"/>
      <c r="P7" s="670"/>
      <c r="Q7" s="672"/>
      <c r="R7" s="670"/>
      <c r="S7" s="670"/>
    </row>
    <row r="8" spans="1:19" s="36" customFormat="1" ht="72.75" customHeight="1">
      <c r="A8" s="77" t="s">
        <v>579</v>
      </c>
      <c r="B8" s="52" t="s">
        <v>580</v>
      </c>
      <c r="C8" s="52" t="s">
        <v>581</v>
      </c>
      <c r="D8" s="153">
        <v>4</v>
      </c>
      <c r="E8" s="153">
        <v>2.3499999999999996</v>
      </c>
      <c r="F8" s="154">
        <v>0.5874999999999999</v>
      </c>
      <c r="G8" s="983" t="s">
        <v>1034</v>
      </c>
      <c r="H8" s="28" t="s">
        <v>1243</v>
      </c>
      <c r="I8" s="762">
        <v>27216309</v>
      </c>
      <c r="J8" s="762">
        <v>3103743</v>
      </c>
      <c r="K8" s="702">
        <f>J8/I8</f>
        <v>0.11403982075600332</v>
      </c>
      <c r="L8" s="983" t="s">
        <v>1251</v>
      </c>
      <c r="M8" s="52" t="s">
        <v>2174</v>
      </c>
      <c r="N8" s="1042">
        <v>69</v>
      </c>
      <c r="O8" s="762">
        <v>7164583</v>
      </c>
      <c r="P8" s="1035">
        <f>J8</f>
        <v>3103743</v>
      </c>
      <c r="Q8" s="1036">
        <f>P8/O8</f>
        <v>0.4332063708383307</v>
      </c>
      <c r="R8" s="1035" t="s">
        <v>2235</v>
      </c>
      <c r="S8" s="1035" t="s">
        <v>1242</v>
      </c>
    </row>
    <row r="9" spans="1:19" s="36" customFormat="1" ht="66.75" customHeight="1">
      <c r="A9" s="61" t="s">
        <v>582</v>
      </c>
      <c r="B9" s="28" t="s">
        <v>583</v>
      </c>
      <c r="C9" s="28" t="s">
        <v>584</v>
      </c>
      <c r="D9" s="153">
        <v>44.75</v>
      </c>
      <c r="E9" s="153">
        <v>170.87</v>
      </c>
      <c r="F9" s="154">
        <v>1</v>
      </c>
      <c r="G9" s="983"/>
      <c r="H9" s="28" t="s">
        <v>1244</v>
      </c>
      <c r="I9" s="762"/>
      <c r="J9" s="762"/>
      <c r="K9" s="702"/>
      <c r="L9" s="983"/>
      <c r="M9" s="28" t="s">
        <v>2175</v>
      </c>
      <c r="N9" s="1042"/>
      <c r="O9" s="762"/>
      <c r="P9" s="1035"/>
      <c r="Q9" s="1036"/>
      <c r="R9" s="1035"/>
      <c r="S9" s="1035"/>
    </row>
    <row r="10" spans="1:19" s="36" customFormat="1" ht="59.25" customHeight="1">
      <c r="A10" s="61" t="s">
        <v>585</v>
      </c>
      <c r="B10" s="28" t="s">
        <v>586</v>
      </c>
      <c r="C10" s="28" t="s">
        <v>587</v>
      </c>
      <c r="D10" s="153">
        <v>5</v>
      </c>
      <c r="E10" s="153">
        <v>12</v>
      </c>
      <c r="F10" s="154">
        <v>1</v>
      </c>
      <c r="G10" s="983"/>
      <c r="H10" s="28" t="s">
        <v>1245</v>
      </c>
      <c r="I10" s="762"/>
      <c r="J10" s="762"/>
      <c r="K10" s="702"/>
      <c r="L10" s="983"/>
      <c r="M10" s="28" t="s">
        <v>2176</v>
      </c>
      <c r="N10" s="1042"/>
      <c r="O10" s="762"/>
      <c r="P10" s="1035"/>
      <c r="Q10" s="1036"/>
      <c r="R10" s="1035"/>
      <c r="S10" s="1035"/>
    </row>
    <row r="11" spans="1:19" s="36" customFormat="1" ht="78" customHeight="1">
      <c r="A11" s="61" t="s">
        <v>588</v>
      </c>
      <c r="B11" s="28" t="s">
        <v>589</v>
      </c>
      <c r="C11" s="28" t="s">
        <v>590</v>
      </c>
      <c r="D11" s="155">
        <v>10</v>
      </c>
      <c r="E11" s="153">
        <v>21</v>
      </c>
      <c r="F11" s="154">
        <v>1</v>
      </c>
      <c r="G11" s="983"/>
      <c r="H11" s="28" t="s">
        <v>1246</v>
      </c>
      <c r="I11" s="762"/>
      <c r="J11" s="762"/>
      <c r="K11" s="702"/>
      <c r="L11" s="983"/>
      <c r="M11" s="28" t="s">
        <v>2177</v>
      </c>
      <c r="N11" s="1042"/>
      <c r="O11" s="762"/>
      <c r="P11" s="1035"/>
      <c r="Q11" s="1036"/>
      <c r="R11" s="1035"/>
      <c r="S11" s="1035"/>
    </row>
    <row r="12" spans="1:23" s="36" customFormat="1" ht="61.5" customHeight="1">
      <c r="A12" s="61" t="s">
        <v>591</v>
      </c>
      <c r="B12" s="28" t="s">
        <v>592</v>
      </c>
      <c r="C12" s="28" t="s">
        <v>593</v>
      </c>
      <c r="D12" s="155"/>
      <c r="E12" s="153"/>
      <c r="F12" s="153"/>
      <c r="G12" s="983"/>
      <c r="H12" s="28" t="s">
        <v>1247</v>
      </c>
      <c r="I12" s="762"/>
      <c r="J12" s="762"/>
      <c r="K12" s="702"/>
      <c r="L12" s="983"/>
      <c r="M12" s="28" t="s">
        <v>2178</v>
      </c>
      <c r="N12" s="1042"/>
      <c r="O12" s="762"/>
      <c r="P12" s="1035"/>
      <c r="Q12" s="1036"/>
      <c r="R12" s="1035"/>
      <c r="S12" s="1035"/>
      <c r="W12" s="74"/>
    </row>
    <row r="13" spans="1:23" s="36" customFormat="1" ht="89.25" customHeight="1">
      <c r="A13" s="709" t="s">
        <v>597</v>
      </c>
      <c r="B13" s="630" t="s">
        <v>598</v>
      </c>
      <c r="C13" s="630" t="s">
        <v>599</v>
      </c>
      <c r="D13" s="1029">
        <v>9</v>
      </c>
      <c r="E13" s="1029">
        <v>1</v>
      </c>
      <c r="F13" s="1040">
        <v>0.1111111111111111</v>
      </c>
      <c r="G13" s="983"/>
      <c r="H13" s="28" t="s">
        <v>1249</v>
      </c>
      <c r="I13" s="762"/>
      <c r="J13" s="762"/>
      <c r="K13" s="702"/>
      <c r="L13" s="983"/>
      <c r="M13" s="630" t="s">
        <v>2179</v>
      </c>
      <c r="N13" s="1042"/>
      <c r="O13" s="762"/>
      <c r="P13" s="1035"/>
      <c r="Q13" s="1036"/>
      <c r="R13" s="1035"/>
      <c r="S13" s="1035"/>
      <c r="W13" s="74"/>
    </row>
    <row r="14" spans="1:23" s="36" customFormat="1" ht="75" customHeight="1">
      <c r="A14" s="711"/>
      <c r="B14" s="688"/>
      <c r="C14" s="688"/>
      <c r="D14" s="1030">
        <v>9</v>
      </c>
      <c r="E14" s="1030">
        <v>1</v>
      </c>
      <c r="F14" s="1041">
        <v>0.1111111111111111</v>
      </c>
      <c r="G14" s="983"/>
      <c r="H14" s="28" t="s">
        <v>1250</v>
      </c>
      <c r="I14" s="762"/>
      <c r="J14" s="762"/>
      <c r="K14" s="702"/>
      <c r="L14" s="983"/>
      <c r="M14" s="688"/>
      <c r="N14" s="1042"/>
      <c r="O14" s="762"/>
      <c r="P14" s="1035"/>
      <c r="Q14" s="1036"/>
      <c r="R14" s="1035"/>
      <c r="S14" s="1035"/>
      <c r="W14" s="74"/>
    </row>
    <row r="15" spans="1:23" s="36" customFormat="1" ht="89.25" customHeight="1">
      <c r="A15" s="709" t="s">
        <v>594</v>
      </c>
      <c r="B15" s="884" t="s">
        <v>595</v>
      </c>
      <c r="C15" s="884" t="s">
        <v>596</v>
      </c>
      <c r="D15" s="709">
        <v>4</v>
      </c>
      <c r="E15" s="709">
        <v>12</v>
      </c>
      <c r="F15" s="956">
        <v>1</v>
      </c>
      <c r="G15" s="28" t="s">
        <v>2236</v>
      </c>
      <c r="H15" s="884" t="s">
        <v>2240</v>
      </c>
      <c r="I15" s="44">
        <v>2678700</v>
      </c>
      <c r="J15" s="44">
        <v>0</v>
      </c>
      <c r="K15" s="424">
        <v>0</v>
      </c>
      <c r="L15" s="968" t="s">
        <v>2239</v>
      </c>
      <c r="M15" s="884" t="s">
        <v>2241</v>
      </c>
      <c r="N15" s="29"/>
      <c r="O15" s="44">
        <v>2676746</v>
      </c>
      <c r="P15" s="29">
        <v>0</v>
      </c>
      <c r="Q15" s="110">
        <v>0</v>
      </c>
      <c r="R15" s="1042" t="s">
        <v>1279</v>
      </c>
      <c r="S15" s="1042" t="s">
        <v>1242</v>
      </c>
      <c r="W15" s="74"/>
    </row>
    <row r="16" spans="1:23" s="36" customFormat="1" ht="89.25" customHeight="1">
      <c r="A16" s="710"/>
      <c r="B16" s="885"/>
      <c r="C16" s="885"/>
      <c r="D16" s="710"/>
      <c r="E16" s="710"/>
      <c r="F16" s="710"/>
      <c r="G16" s="28" t="s">
        <v>2237</v>
      </c>
      <c r="H16" s="885"/>
      <c r="I16" s="44">
        <v>2678500</v>
      </c>
      <c r="J16" s="44">
        <v>0</v>
      </c>
      <c r="K16" s="424">
        <v>0</v>
      </c>
      <c r="L16" s="968"/>
      <c r="M16" s="885"/>
      <c r="N16" s="29"/>
      <c r="O16" s="44">
        <v>2677373</v>
      </c>
      <c r="P16" s="29">
        <v>0</v>
      </c>
      <c r="Q16" s="110">
        <v>0</v>
      </c>
      <c r="R16" s="1042"/>
      <c r="S16" s="1042"/>
      <c r="W16" s="74"/>
    </row>
    <row r="17" spans="1:23" s="36" customFormat="1" ht="89.25" customHeight="1">
      <c r="A17" s="711"/>
      <c r="B17" s="886"/>
      <c r="C17" s="886"/>
      <c r="D17" s="711"/>
      <c r="E17" s="711"/>
      <c r="F17" s="711"/>
      <c r="G17" s="28" t="s">
        <v>2238</v>
      </c>
      <c r="H17" s="886"/>
      <c r="I17" s="44">
        <v>4017700</v>
      </c>
      <c r="J17" s="44">
        <v>0</v>
      </c>
      <c r="K17" s="424">
        <v>0</v>
      </c>
      <c r="L17" s="968"/>
      <c r="M17" s="886"/>
      <c r="N17" s="29"/>
      <c r="O17" s="44">
        <v>4017395</v>
      </c>
      <c r="P17" s="29">
        <v>0</v>
      </c>
      <c r="Q17" s="110">
        <v>0</v>
      </c>
      <c r="R17" s="1042"/>
      <c r="S17" s="1042"/>
      <c r="W17" s="74"/>
    </row>
    <row r="18" spans="1:19" s="36" customFormat="1" ht="39" customHeight="1">
      <c r="A18" s="709" t="s">
        <v>600</v>
      </c>
      <c r="B18" s="843" t="s">
        <v>601</v>
      </c>
      <c r="C18" s="843" t="s">
        <v>602</v>
      </c>
      <c r="D18" s="912">
        <v>1</v>
      </c>
      <c r="E18" s="912">
        <v>1</v>
      </c>
      <c r="F18" s="664">
        <v>1</v>
      </c>
      <c r="G18" s="843" t="s">
        <v>1035</v>
      </c>
      <c r="H18" s="28" t="s">
        <v>1252</v>
      </c>
      <c r="I18" s="912">
        <f>'[5].xls].xls].xls].xls].xls].xls].xls].'!$F$208/1000</f>
        <v>997312.051</v>
      </c>
      <c r="J18" s="912">
        <f>'[5].xls].xls].xls].xls].xls].xls].xls].'!$I$208/1000</f>
        <v>780103.56796</v>
      </c>
      <c r="K18" s="664">
        <f>+J18/I18</f>
        <v>0.7822060980590718</v>
      </c>
      <c r="L18" s="982"/>
      <c r="M18" s="843" t="s">
        <v>2180</v>
      </c>
      <c r="N18" s="982">
        <v>69</v>
      </c>
      <c r="O18" s="981">
        <f>'[5].xls].xls].xls].xls].xls].xls].xls].'!$H$208/1000</f>
        <v>796494.10296</v>
      </c>
      <c r="P18" s="981">
        <f>J18</f>
        <v>780103.56796</v>
      </c>
      <c r="Q18" s="990">
        <f>P18/O18</f>
        <v>0.9794216492763874</v>
      </c>
      <c r="R18" s="982" t="s">
        <v>1261</v>
      </c>
      <c r="S18" s="982" t="s">
        <v>1242</v>
      </c>
    </row>
    <row r="19" spans="1:19" s="36" customFormat="1" ht="39" customHeight="1">
      <c r="A19" s="710"/>
      <c r="B19" s="844"/>
      <c r="C19" s="844"/>
      <c r="D19" s="913"/>
      <c r="E19" s="913"/>
      <c r="F19" s="681"/>
      <c r="G19" s="844"/>
      <c r="H19" s="28" t="s">
        <v>1253</v>
      </c>
      <c r="I19" s="913"/>
      <c r="J19" s="913"/>
      <c r="K19" s="681"/>
      <c r="L19" s="979"/>
      <c r="M19" s="844"/>
      <c r="N19" s="979"/>
      <c r="O19" s="1011"/>
      <c r="P19" s="1011"/>
      <c r="Q19" s="991"/>
      <c r="R19" s="979"/>
      <c r="S19" s="979"/>
    </row>
    <row r="20" spans="1:19" s="36" customFormat="1" ht="33" customHeight="1">
      <c r="A20" s="710"/>
      <c r="B20" s="844"/>
      <c r="C20" s="844"/>
      <c r="D20" s="913"/>
      <c r="E20" s="913"/>
      <c r="F20" s="681"/>
      <c r="G20" s="844"/>
      <c r="H20" s="28" t="s">
        <v>1254</v>
      </c>
      <c r="I20" s="913"/>
      <c r="J20" s="913"/>
      <c r="K20" s="681"/>
      <c r="L20" s="979"/>
      <c r="M20" s="844"/>
      <c r="N20" s="979"/>
      <c r="O20" s="1011"/>
      <c r="P20" s="1011"/>
      <c r="Q20" s="991"/>
      <c r="R20" s="979"/>
      <c r="S20" s="979"/>
    </row>
    <row r="21" spans="1:19" s="36" customFormat="1" ht="39" customHeight="1">
      <c r="A21" s="710"/>
      <c r="B21" s="844"/>
      <c r="C21" s="844"/>
      <c r="D21" s="913"/>
      <c r="E21" s="913"/>
      <c r="F21" s="681"/>
      <c r="G21" s="844"/>
      <c r="H21" s="28" t="s">
        <v>1255</v>
      </c>
      <c r="I21" s="913"/>
      <c r="J21" s="913"/>
      <c r="K21" s="681"/>
      <c r="L21" s="979"/>
      <c r="M21" s="844"/>
      <c r="N21" s="979"/>
      <c r="O21" s="1011"/>
      <c r="P21" s="1011"/>
      <c r="Q21" s="991"/>
      <c r="R21" s="979"/>
      <c r="S21" s="979"/>
    </row>
    <row r="22" spans="1:19" s="36" customFormat="1" ht="34.5" customHeight="1">
      <c r="A22" s="710"/>
      <c r="B22" s="845"/>
      <c r="C22" s="845"/>
      <c r="D22" s="914"/>
      <c r="E22" s="914"/>
      <c r="F22" s="665"/>
      <c r="G22" s="845"/>
      <c r="H22" s="28" t="s">
        <v>1256</v>
      </c>
      <c r="I22" s="914"/>
      <c r="J22" s="914"/>
      <c r="K22" s="665"/>
      <c r="L22" s="980"/>
      <c r="M22" s="845"/>
      <c r="N22" s="980"/>
      <c r="O22" s="987"/>
      <c r="P22" s="987"/>
      <c r="Q22" s="992"/>
      <c r="R22" s="980"/>
      <c r="S22" s="980"/>
    </row>
    <row r="23" spans="1:19" s="36" customFormat="1" ht="195.75" customHeight="1">
      <c r="A23" s="61" t="s">
        <v>603</v>
      </c>
      <c r="B23" s="28" t="s">
        <v>604</v>
      </c>
      <c r="C23" s="28" t="s">
        <v>605</v>
      </c>
      <c r="D23" s="157" t="s">
        <v>1260</v>
      </c>
      <c r="E23" s="157" t="s">
        <v>1260</v>
      </c>
      <c r="F23" s="154">
        <v>1</v>
      </c>
      <c r="G23" s="983" t="s">
        <v>1036</v>
      </c>
      <c r="H23" s="28" t="s">
        <v>1253</v>
      </c>
      <c r="I23" s="912">
        <f>'[5].xls].xls].xls].xls].xls].xls].xls].'!$F$209/1000</f>
        <v>12544576.25182</v>
      </c>
      <c r="J23" s="912">
        <f>'[5].xls].xls].xls].xls].xls].xls].xls].'!$I$209/1000</f>
        <v>3665252.08332</v>
      </c>
      <c r="K23" s="1037">
        <f>+J23/I23</f>
        <v>0.29217822983763486</v>
      </c>
      <c r="L23" s="983" t="s">
        <v>1037</v>
      </c>
      <c r="M23" s="28" t="s">
        <v>2181</v>
      </c>
      <c r="N23" s="982">
        <v>7</v>
      </c>
      <c r="O23" s="981">
        <f>'[5].xls].xls].xls].xls].xls].xls].xls].'!$H$209/1000</f>
        <v>5506392.67267</v>
      </c>
      <c r="P23" s="981">
        <f>J23</f>
        <v>3665252.08332</v>
      </c>
      <c r="Q23" s="990">
        <f>P23/O23</f>
        <v>0.6656357984623629</v>
      </c>
      <c r="R23" s="662" t="s">
        <v>1289</v>
      </c>
      <c r="S23" s="676" t="s">
        <v>1242</v>
      </c>
    </row>
    <row r="24" spans="1:19" s="36" customFormat="1" ht="84.75" customHeight="1">
      <c r="A24" s="61" t="s">
        <v>606</v>
      </c>
      <c r="B24" s="28" t="s">
        <v>607</v>
      </c>
      <c r="C24" s="28" t="s">
        <v>608</v>
      </c>
      <c r="D24" s="157">
        <v>97.83</v>
      </c>
      <c r="E24" s="158">
        <v>98.3</v>
      </c>
      <c r="F24" s="159">
        <v>1</v>
      </c>
      <c r="G24" s="983"/>
      <c r="H24" s="28" t="s">
        <v>1257</v>
      </c>
      <c r="I24" s="913"/>
      <c r="J24" s="913"/>
      <c r="K24" s="1038"/>
      <c r="L24" s="983"/>
      <c r="M24" s="28" t="s">
        <v>2182</v>
      </c>
      <c r="N24" s="979"/>
      <c r="O24" s="1011"/>
      <c r="P24" s="1011"/>
      <c r="Q24" s="991"/>
      <c r="R24" s="703"/>
      <c r="S24" s="676"/>
    </row>
    <row r="25" spans="1:19" s="36" customFormat="1" ht="41.25" customHeight="1">
      <c r="A25" s="61"/>
      <c r="B25" s="676" t="s">
        <v>610</v>
      </c>
      <c r="C25" s="676" t="s">
        <v>611</v>
      </c>
      <c r="D25" s="1032">
        <v>36.53</v>
      </c>
      <c r="E25" s="1008">
        <v>0</v>
      </c>
      <c r="F25" s="513">
        <f>(E25*100%)/D25</f>
        <v>0</v>
      </c>
      <c r="G25" s="983"/>
      <c r="H25" s="28" t="s">
        <v>1258</v>
      </c>
      <c r="I25" s="913"/>
      <c r="J25" s="913"/>
      <c r="K25" s="1038"/>
      <c r="L25" s="983"/>
      <c r="M25" s="676" t="s">
        <v>2183</v>
      </c>
      <c r="N25" s="979"/>
      <c r="O25" s="1011"/>
      <c r="P25" s="1011"/>
      <c r="Q25" s="991"/>
      <c r="R25" s="703"/>
      <c r="S25" s="676"/>
    </row>
    <row r="26" spans="1:19" s="36" customFormat="1" ht="42" customHeight="1">
      <c r="A26" s="61" t="s">
        <v>609</v>
      </c>
      <c r="B26" s="676"/>
      <c r="C26" s="676"/>
      <c r="D26" s="1033"/>
      <c r="E26" s="1009"/>
      <c r="F26" s="514"/>
      <c r="G26" s="983"/>
      <c r="H26" s="28" t="s">
        <v>1259</v>
      </c>
      <c r="I26" s="914"/>
      <c r="J26" s="914"/>
      <c r="K26" s="1039"/>
      <c r="L26" s="983"/>
      <c r="M26" s="676"/>
      <c r="N26" s="980"/>
      <c r="O26" s="987"/>
      <c r="P26" s="987"/>
      <c r="Q26" s="992"/>
      <c r="R26" s="663"/>
      <c r="S26" s="676"/>
    </row>
    <row r="27" spans="1:19" s="36" customFormat="1" ht="69.75" customHeight="1">
      <c r="A27" s="61" t="s">
        <v>612</v>
      </c>
      <c r="B27" s="28" t="s">
        <v>613</v>
      </c>
      <c r="C27" s="28" t="s">
        <v>614</v>
      </c>
      <c r="D27" s="157">
        <v>19.860000000000003</v>
      </c>
      <c r="E27" s="160">
        <v>0</v>
      </c>
      <c r="F27" s="159">
        <f aca="true" t="shared" si="0" ref="F27:F32">(E27*100%)/D27</f>
        <v>0</v>
      </c>
      <c r="G27" s="983" t="s">
        <v>1038</v>
      </c>
      <c r="H27" s="28" t="s">
        <v>1262</v>
      </c>
      <c r="I27" s="925">
        <f>'[5].xls].xls].xls].xls].xls].xls].xls].'!$F$216/1000</f>
        <v>14536051.5807</v>
      </c>
      <c r="J27" s="912">
        <f>'[5].xls].xls].xls].xls].xls].xls].xls].'!$I$216/1000</f>
        <v>6439049.18284</v>
      </c>
      <c r="K27" s="1020">
        <f>J27/I27</f>
        <v>0.44297099161297276</v>
      </c>
      <c r="L27" s="983" t="s">
        <v>1039</v>
      </c>
      <c r="M27" s="28" t="s">
        <v>2184</v>
      </c>
      <c r="N27" s="982">
        <v>7</v>
      </c>
      <c r="O27" s="981">
        <f>'[5].xls].xls].xls].xls].xls].xls].xls].'!$H$216/1000</f>
        <v>7664700.50111</v>
      </c>
      <c r="P27" s="981">
        <f>J27</f>
        <v>6439049.18284</v>
      </c>
      <c r="Q27" s="990">
        <f>P27/O27</f>
        <v>0.8400914271741602</v>
      </c>
      <c r="R27" s="982" t="s">
        <v>1288</v>
      </c>
      <c r="S27" s="676" t="s">
        <v>1242</v>
      </c>
    </row>
    <row r="28" spans="1:19" s="36" customFormat="1" ht="203.25" customHeight="1">
      <c r="A28" s="61" t="s">
        <v>615</v>
      </c>
      <c r="B28" s="28" t="s">
        <v>616</v>
      </c>
      <c r="C28" s="28" t="s">
        <v>608</v>
      </c>
      <c r="D28" s="157">
        <v>96.82000000000001</v>
      </c>
      <c r="E28" s="158">
        <v>95.52</v>
      </c>
      <c r="F28" s="159">
        <f t="shared" si="0"/>
        <v>0.9865730221028712</v>
      </c>
      <c r="G28" s="983"/>
      <c r="H28" s="28" t="s">
        <v>1258</v>
      </c>
      <c r="I28" s="926"/>
      <c r="J28" s="913"/>
      <c r="K28" s="1034"/>
      <c r="L28" s="983"/>
      <c r="M28" s="28" t="s">
        <v>2185</v>
      </c>
      <c r="N28" s="979"/>
      <c r="O28" s="1011"/>
      <c r="P28" s="1011"/>
      <c r="Q28" s="991"/>
      <c r="R28" s="979"/>
      <c r="S28" s="676"/>
    </row>
    <row r="29" spans="1:19" s="36" customFormat="1" ht="83.25" customHeight="1">
      <c r="A29" s="61" t="s">
        <v>617</v>
      </c>
      <c r="B29" s="28" t="s">
        <v>618</v>
      </c>
      <c r="C29" s="28" t="s">
        <v>611</v>
      </c>
      <c r="D29" s="157">
        <v>38.33</v>
      </c>
      <c r="E29" s="160">
        <v>0</v>
      </c>
      <c r="F29" s="159">
        <f t="shared" si="0"/>
        <v>0</v>
      </c>
      <c r="G29" s="983"/>
      <c r="H29" s="28" t="s">
        <v>1253</v>
      </c>
      <c r="I29" s="926"/>
      <c r="J29" s="913"/>
      <c r="K29" s="1034"/>
      <c r="L29" s="983"/>
      <c r="M29" s="28" t="s">
        <v>2186</v>
      </c>
      <c r="N29" s="979"/>
      <c r="O29" s="1011"/>
      <c r="P29" s="1011"/>
      <c r="Q29" s="991"/>
      <c r="R29" s="979"/>
      <c r="S29" s="676"/>
    </row>
    <row r="30" spans="1:19" s="36" customFormat="1" ht="59.25" customHeight="1">
      <c r="A30" s="61" t="s">
        <v>619</v>
      </c>
      <c r="B30" s="28" t="s">
        <v>620</v>
      </c>
      <c r="C30" s="28" t="s">
        <v>97</v>
      </c>
      <c r="D30" s="157">
        <v>12</v>
      </c>
      <c r="E30" s="160">
        <v>0</v>
      </c>
      <c r="F30" s="159">
        <f t="shared" si="0"/>
        <v>0</v>
      </c>
      <c r="G30" s="983"/>
      <c r="H30" s="28" t="s">
        <v>1263</v>
      </c>
      <c r="I30" s="926"/>
      <c r="J30" s="913"/>
      <c r="K30" s="1034"/>
      <c r="L30" s="983"/>
      <c r="M30" s="28" t="s">
        <v>2187</v>
      </c>
      <c r="N30" s="979"/>
      <c r="O30" s="1011"/>
      <c r="P30" s="1011"/>
      <c r="Q30" s="991"/>
      <c r="R30" s="979"/>
      <c r="S30" s="676"/>
    </row>
    <row r="31" spans="1:19" s="36" customFormat="1" ht="59.25" customHeight="1">
      <c r="A31" s="61" t="s">
        <v>621</v>
      </c>
      <c r="B31" s="28" t="s">
        <v>622</v>
      </c>
      <c r="C31" s="28" t="s">
        <v>97</v>
      </c>
      <c r="D31" s="157">
        <v>4</v>
      </c>
      <c r="E31" s="160">
        <v>0</v>
      </c>
      <c r="F31" s="159">
        <f t="shared" si="0"/>
        <v>0</v>
      </c>
      <c r="G31" s="983"/>
      <c r="H31" s="754" t="s">
        <v>1264</v>
      </c>
      <c r="I31" s="926"/>
      <c r="J31" s="913"/>
      <c r="K31" s="1034"/>
      <c r="L31" s="983"/>
      <c r="M31" s="28" t="s">
        <v>2187</v>
      </c>
      <c r="N31" s="979"/>
      <c r="O31" s="1011"/>
      <c r="P31" s="1011"/>
      <c r="Q31" s="991"/>
      <c r="R31" s="979"/>
      <c r="S31" s="676"/>
    </row>
    <row r="32" spans="1:19" s="36" customFormat="1" ht="73.5" customHeight="1">
      <c r="A32" s="61" t="s">
        <v>623</v>
      </c>
      <c r="B32" s="28" t="s">
        <v>624</v>
      </c>
      <c r="C32" s="28" t="s">
        <v>625</v>
      </c>
      <c r="D32" s="157">
        <v>12</v>
      </c>
      <c r="E32" s="160">
        <v>0</v>
      </c>
      <c r="F32" s="159">
        <f t="shared" si="0"/>
        <v>0</v>
      </c>
      <c r="G32" s="983"/>
      <c r="H32" s="755"/>
      <c r="I32" s="927"/>
      <c r="J32" s="914"/>
      <c r="K32" s="1021"/>
      <c r="L32" s="983"/>
      <c r="M32" s="28" t="s">
        <v>2187</v>
      </c>
      <c r="N32" s="980"/>
      <c r="O32" s="987"/>
      <c r="P32" s="987"/>
      <c r="Q32" s="992"/>
      <c r="R32" s="980"/>
      <c r="S32" s="676"/>
    </row>
    <row r="33" spans="1:19" s="36" customFormat="1" ht="31.5" customHeight="1">
      <c r="A33" s="709" t="s">
        <v>626</v>
      </c>
      <c r="B33" s="630" t="s">
        <v>627</v>
      </c>
      <c r="C33" s="630" t="s">
        <v>2189</v>
      </c>
      <c r="D33" s="1012">
        <v>34.3</v>
      </c>
      <c r="E33" s="1008">
        <v>0</v>
      </c>
      <c r="F33" s="513">
        <f>(E33*100%)/D33</f>
        <v>0</v>
      </c>
      <c r="G33" s="843" t="s">
        <v>1040</v>
      </c>
      <c r="H33" s="28" t="s">
        <v>1262</v>
      </c>
      <c r="I33" s="1022">
        <f>'[5].xls].xls].xls].xls].xls].xls].xls].'!$F$223/1000</f>
        <v>250934.85894</v>
      </c>
      <c r="J33" s="511">
        <f>'[5].xls].xls].xls].xls].xls].xls].xls].'!$I$223</f>
        <v>0</v>
      </c>
      <c r="K33" s="990">
        <f>J33/I33</f>
        <v>0</v>
      </c>
      <c r="L33" s="843" t="s">
        <v>1041</v>
      </c>
      <c r="M33" s="630" t="s">
        <v>2188</v>
      </c>
      <c r="N33" s="713"/>
      <c r="O33" s="1022">
        <f>194611377.36/1000</f>
        <v>194611.37736</v>
      </c>
      <c r="P33" s="982">
        <f>J35</f>
        <v>0</v>
      </c>
      <c r="Q33" s="990">
        <v>0</v>
      </c>
      <c r="R33" s="982"/>
      <c r="S33" s="843" t="s">
        <v>1242</v>
      </c>
    </row>
    <row r="34" spans="1:19" s="36" customFormat="1" ht="44.25" customHeight="1">
      <c r="A34" s="710"/>
      <c r="B34" s="687"/>
      <c r="C34" s="687"/>
      <c r="D34" s="1013"/>
      <c r="E34" s="1015"/>
      <c r="F34" s="1016"/>
      <c r="G34" s="844"/>
      <c r="H34" s="28" t="s">
        <v>1258</v>
      </c>
      <c r="I34" s="1023"/>
      <c r="J34" s="915"/>
      <c r="K34" s="991"/>
      <c r="L34" s="844"/>
      <c r="M34" s="687"/>
      <c r="N34" s="714"/>
      <c r="O34" s="1023"/>
      <c r="P34" s="979"/>
      <c r="Q34" s="991"/>
      <c r="R34" s="979"/>
      <c r="S34" s="844"/>
    </row>
    <row r="35" spans="1:19" s="36" customFormat="1" ht="39.75" customHeight="1">
      <c r="A35" s="711"/>
      <c r="B35" s="688"/>
      <c r="C35" s="688"/>
      <c r="D35" s="1014"/>
      <c r="E35" s="1009"/>
      <c r="F35" s="514"/>
      <c r="G35" s="845"/>
      <c r="H35" s="28" t="s">
        <v>1253</v>
      </c>
      <c r="I35" s="1024"/>
      <c r="J35" s="512"/>
      <c r="K35" s="992"/>
      <c r="L35" s="845"/>
      <c r="M35" s="688"/>
      <c r="N35" s="715"/>
      <c r="O35" s="1024"/>
      <c r="P35" s="980"/>
      <c r="Q35" s="992"/>
      <c r="R35" s="980"/>
      <c r="S35" s="845"/>
    </row>
    <row r="36" spans="1:19" s="36" customFormat="1" ht="156.75" customHeight="1">
      <c r="A36" s="61" t="s">
        <v>628</v>
      </c>
      <c r="B36" s="28" t="s">
        <v>629</v>
      </c>
      <c r="C36" s="28" t="s">
        <v>630</v>
      </c>
      <c r="D36" s="153">
        <v>2</v>
      </c>
      <c r="E36" s="160">
        <v>0</v>
      </c>
      <c r="F36" s="159">
        <f>(E36*100%)/D36</f>
        <v>0</v>
      </c>
      <c r="G36" s="8" t="s">
        <v>1042</v>
      </c>
      <c r="H36" s="28" t="s">
        <v>1265</v>
      </c>
      <c r="I36" s="122">
        <f>'[5].xls].xls].xls].xls].xls].xls].xls].'!$F$226/1000</f>
        <v>800000</v>
      </c>
      <c r="J36" s="122">
        <f>'[5].xls].xls].xls].xls].xls].xls].xls].'!$I$226/1000</f>
        <v>25850.883</v>
      </c>
      <c r="K36" s="110">
        <v>0</v>
      </c>
      <c r="L36" s="138" t="s">
        <v>1266</v>
      </c>
      <c r="M36" s="28" t="s">
        <v>2190</v>
      </c>
      <c r="N36" s="139">
        <v>1</v>
      </c>
      <c r="O36" s="122">
        <f>'[5].xls].xls].xls].xls].xls].xls].xls].'!$H$226/1000</f>
        <v>175844.683</v>
      </c>
      <c r="P36" s="122">
        <f>J36</f>
        <v>25850.883</v>
      </c>
      <c r="Q36" s="110">
        <f>P36/O36</f>
        <v>0.14700975064455035</v>
      </c>
      <c r="R36" s="25" t="s">
        <v>1261</v>
      </c>
      <c r="S36" s="28" t="s">
        <v>1242</v>
      </c>
    </row>
    <row r="37" spans="1:19" s="36" customFormat="1" ht="78" customHeight="1">
      <c r="A37" s="61" t="s">
        <v>1295</v>
      </c>
      <c r="B37" s="28" t="s">
        <v>1291</v>
      </c>
      <c r="C37" s="28" t="s">
        <v>1292</v>
      </c>
      <c r="D37" s="155"/>
      <c r="E37" s="160"/>
      <c r="F37" s="159"/>
      <c r="G37" s="1018" t="s">
        <v>1297</v>
      </c>
      <c r="H37" s="630" t="s">
        <v>1298</v>
      </c>
      <c r="I37" s="925">
        <f>2992000000/1000</f>
        <v>2992000</v>
      </c>
      <c r="J37" s="925">
        <v>0</v>
      </c>
      <c r="K37" s="1020">
        <f>J37/I37</f>
        <v>0</v>
      </c>
      <c r="L37" s="982"/>
      <c r="M37" s="28" t="s">
        <v>2178</v>
      </c>
      <c r="N37" s="982"/>
      <c r="O37" s="981">
        <f>2992000000/1000</f>
        <v>2992000</v>
      </c>
      <c r="P37" s="982">
        <v>0</v>
      </c>
      <c r="Q37" s="990">
        <v>0</v>
      </c>
      <c r="R37" s="982"/>
      <c r="S37" s="630" t="s">
        <v>1242</v>
      </c>
    </row>
    <row r="38" spans="1:19" s="36" customFormat="1" ht="195" customHeight="1">
      <c r="A38" s="61" t="s">
        <v>1296</v>
      </c>
      <c r="B38" s="28" t="s">
        <v>1293</v>
      </c>
      <c r="C38" s="28" t="s">
        <v>1294</v>
      </c>
      <c r="D38" s="155"/>
      <c r="E38" s="160"/>
      <c r="F38" s="128"/>
      <c r="G38" s="1019"/>
      <c r="H38" s="688"/>
      <c r="I38" s="927"/>
      <c r="J38" s="927"/>
      <c r="K38" s="1021"/>
      <c r="L38" s="980"/>
      <c r="M38" s="28" t="s">
        <v>2191</v>
      </c>
      <c r="N38" s="980"/>
      <c r="O38" s="987"/>
      <c r="P38" s="980"/>
      <c r="Q38" s="992"/>
      <c r="R38" s="980"/>
      <c r="S38" s="688"/>
    </row>
    <row r="39" spans="1:19" s="36" customFormat="1" ht="36.75" customHeight="1">
      <c r="A39" s="884" t="s">
        <v>631</v>
      </c>
      <c r="B39" s="884" t="s">
        <v>632</v>
      </c>
      <c r="C39" s="884" t="s">
        <v>633</v>
      </c>
      <c r="D39" s="1012">
        <v>22</v>
      </c>
      <c r="E39" s="1008">
        <v>1</v>
      </c>
      <c r="F39" s="513">
        <f>(E39*100%)/D39</f>
        <v>0.045454545454545456</v>
      </c>
      <c r="G39" s="884" t="s">
        <v>1043</v>
      </c>
      <c r="H39" s="28" t="s">
        <v>1268</v>
      </c>
      <c r="I39" s="639">
        <f>('[5].xls].xls].xls].xls].xls].xls].xls].'!$F$234+'[5].xls].xls].xls].xls].xls].xls].xls].'!$F$235+'[5].xls].xls].xls].xls].xls].xls].xls].'!$F$236)/1000</f>
        <v>5391962.37987</v>
      </c>
      <c r="J39" s="639">
        <f>('[5].xls].xls].xls].xls].xls].xls].xls].'!$I$234+'[5].xls].xls].xls].xls].xls].xls].xls].'!$I$235+'[5].xls].xls].xls].xls].xls].xls].xls].'!$I$236)/1000</f>
        <v>457449.965</v>
      </c>
      <c r="K39" s="1027">
        <f>+J39/I39</f>
        <v>0.08483923528617592</v>
      </c>
      <c r="L39" s="983" t="s">
        <v>1044</v>
      </c>
      <c r="M39" s="884" t="s">
        <v>2192</v>
      </c>
      <c r="N39" s="982">
        <v>16</v>
      </c>
      <c r="O39" s="981">
        <f>('[5].xls].xls].xls].xls].xls].xls].xls].'!$H$234+'[5].xls].xls].xls].xls].xls].xls].xls].'!$H$235+'[5].xls].xls].xls].xls].xls].xls].xls].'!$H$236)/1000</f>
        <v>457449.965</v>
      </c>
      <c r="P39" s="981">
        <f>J39</f>
        <v>457449.965</v>
      </c>
      <c r="Q39" s="990">
        <f>P39/O39</f>
        <v>1</v>
      </c>
      <c r="R39" s="662" t="s">
        <v>1273</v>
      </c>
      <c r="S39" s="676" t="s">
        <v>1242</v>
      </c>
    </row>
    <row r="40" spans="1:19" s="36" customFormat="1" ht="52.5" customHeight="1">
      <c r="A40" s="885"/>
      <c r="B40" s="885"/>
      <c r="C40" s="885"/>
      <c r="D40" s="1013"/>
      <c r="E40" s="1015"/>
      <c r="F40" s="1016"/>
      <c r="G40" s="885"/>
      <c r="H40" s="28" t="s">
        <v>1269</v>
      </c>
      <c r="I40" s="640"/>
      <c r="J40" s="640"/>
      <c r="K40" s="1031"/>
      <c r="L40" s="983"/>
      <c r="M40" s="885"/>
      <c r="N40" s="979"/>
      <c r="O40" s="1011"/>
      <c r="P40" s="1011"/>
      <c r="Q40" s="991"/>
      <c r="R40" s="703"/>
      <c r="S40" s="676"/>
    </row>
    <row r="41" spans="1:19" s="36" customFormat="1" ht="51" customHeight="1">
      <c r="A41" s="885"/>
      <c r="B41" s="885"/>
      <c r="C41" s="885"/>
      <c r="D41" s="1013"/>
      <c r="E41" s="1015"/>
      <c r="F41" s="1016"/>
      <c r="G41" s="885"/>
      <c r="H41" s="28" t="s">
        <v>1270</v>
      </c>
      <c r="I41" s="640"/>
      <c r="J41" s="640"/>
      <c r="K41" s="1031"/>
      <c r="L41" s="983"/>
      <c r="M41" s="885"/>
      <c r="N41" s="979"/>
      <c r="O41" s="1011"/>
      <c r="P41" s="1011"/>
      <c r="Q41" s="991"/>
      <c r="R41" s="703"/>
      <c r="S41" s="676"/>
    </row>
    <row r="42" spans="1:19" s="36" customFormat="1" ht="53.25" customHeight="1">
      <c r="A42" s="885"/>
      <c r="B42" s="885"/>
      <c r="C42" s="885"/>
      <c r="D42" s="1013"/>
      <c r="E42" s="1015"/>
      <c r="F42" s="1016"/>
      <c r="G42" s="885"/>
      <c r="H42" s="28" t="s">
        <v>1271</v>
      </c>
      <c r="I42" s="640"/>
      <c r="J42" s="640"/>
      <c r="K42" s="1031"/>
      <c r="L42" s="983"/>
      <c r="M42" s="885"/>
      <c r="N42" s="979"/>
      <c r="O42" s="1011"/>
      <c r="P42" s="1011"/>
      <c r="Q42" s="991"/>
      <c r="R42" s="703"/>
      <c r="S42" s="676"/>
    </row>
    <row r="43" spans="1:19" s="36" customFormat="1" ht="34.5" customHeight="1">
      <c r="A43" s="886"/>
      <c r="B43" s="886"/>
      <c r="C43" s="886"/>
      <c r="D43" s="1014"/>
      <c r="E43" s="1009"/>
      <c r="F43" s="514"/>
      <c r="G43" s="886"/>
      <c r="H43" s="28" t="s">
        <v>1272</v>
      </c>
      <c r="I43" s="641"/>
      <c r="J43" s="641"/>
      <c r="K43" s="1028"/>
      <c r="L43" s="983"/>
      <c r="M43" s="886"/>
      <c r="N43" s="980"/>
      <c r="O43" s="987"/>
      <c r="P43" s="987"/>
      <c r="Q43" s="992"/>
      <c r="R43" s="663"/>
      <c r="S43" s="676"/>
    </row>
    <row r="44" spans="1:19" s="36" customFormat="1" ht="33.75" customHeight="1">
      <c r="A44" s="709" t="s">
        <v>874</v>
      </c>
      <c r="B44" s="843" t="s">
        <v>634</v>
      </c>
      <c r="C44" s="843" t="s">
        <v>635</v>
      </c>
      <c r="D44" s="1029">
        <v>2</v>
      </c>
      <c r="E44" s="1008">
        <v>0</v>
      </c>
      <c r="F44" s="513">
        <f>(E44*100%)/D44</f>
        <v>0</v>
      </c>
      <c r="G44" s="843" t="s">
        <v>1267</v>
      </c>
      <c r="H44" s="28" t="s">
        <v>1274</v>
      </c>
      <c r="I44" s="639">
        <f>'[5].xls].xls].xls].xls].xls].xls].xls].'!$F$237/1000</f>
        <v>2074418.947</v>
      </c>
      <c r="J44" s="1025">
        <v>0</v>
      </c>
      <c r="K44" s="1027">
        <f>+J44/I44</f>
        <v>0</v>
      </c>
      <c r="L44" s="983"/>
      <c r="M44" s="843" t="s">
        <v>2193</v>
      </c>
      <c r="N44" s="982">
        <v>2</v>
      </c>
      <c r="O44" s="981">
        <v>0</v>
      </c>
      <c r="P44" s="982">
        <f>J44</f>
        <v>0</v>
      </c>
      <c r="Q44" s="990">
        <v>0</v>
      </c>
      <c r="R44" s="662" t="s">
        <v>1279</v>
      </c>
      <c r="S44" s="676" t="s">
        <v>1242</v>
      </c>
    </row>
    <row r="45" spans="1:19" s="36" customFormat="1" ht="61.5" customHeight="1">
      <c r="A45" s="711"/>
      <c r="B45" s="601"/>
      <c r="C45" s="601"/>
      <c r="D45" s="1030"/>
      <c r="E45" s="1009"/>
      <c r="F45" s="514"/>
      <c r="G45" s="601"/>
      <c r="H45" s="28" t="s">
        <v>1275</v>
      </c>
      <c r="I45" s="641"/>
      <c r="J45" s="1026"/>
      <c r="K45" s="1028"/>
      <c r="L45" s="983"/>
      <c r="M45" s="601"/>
      <c r="N45" s="980"/>
      <c r="O45" s="987"/>
      <c r="P45" s="980"/>
      <c r="Q45" s="992"/>
      <c r="R45" s="663"/>
      <c r="S45" s="676"/>
    </row>
    <row r="46" spans="1:19" s="36" customFormat="1" ht="40.5" customHeight="1">
      <c r="A46" s="709" t="s">
        <v>636</v>
      </c>
      <c r="B46" s="630" t="s">
        <v>637</v>
      </c>
      <c r="C46" s="630" t="s">
        <v>638</v>
      </c>
      <c r="D46" s="1006">
        <v>20</v>
      </c>
      <c r="E46" s="1008">
        <v>2</v>
      </c>
      <c r="F46" s="513">
        <f>(E46*100%)/D46</f>
        <v>0.1</v>
      </c>
      <c r="G46" s="843" t="s">
        <v>1045</v>
      </c>
      <c r="H46" s="28" t="s">
        <v>1248</v>
      </c>
      <c r="I46" s="912">
        <f>'[5].xls].xls].xls].xls].xls].xls].xls].'!$F$254/1000</f>
        <v>2187332.3875599997</v>
      </c>
      <c r="J46" s="912">
        <f>'[5].xls].xls].xls].xls].xls].xls].xls].'!$I$254/1000</f>
        <v>603871.1625399999</v>
      </c>
      <c r="K46" s="1004">
        <f>+J46/I46</f>
        <v>0.2760765423556073</v>
      </c>
      <c r="L46" s="843" t="s">
        <v>1046</v>
      </c>
      <c r="M46" s="630" t="s">
        <v>2195</v>
      </c>
      <c r="N46" s="982">
        <v>13</v>
      </c>
      <c r="O46" s="981">
        <f>'[5].xls].xls].xls].xls].xls].xls].xls].'!$H$254/1000</f>
        <v>2105080.62264</v>
      </c>
      <c r="P46" s="981">
        <f>J46</f>
        <v>603871.1625399999</v>
      </c>
      <c r="Q46" s="990">
        <f>P46/O46</f>
        <v>0.2868636745051027</v>
      </c>
      <c r="R46" s="662" t="s">
        <v>1273</v>
      </c>
      <c r="S46" s="630" t="s">
        <v>1242</v>
      </c>
    </row>
    <row r="47" spans="1:19" s="36" customFormat="1" ht="45" customHeight="1">
      <c r="A47" s="710"/>
      <c r="B47" s="600"/>
      <c r="C47" s="600"/>
      <c r="D47" s="1017"/>
      <c r="E47" s="1015"/>
      <c r="F47" s="1016"/>
      <c r="G47" s="600"/>
      <c r="H47" s="28" t="s">
        <v>1276</v>
      </c>
      <c r="I47" s="913"/>
      <c r="J47" s="913"/>
      <c r="K47" s="1010"/>
      <c r="L47" s="600"/>
      <c r="M47" s="600"/>
      <c r="N47" s="979"/>
      <c r="O47" s="1011"/>
      <c r="P47" s="1011"/>
      <c r="Q47" s="991"/>
      <c r="R47" s="703"/>
      <c r="S47" s="687"/>
    </row>
    <row r="48" spans="1:19" s="36" customFormat="1" ht="48.75" customHeight="1">
      <c r="A48" s="710"/>
      <c r="B48" s="600"/>
      <c r="C48" s="600"/>
      <c r="D48" s="1017"/>
      <c r="E48" s="1015"/>
      <c r="F48" s="1016"/>
      <c r="G48" s="600"/>
      <c r="H48" s="28" t="s">
        <v>1277</v>
      </c>
      <c r="I48" s="913"/>
      <c r="J48" s="913"/>
      <c r="K48" s="1010"/>
      <c r="L48" s="600"/>
      <c r="M48" s="600"/>
      <c r="N48" s="979"/>
      <c r="O48" s="1011"/>
      <c r="P48" s="1011"/>
      <c r="Q48" s="991"/>
      <c r="R48" s="703"/>
      <c r="S48" s="687"/>
    </row>
    <row r="49" spans="1:19" s="36" customFormat="1" ht="55.5" customHeight="1">
      <c r="A49" s="710"/>
      <c r="B49" s="600"/>
      <c r="C49" s="600"/>
      <c r="D49" s="1017"/>
      <c r="E49" s="1015"/>
      <c r="F49" s="1016"/>
      <c r="G49" s="600"/>
      <c r="H49" s="28" t="s">
        <v>1270</v>
      </c>
      <c r="I49" s="913"/>
      <c r="J49" s="913"/>
      <c r="K49" s="1010"/>
      <c r="L49" s="600"/>
      <c r="M49" s="600"/>
      <c r="N49" s="979"/>
      <c r="O49" s="1011"/>
      <c r="P49" s="1011"/>
      <c r="Q49" s="991"/>
      <c r="R49" s="703"/>
      <c r="S49" s="687"/>
    </row>
    <row r="50" spans="1:19" s="36" customFormat="1" ht="36" customHeight="1">
      <c r="A50" s="710"/>
      <c r="B50" s="600"/>
      <c r="C50" s="600"/>
      <c r="D50" s="1017"/>
      <c r="E50" s="1015"/>
      <c r="F50" s="1016"/>
      <c r="G50" s="600"/>
      <c r="H50" s="28" t="s">
        <v>1272</v>
      </c>
      <c r="I50" s="913"/>
      <c r="J50" s="913"/>
      <c r="K50" s="1010"/>
      <c r="L50" s="600"/>
      <c r="M50" s="600"/>
      <c r="N50" s="979"/>
      <c r="O50" s="1011"/>
      <c r="P50" s="1011"/>
      <c r="Q50" s="991"/>
      <c r="R50" s="703"/>
      <c r="S50" s="687"/>
    </row>
    <row r="51" spans="1:19" s="36" customFormat="1" ht="45" customHeight="1">
      <c r="A51" s="711"/>
      <c r="B51" s="601"/>
      <c r="C51" s="601"/>
      <c r="D51" s="1007"/>
      <c r="E51" s="1009"/>
      <c r="F51" s="514"/>
      <c r="G51" s="601"/>
      <c r="H51" s="28" t="s">
        <v>1278</v>
      </c>
      <c r="I51" s="914"/>
      <c r="J51" s="914"/>
      <c r="K51" s="1005"/>
      <c r="L51" s="601"/>
      <c r="M51" s="601"/>
      <c r="N51" s="980"/>
      <c r="O51" s="987"/>
      <c r="P51" s="987"/>
      <c r="Q51" s="992"/>
      <c r="R51" s="663"/>
      <c r="S51" s="688"/>
    </row>
    <row r="52" spans="1:19" s="36" customFormat="1" ht="48" customHeight="1">
      <c r="A52" s="709" t="s">
        <v>639</v>
      </c>
      <c r="B52" s="630" t="s">
        <v>640</v>
      </c>
      <c r="C52" s="630" t="s">
        <v>641</v>
      </c>
      <c r="D52" s="1006">
        <v>2</v>
      </c>
      <c r="E52" s="1008">
        <v>2</v>
      </c>
      <c r="F52" s="513">
        <f>(E52*100%)/D52</f>
        <v>1</v>
      </c>
      <c r="G52" s="843" t="s">
        <v>1047</v>
      </c>
      <c r="H52" s="28" t="s">
        <v>1280</v>
      </c>
      <c r="I52" s="912">
        <f>'[5].xls].xls].xls].xls].xls].xls].xls].'!$F$239/1000</f>
        <v>44187.354</v>
      </c>
      <c r="J52" s="912">
        <f>'[5].xls].xls].xls].xls].xls].xls].xls].'!$I$239/1000</f>
        <v>42556.716</v>
      </c>
      <c r="K52" s="1004">
        <f>J52/I52</f>
        <v>0.9630971793423069</v>
      </c>
      <c r="L52" s="843" t="s">
        <v>1048</v>
      </c>
      <c r="M52" s="630" t="s">
        <v>2194</v>
      </c>
      <c r="N52" s="982">
        <v>0</v>
      </c>
      <c r="O52" s="981">
        <f>J52</f>
        <v>42556.716</v>
      </c>
      <c r="P52" s="981">
        <f>J52</f>
        <v>42556.716</v>
      </c>
      <c r="Q52" s="990">
        <f>P52/O52</f>
        <v>1</v>
      </c>
      <c r="R52" s="662"/>
      <c r="S52" s="630" t="s">
        <v>1242</v>
      </c>
    </row>
    <row r="53" spans="1:19" s="36" customFormat="1" ht="54.75" customHeight="1">
      <c r="A53" s="710"/>
      <c r="B53" s="600"/>
      <c r="C53" s="600"/>
      <c r="D53" s="1017"/>
      <c r="E53" s="1015"/>
      <c r="F53" s="1016"/>
      <c r="G53" s="600"/>
      <c r="H53" s="28" t="s">
        <v>1281</v>
      </c>
      <c r="I53" s="913"/>
      <c r="J53" s="913"/>
      <c r="K53" s="1010"/>
      <c r="L53" s="600"/>
      <c r="M53" s="600"/>
      <c r="N53" s="979"/>
      <c r="O53" s="1011"/>
      <c r="P53" s="979"/>
      <c r="Q53" s="991"/>
      <c r="R53" s="703"/>
      <c r="S53" s="600"/>
    </row>
    <row r="54" spans="1:19" s="36" customFormat="1" ht="60" customHeight="1">
      <c r="A54" s="711"/>
      <c r="B54" s="601"/>
      <c r="C54" s="601"/>
      <c r="D54" s="1007"/>
      <c r="E54" s="1009"/>
      <c r="F54" s="514"/>
      <c r="G54" s="601"/>
      <c r="H54" s="28" t="s">
        <v>1282</v>
      </c>
      <c r="I54" s="914"/>
      <c r="J54" s="914"/>
      <c r="K54" s="1005"/>
      <c r="L54" s="601"/>
      <c r="M54" s="601"/>
      <c r="N54" s="980"/>
      <c r="O54" s="987"/>
      <c r="P54" s="980"/>
      <c r="Q54" s="992"/>
      <c r="R54" s="663"/>
      <c r="S54" s="601"/>
    </row>
    <row r="55" spans="1:19" s="36" customFormat="1" ht="45" customHeight="1">
      <c r="A55" s="709" t="s">
        <v>642</v>
      </c>
      <c r="B55" s="630" t="s">
        <v>643</v>
      </c>
      <c r="C55" s="630" t="s">
        <v>644</v>
      </c>
      <c r="D55" s="1006">
        <v>2</v>
      </c>
      <c r="E55" s="1008">
        <v>3</v>
      </c>
      <c r="F55" s="513">
        <v>1</v>
      </c>
      <c r="G55" s="630" t="s">
        <v>1049</v>
      </c>
      <c r="H55" s="28" t="s">
        <v>1743</v>
      </c>
      <c r="I55" s="912">
        <f>('[5].xls].xls].xls].xls].xls].xls].xls].'!$F$240+'[5].xls].xls].xls].xls].xls].xls].xls].'!$F$241)/1000</f>
        <v>357190.61435000005</v>
      </c>
      <c r="J55" s="981">
        <f>('[5].xls].xls].xls].xls].xls].xls].xls].'!$I$240+'[5].xls].xls].xls].xls].xls].xls].xls].'!$I$241)/1000</f>
        <v>92514.194</v>
      </c>
      <c r="K55" s="1004">
        <f>+J55/I55</f>
        <v>0.2590051089902049</v>
      </c>
      <c r="L55" s="630" t="s">
        <v>1050</v>
      </c>
      <c r="M55" s="630" t="s">
        <v>2196</v>
      </c>
      <c r="N55" s="982">
        <v>2</v>
      </c>
      <c r="O55" s="912">
        <f>('[5].xls].xls].xls].xls].xls].xls].xls].'!$H$240+'[5].xls].xls].xls].xls].xls].xls].xls].'!$H$241)/1000</f>
        <v>356260.24909000006</v>
      </c>
      <c r="P55" s="981">
        <f>('[5].xls].xls].xls].xls].xls].xls].xls].'!$I$240+'[5].xls].xls].xls].xls].xls].xls].xls].'!$I$241)/1000</f>
        <v>92514.194</v>
      </c>
      <c r="Q55" s="990">
        <f>P55/O55</f>
        <v>0.25968149473961843</v>
      </c>
      <c r="R55" s="662" t="s">
        <v>1273</v>
      </c>
      <c r="S55" s="630" t="s">
        <v>1242</v>
      </c>
    </row>
    <row r="56" spans="1:19" s="36" customFormat="1" ht="36.75" customHeight="1">
      <c r="A56" s="710"/>
      <c r="B56" s="600"/>
      <c r="C56" s="600"/>
      <c r="D56" s="1017"/>
      <c r="E56" s="1015"/>
      <c r="F56" s="1016"/>
      <c r="G56" s="687"/>
      <c r="H56" s="630" t="s">
        <v>1744</v>
      </c>
      <c r="I56" s="913"/>
      <c r="J56" s="1011"/>
      <c r="K56" s="1010"/>
      <c r="L56" s="687"/>
      <c r="M56" s="600"/>
      <c r="N56" s="979"/>
      <c r="O56" s="913"/>
      <c r="P56" s="1011"/>
      <c r="Q56" s="991"/>
      <c r="R56" s="703"/>
      <c r="S56" s="687"/>
    </row>
    <row r="57" spans="1:19" s="36" customFormat="1" ht="36" customHeight="1">
      <c r="A57" s="711"/>
      <c r="B57" s="601"/>
      <c r="C57" s="601"/>
      <c r="D57" s="1007"/>
      <c r="E57" s="1009"/>
      <c r="F57" s="514"/>
      <c r="G57" s="688"/>
      <c r="H57" s="688"/>
      <c r="I57" s="914"/>
      <c r="J57" s="987"/>
      <c r="K57" s="1005"/>
      <c r="L57" s="688"/>
      <c r="M57" s="601"/>
      <c r="N57" s="980"/>
      <c r="O57" s="914"/>
      <c r="P57" s="987"/>
      <c r="Q57" s="992"/>
      <c r="R57" s="663"/>
      <c r="S57" s="688"/>
    </row>
    <row r="58" spans="1:19" s="36" customFormat="1" ht="46.5" customHeight="1">
      <c r="A58" s="709" t="s">
        <v>645</v>
      </c>
      <c r="B58" s="630" t="s">
        <v>646</v>
      </c>
      <c r="C58" s="630" t="s">
        <v>647</v>
      </c>
      <c r="D58" s="1012">
        <v>5</v>
      </c>
      <c r="E58" s="1008">
        <v>6</v>
      </c>
      <c r="F58" s="513">
        <v>1</v>
      </c>
      <c r="G58" s="630" t="s">
        <v>1051</v>
      </c>
      <c r="H58" s="343" t="s">
        <v>1747</v>
      </c>
      <c r="I58" s="912">
        <f>('[5].xls].xls].xls].xls].xls].xls].xls].'!$F$243+'[5].xls].xls].xls].xls].xls].xls].xls].'!$F$244+'[5].xls].xls].xls].xls].xls].xls].xls].'!$F$245+'[5].xls].xls].xls].xls].xls].xls].xls].'!$F$246)/1000</f>
        <v>3927403.3261700002</v>
      </c>
      <c r="J58" s="912">
        <f>('[5].xls].xls].xls].xls].xls].xls].xls].'!$I$243+'[5].xls].xls].xls].xls].xls].xls].xls].'!$I$244+'[5].xls].xls].xls].xls].xls].xls].xls].'!$I$245+'[5].xls].xls].xls].xls].xls].xls].xls].'!$I$246)/1000</f>
        <v>1677434.5983499999</v>
      </c>
      <c r="K58" s="1004">
        <f>+J58/I58</f>
        <v>0.4271103472293059</v>
      </c>
      <c r="L58" s="630" t="s">
        <v>1052</v>
      </c>
      <c r="M58" s="630" t="s">
        <v>2197</v>
      </c>
      <c r="N58" s="982">
        <v>8</v>
      </c>
      <c r="O58" s="981">
        <f>('[5].xls].xls].xls].xls].xls].xls].xls].'!$H$243+'[5].xls].xls].xls].xls].xls].xls].xls].'!$H$244+'[5].xls].xls].xls].xls].xls].xls].xls].'!$H$245+'[5].xls].xls].xls].xls].xls].xls].xls].'!$H$246)/1000</f>
        <v>1703566.84335</v>
      </c>
      <c r="P58" s="981">
        <f>J58</f>
        <v>1677434.5983499999</v>
      </c>
      <c r="Q58" s="990">
        <f>P58/O58</f>
        <v>0.9846602761130218</v>
      </c>
      <c r="R58" s="662" t="s">
        <v>1287</v>
      </c>
      <c r="S58" s="630" t="s">
        <v>1242</v>
      </c>
    </row>
    <row r="59" spans="1:19" s="36" customFormat="1" ht="43.5" customHeight="1">
      <c r="A59" s="710"/>
      <c r="B59" s="687"/>
      <c r="C59" s="687"/>
      <c r="D59" s="1013"/>
      <c r="E59" s="1015"/>
      <c r="F59" s="1016"/>
      <c r="G59" s="687"/>
      <c r="H59" s="343" t="s">
        <v>1745</v>
      </c>
      <c r="I59" s="913"/>
      <c r="J59" s="913"/>
      <c r="K59" s="1010"/>
      <c r="L59" s="687"/>
      <c r="M59" s="687"/>
      <c r="N59" s="979"/>
      <c r="O59" s="1011"/>
      <c r="P59" s="1011"/>
      <c r="Q59" s="991"/>
      <c r="R59" s="703"/>
      <c r="S59" s="687"/>
    </row>
    <row r="60" spans="1:19" s="36" customFormat="1" ht="45.75" customHeight="1">
      <c r="A60" s="711"/>
      <c r="B60" s="688"/>
      <c r="C60" s="688"/>
      <c r="D60" s="1014"/>
      <c r="E60" s="1009"/>
      <c r="F60" s="514"/>
      <c r="G60" s="688"/>
      <c r="H60" s="141" t="s">
        <v>1746</v>
      </c>
      <c r="I60" s="914"/>
      <c r="J60" s="914"/>
      <c r="K60" s="1005"/>
      <c r="L60" s="688"/>
      <c r="M60" s="688"/>
      <c r="N60" s="980"/>
      <c r="O60" s="987"/>
      <c r="P60" s="987"/>
      <c r="Q60" s="992"/>
      <c r="R60" s="663"/>
      <c r="S60" s="688"/>
    </row>
    <row r="61" spans="1:19" s="36" customFormat="1" ht="71.25" customHeight="1">
      <c r="A61" s="61" t="s">
        <v>648</v>
      </c>
      <c r="B61" s="28" t="s">
        <v>649</v>
      </c>
      <c r="C61" s="28" t="s">
        <v>650</v>
      </c>
      <c r="D61" s="161">
        <v>1</v>
      </c>
      <c r="E61" s="161">
        <v>0</v>
      </c>
      <c r="F61" s="159">
        <f>(E61*100%)/D61</f>
        <v>0</v>
      </c>
      <c r="G61" s="986" t="s">
        <v>1053</v>
      </c>
      <c r="H61" s="141" t="s">
        <v>1283</v>
      </c>
      <c r="I61" s="912">
        <f>('[5].xls].xls].xls].xls].xls].xls].xls].'!$F$247+'[5].xls].xls].xls].xls].xls].xls].xls].'!$F$248)/1000</f>
        <v>119908.62</v>
      </c>
      <c r="J61" s="912">
        <f>'[5].xls].xls].xls].xls].xls].xls].xls].'!$I$248/1000</f>
        <v>14875.316</v>
      </c>
      <c r="K61" s="1004">
        <f>+J61/I61</f>
        <v>0.12405543488032805</v>
      </c>
      <c r="L61" s="983" t="s">
        <v>1054</v>
      </c>
      <c r="M61" s="28" t="s">
        <v>2198</v>
      </c>
      <c r="N61" s="982">
        <v>1</v>
      </c>
      <c r="O61" s="981">
        <f>'[1]F3 INV. MPIOS X PTO. ENTREGADO'!$F$138/1000</f>
        <v>14875.316</v>
      </c>
      <c r="P61" s="981">
        <f>J61</f>
        <v>14875.316</v>
      </c>
      <c r="Q61" s="990">
        <f>P61/O61</f>
        <v>1</v>
      </c>
      <c r="R61" s="662" t="s">
        <v>1285</v>
      </c>
      <c r="S61" s="676" t="s">
        <v>1242</v>
      </c>
    </row>
    <row r="62" spans="1:19" s="36" customFormat="1" ht="70.5" customHeight="1">
      <c r="A62" s="61" t="s">
        <v>651</v>
      </c>
      <c r="B62" s="28" t="s">
        <v>652</v>
      </c>
      <c r="C62" s="28" t="s">
        <v>653</v>
      </c>
      <c r="D62" s="161">
        <v>4</v>
      </c>
      <c r="E62" s="161">
        <v>9</v>
      </c>
      <c r="F62" s="159">
        <v>1</v>
      </c>
      <c r="G62" s="986"/>
      <c r="H62" s="619" t="s">
        <v>1274</v>
      </c>
      <c r="I62" s="913"/>
      <c r="J62" s="913"/>
      <c r="K62" s="1010"/>
      <c r="L62" s="983"/>
      <c r="M62" s="28" t="s">
        <v>2199</v>
      </c>
      <c r="N62" s="979"/>
      <c r="O62" s="1011"/>
      <c r="P62" s="1011"/>
      <c r="Q62" s="991"/>
      <c r="R62" s="703"/>
      <c r="S62" s="676"/>
    </row>
    <row r="63" spans="1:19" s="36" customFormat="1" ht="121.5" customHeight="1">
      <c r="A63" s="61" t="s">
        <v>654</v>
      </c>
      <c r="B63" s="28" t="s">
        <v>655</v>
      </c>
      <c r="C63" s="28" t="s">
        <v>656</v>
      </c>
      <c r="D63" s="161">
        <v>2</v>
      </c>
      <c r="E63" s="161">
        <f>1+9</f>
        <v>10</v>
      </c>
      <c r="F63" s="159">
        <v>1</v>
      </c>
      <c r="G63" s="986"/>
      <c r="H63" s="621"/>
      <c r="I63" s="914"/>
      <c r="J63" s="914"/>
      <c r="K63" s="1005"/>
      <c r="L63" s="983"/>
      <c r="M63" s="28" t="s">
        <v>2200</v>
      </c>
      <c r="N63" s="980"/>
      <c r="O63" s="987"/>
      <c r="P63" s="987"/>
      <c r="Q63" s="992"/>
      <c r="R63" s="663"/>
      <c r="S63" s="676"/>
    </row>
    <row r="64" spans="1:19" s="36" customFormat="1" ht="78" customHeight="1">
      <c r="A64" s="709" t="s">
        <v>657</v>
      </c>
      <c r="B64" s="630" t="s">
        <v>658</v>
      </c>
      <c r="C64" s="630" t="s">
        <v>659</v>
      </c>
      <c r="D64" s="1006">
        <v>10</v>
      </c>
      <c r="E64" s="1008">
        <v>25</v>
      </c>
      <c r="F64" s="513">
        <v>1</v>
      </c>
      <c r="G64" s="630" t="s">
        <v>1055</v>
      </c>
      <c r="H64" s="310" t="s">
        <v>1748</v>
      </c>
      <c r="I64" s="912">
        <f>'[5].xls].xls].xls].xls].xls].xls].xls].'!$F$249/1000</f>
        <v>324408.504</v>
      </c>
      <c r="J64" s="912">
        <f>'[5].xls].xls].xls].xls].xls].xls].xls].'!$I$249/1000</f>
        <v>294081.783</v>
      </c>
      <c r="K64" s="1004">
        <f>+J64/I64</f>
        <v>0.9065168741692419</v>
      </c>
      <c r="L64" s="843" t="s">
        <v>1056</v>
      </c>
      <c r="M64" s="630" t="s">
        <v>2201</v>
      </c>
      <c r="N64" s="982">
        <v>11</v>
      </c>
      <c r="O64" s="981">
        <f>'[5].xls].xls].xls].xls].xls].xls].xls].'!$H$249/1000</f>
        <v>299294.783</v>
      </c>
      <c r="P64" s="981">
        <f>J64</f>
        <v>294081.783</v>
      </c>
      <c r="Q64" s="990">
        <f>P64/O64</f>
        <v>0.9825823893495664</v>
      </c>
      <c r="R64" s="662" t="s">
        <v>1286</v>
      </c>
      <c r="S64" s="630" t="s">
        <v>1242</v>
      </c>
    </row>
    <row r="65" spans="1:19" s="36" customFormat="1" ht="94.5" customHeight="1">
      <c r="A65" s="711"/>
      <c r="B65" s="688"/>
      <c r="C65" s="688"/>
      <c r="D65" s="1007"/>
      <c r="E65" s="1009"/>
      <c r="F65" s="514"/>
      <c r="G65" s="688"/>
      <c r="H65" s="141" t="s">
        <v>1253</v>
      </c>
      <c r="I65" s="914"/>
      <c r="J65" s="914"/>
      <c r="K65" s="1005"/>
      <c r="L65" s="845"/>
      <c r="M65" s="688"/>
      <c r="N65" s="980"/>
      <c r="O65" s="987"/>
      <c r="P65" s="987"/>
      <c r="Q65" s="992"/>
      <c r="R65" s="663"/>
      <c r="S65" s="688"/>
    </row>
    <row r="66" spans="1:19" s="36" customFormat="1" ht="120.75" customHeight="1">
      <c r="A66" s="61" t="s">
        <v>660</v>
      </c>
      <c r="B66" s="28" t="s">
        <v>661</v>
      </c>
      <c r="C66" s="28" t="s">
        <v>662</v>
      </c>
      <c r="D66" s="155">
        <v>1</v>
      </c>
      <c r="E66" s="160">
        <v>1</v>
      </c>
      <c r="F66" s="159">
        <f>(E66*100%)/D66</f>
        <v>1</v>
      </c>
      <c r="G66" s="142" t="s">
        <v>1057</v>
      </c>
      <c r="H66" s="141" t="s">
        <v>1290</v>
      </c>
      <c r="I66" s="163">
        <f>'[5].xls].xls].xls].xls].xls].xls].xls].'!$F$253/1000</f>
        <v>38414</v>
      </c>
      <c r="J66" s="162">
        <f>'[5].xls].xls].xls].xls].xls].xls].xls].'!$I$252/1000</f>
        <v>37689.32</v>
      </c>
      <c r="K66" s="344">
        <f>J66/I66</f>
        <v>0.9811350028635393</v>
      </c>
      <c r="L66" s="8" t="s">
        <v>1058</v>
      </c>
      <c r="M66" s="28" t="s">
        <v>2202</v>
      </c>
      <c r="N66" s="139">
        <v>1</v>
      </c>
      <c r="O66" s="122">
        <f>'[5].xls].xls].xls].xls].xls].xls].xls].'!$H$252/1000</f>
        <v>38414</v>
      </c>
      <c r="P66" s="162">
        <f>J66</f>
        <v>37689.32</v>
      </c>
      <c r="Q66" s="110">
        <f>P66/O66</f>
        <v>0.9811350028635393</v>
      </c>
      <c r="R66" s="31"/>
      <c r="S66" s="28" t="s">
        <v>1242</v>
      </c>
    </row>
    <row r="67" spans="1:19" s="45" customFormat="1" ht="18.75" customHeight="1">
      <c r="A67" s="519" t="s">
        <v>1093</v>
      </c>
      <c r="B67" s="520"/>
      <c r="C67" s="268"/>
      <c r="D67" s="131"/>
      <c r="E67" s="131"/>
      <c r="F67" s="312">
        <v>0.53</v>
      </c>
      <c r="G67" s="107">
        <v>19</v>
      </c>
      <c r="H67" s="28"/>
      <c r="I67" s="106">
        <f>SUM(I8:I66)</f>
        <v>83177309.87540999</v>
      </c>
      <c r="J67" s="106">
        <f>SUM(J8:J66)</f>
        <v>17234471.772010002</v>
      </c>
      <c r="K67" s="311">
        <f>J67/I67</f>
        <v>0.2072016009873997</v>
      </c>
      <c r="L67" s="28"/>
      <c r="M67" s="23"/>
      <c r="N67" s="106">
        <v>207</v>
      </c>
      <c r="O67" s="106">
        <f>SUM(O8:O66)</f>
        <v>38883638.83218</v>
      </c>
      <c r="P67" s="106">
        <f>SUM(P8:P66)</f>
        <v>17234471.772010002</v>
      </c>
      <c r="Q67" s="297">
        <f>P67/O67</f>
        <v>0.44323196824230343</v>
      </c>
      <c r="R67" s="30"/>
      <c r="S67" s="28"/>
    </row>
    <row r="68" spans="1:19" s="45" customFormat="1" ht="28.5" customHeight="1">
      <c r="A68" s="519" t="s">
        <v>6</v>
      </c>
      <c r="B68" s="520"/>
      <c r="C68" s="269"/>
      <c r="D68" s="132"/>
      <c r="E68" s="132"/>
      <c r="F68" s="132"/>
      <c r="G68" s="55"/>
      <c r="H68" s="55"/>
      <c r="I68" s="90"/>
      <c r="J68" s="90"/>
      <c r="K68" s="314"/>
      <c r="L68" s="55"/>
      <c r="M68" s="55"/>
      <c r="N68" s="55"/>
      <c r="O68" s="55"/>
      <c r="P68" s="55"/>
      <c r="Q68" s="320"/>
      <c r="R68" s="19"/>
      <c r="S68" s="55"/>
    </row>
    <row r="69" spans="1:19" s="45" customFormat="1" ht="22.5" customHeight="1">
      <c r="A69" s="549" t="s">
        <v>1713</v>
      </c>
      <c r="B69" s="550"/>
      <c r="C69" s="270"/>
      <c r="D69" s="255"/>
      <c r="E69" s="255"/>
      <c r="F69" s="255"/>
      <c r="G69" s="55"/>
      <c r="H69" s="55"/>
      <c r="I69" s="90"/>
      <c r="J69" s="90"/>
      <c r="K69" s="314"/>
      <c r="L69" s="55"/>
      <c r="M69" s="55"/>
      <c r="N69" s="55"/>
      <c r="O69" s="55"/>
      <c r="P69" s="55"/>
      <c r="Q69" s="320"/>
      <c r="R69" s="167"/>
      <c r="S69" s="55"/>
    </row>
    <row r="70" spans="1:19" s="46" customFormat="1" ht="24" customHeight="1">
      <c r="A70" s="549"/>
      <c r="B70" s="550"/>
      <c r="C70" s="16"/>
      <c r="D70" s="16"/>
      <c r="E70" s="16"/>
      <c r="F70" s="16"/>
      <c r="G70" s="66"/>
      <c r="H70" s="66"/>
      <c r="I70" s="66"/>
      <c r="J70" s="66"/>
      <c r="K70" s="345"/>
      <c r="L70" s="66"/>
      <c r="M70" s="66"/>
      <c r="N70" s="66"/>
      <c r="O70" s="66"/>
      <c r="P70" s="66"/>
      <c r="Q70" s="345"/>
      <c r="R70" s="66"/>
      <c r="S70" s="66"/>
    </row>
    <row r="71" spans="1:19" s="46" customFormat="1" ht="28.5" customHeight="1">
      <c r="A71" s="549" t="s">
        <v>7</v>
      </c>
      <c r="B71" s="550"/>
      <c r="C71" s="278" t="s">
        <v>1284</v>
      </c>
      <c r="D71" s="129"/>
      <c r="E71" s="129"/>
      <c r="F71" s="129"/>
      <c r="G71" s="101"/>
      <c r="H71" s="101"/>
      <c r="I71" s="101"/>
      <c r="J71" s="101"/>
      <c r="K71" s="346"/>
      <c r="L71" s="66"/>
      <c r="M71" s="66"/>
      <c r="N71" s="66"/>
      <c r="O71" s="66"/>
      <c r="P71" s="66"/>
      <c r="Q71" s="345"/>
      <c r="R71" s="66"/>
      <c r="S71" s="66"/>
    </row>
    <row r="72" spans="1:17" s="46" customFormat="1" ht="14.25">
      <c r="A72" s="62"/>
      <c r="K72" s="313"/>
      <c r="Q72" s="313"/>
    </row>
    <row r="73" spans="1:17" s="46" customFormat="1" ht="14.25">
      <c r="A73" s="62"/>
      <c r="K73" s="313"/>
      <c r="Q73" s="313"/>
    </row>
    <row r="74" spans="1:17" s="46" customFormat="1" ht="14.25">
      <c r="A74" s="62"/>
      <c r="K74" s="313"/>
      <c r="Q74" s="313"/>
    </row>
    <row r="75" spans="1:17" s="46" customFormat="1" ht="14.25">
      <c r="A75" s="62"/>
      <c r="K75" s="313"/>
      <c r="Q75" s="313"/>
    </row>
    <row r="76" spans="1:17" s="46" customFormat="1" ht="14.25">
      <c r="A76" s="62"/>
      <c r="K76" s="313"/>
      <c r="Q76" s="313"/>
    </row>
    <row r="77" spans="1:17" s="46" customFormat="1" ht="14.25">
      <c r="A77" s="62"/>
      <c r="J77" s="250"/>
      <c r="K77" s="313"/>
      <c r="O77" s="296"/>
      <c r="Q77" s="313"/>
    </row>
    <row r="78" spans="1:17" s="46" customFormat="1" ht="14.25">
      <c r="A78" s="62"/>
      <c r="K78" s="313"/>
      <c r="Q78" s="313"/>
    </row>
    <row r="79" spans="1:17" s="46" customFormat="1" ht="14.25">
      <c r="A79" s="62"/>
      <c r="K79" s="313"/>
      <c r="Q79" s="313"/>
    </row>
    <row r="80" spans="1:17" s="46" customFormat="1" ht="14.25">
      <c r="A80" s="62"/>
      <c r="K80" s="313"/>
      <c r="Q80" s="313"/>
    </row>
    <row r="81" spans="1:17" s="46" customFormat="1" ht="14.25">
      <c r="A81" s="62"/>
      <c r="K81" s="313"/>
      <c r="Q81" s="313"/>
    </row>
    <row r="82" spans="1:17" s="46" customFormat="1" ht="14.25">
      <c r="A82" s="62"/>
      <c r="K82" s="313"/>
      <c r="Q82" s="313"/>
    </row>
    <row r="83" spans="1:17" s="46" customFormat="1" ht="14.25">
      <c r="A83" s="62"/>
      <c r="K83" s="313"/>
      <c r="Q83" s="313"/>
    </row>
    <row r="84" spans="1:17" s="46" customFormat="1" ht="14.25">
      <c r="A84" s="62"/>
      <c r="K84" s="313"/>
      <c r="Q84" s="313"/>
    </row>
    <row r="85" spans="1:17" s="46" customFormat="1" ht="14.25">
      <c r="A85" s="62"/>
      <c r="K85" s="313"/>
      <c r="Q85" s="313"/>
    </row>
    <row r="86" spans="1:17" s="46" customFormat="1" ht="14.25">
      <c r="A86" s="62"/>
      <c r="K86" s="313"/>
      <c r="Q86" s="313"/>
    </row>
    <row r="87" spans="1:17" s="46" customFormat="1" ht="14.25">
      <c r="A87" s="62"/>
      <c r="K87" s="313"/>
      <c r="Q87" s="313"/>
    </row>
    <row r="88" spans="1:17" s="46" customFormat="1" ht="14.25">
      <c r="A88" s="62"/>
      <c r="K88" s="313"/>
      <c r="Q88" s="313"/>
    </row>
    <row r="89" spans="1:17" s="46" customFormat="1" ht="14.25">
      <c r="A89" s="62"/>
      <c r="K89" s="313"/>
      <c r="Q89" s="313"/>
    </row>
    <row r="90" spans="1:17" s="46" customFormat="1" ht="14.25">
      <c r="A90" s="62"/>
      <c r="K90" s="313"/>
      <c r="Q90" s="313"/>
    </row>
    <row r="91" spans="1:17" s="46" customFormat="1" ht="14.25">
      <c r="A91" s="62"/>
      <c r="K91" s="313"/>
      <c r="Q91" s="313"/>
    </row>
    <row r="92" spans="1:17" s="46" customFormat="1" ht="14.25">
      <c r="A92" s="62"/>
      <c r="K92" s="313"/>
      <c r="Q92" s="313"/>
    </row>
    <row r="93" spans="1:17" s="46" customFormat="1" ht="14.25">
      <c r="A93" s="62"/>
      <c r="K93" s="313"/>
      <c r="Q93" s="313"/>
    </row>
    <row r="94" spans="1:17" s="46" customFormat="1" ht="14.25">
      <c r="A94" s="62"/>
      <c r="K94" s="313"/>
      <c r="Q94" s="313"/>
    </row>
    <row r="95" spans="1:17" s="46" customFormat="1" ht="14.25">
      <c r="A95" s="62"/>
      <c r="K95" s="313"/>
      <c r="Q95" s="313"/>
    </row>
    <row r="96" spans="1:17" s="46" customFormat="1" ht="14.25">
      <c r="A96" s="62"/>
      <c r="K96" s="313"/>
      <c r="Q96" s="313"/>
    </row>
    <row r="97" spans="1:17" s="46" customFormat="1" ht="14.25">
      <c r="A97" s="62"/>
      <c r="K97" s="313"/>
      <c r="Q97" s="313"/>
    </row>
  </sheetData>
  <sheetProtection/>
  <mergeCells count="277">
    <mergeCell ref="N8:N14"/>
    <mergeCell ref="R15:R17"/>
    <mergeCell ref="S15:S17"/>
    <mergeCell ref="A15:A17"/>
    <mergeCell ref="B15:B17"/>
    <mergeCell ref="C15:C17"/>
    <mergeCell ref="E15:E17"/>
    <mergeCell ref="F15:F17"/>
    <mergeCell ref="L15:L17"/>
    <mergeCell ref="H15:H17"/>
    <mergeCell ref="B6:B7"/>
    <mergeCell ref="L18:L22"/>
    <mergeCell ref="A13:A14"/>
    <mergeCell ref="B13:B14"/>
    <mergeCell ref="C13:C14"/>
    <mergeCell ref="D13:D14"/>
    <mergeCell ref="E13:E14"/>
    <mergeCell ref="F13:F14"/>
    <mergeCell ref="I8:I14"/>
    <mergeCell ref="J8:J14"/>
    <mergeCell ref="F33:F35"/>
    <mergeCell ref="D39:D43"/>
    <mergeCell ref="M44:M45"/>
    <mergeCell ref="A2:S2"/>
    <mergeCell ref="A3:S3"/>
    <mergeCell ref="M18:M22"/>
    <mergeCell ref="N18:N22"/>
    <mergeCell ref="O18:O22"/>
    <mergeCell ref="F6:F7"/>
    <mergeCell ref="A6:A7"/>
    <mergeCell ref="C39:C43"/>
    <mergeCell ref="B25:B26"/>
    <mergeCell ref="A69:B69"/>
    <mergeCell ref="A67:B67"/>
    <mergeCell ref="A68:B68"/>
    <mergeCell ref="J18:J22"/>
    <mergeCell ref="F18:F22"/>
    <mergeCell ref="I23:I26"/>
    <mergeCell ref="G61:G63"/>
    <mergeCell ref="F25:F26"/>
    <mergeCell ref="K23:K26"/>
    <mergeCell ref="E25:E26"/>
    <mergeCell ref="A71:B71"/>
    <mergeCell ref="A70:B70"/>
    <mergeCell ref="A18:A22"/>
    <mergeCell ref="B18:B22"/>
    <mergeCell ref="C18:C22"/>
    <mergeCell ref="D18:D22"/>
    <mergeCell ref="A39:A43"/>
    <mergeCell ref="B39:B43"/>
    <mergeCell ref="C6:C7"/>
    <mergeCell ref="E6:E7"/>
    <mergeCell ref="G8:G14"/>
    <mergeCell ref="D15:D17"/>
    <mergeCell ref="M15:M17"/>
    <mergeCell ref="K18:K22"/>
    <mergeCell ref="M13:M14"/>
    <mergeCell ref="K8:K14"/>
    <mergeCell ref="L8:L14"/>
    <mergeCell ref="O8:O14"/>
    <mergeCell ref="P8:P14"/>
    <mergeCell ref="Q8:Q14"/>
    <mergeCell ref="R8:R14"/>
    <mergeCell ref="S8:S14"/>
    <mergeCell ref="N37:N38"/>
    <mergeCell ref="S27:S32"/>
    <mergeCell ref="S23:S26"/>
    <mergeCell ref="P18:P22"/>
    <mergeCell ref="S18:S22"/>
    <mergeCell ref="K27:K32"/>
    <mergeCell ref="N23:N26"/>
    <mergeCell ref="L27:L32"/>
    <mergeCell ref="G18:G22"/>
    <mergeCell ref="G33:G35"/>
    <mergeCell ref="J27:J32"/>
    <mergeCell ref="I27:I32"/>
    <mergeCell ref="G27:G32"/>
    <mergeCell ref="M25:M26"/>
    <mergeCell ref="J23:J26"/>
    <mergeCell ref="R61:R63"/>
    <mergeCell ref="O23:O26"/>
    <mergeCell ref="P23:P26"/>
    <mergeCell ref="O27:O32"/>
    <mergeCell ref="Q61:Q63"/>
    <mergeCell ref="Q55:Q57"/>
    <mergeCell ref="R55:R57"/>
    <mergeCell ref="Q58:Q60"/>
    <mergeCell ref="R58:R60"/>
    <mergeCell ref="R18:R22"/>
    <mergeCell ref="O33:O35"/>
    <mergeCell ref="M46:M51"/>
    <mergeCell ref="N46:N51"/>
    <mergeCell ref="O37:O38"/>
    <mergeCell ref="R44:R45"/>
    <mergeCell ref="N27:N32"/>
    <mergeCell ref="Q18:Q22"/>
    <mergeCell ref="R23:R26"/>
    <mergeCell ref="M33:M35"/>
    <mergeCell ref="S61:S63"/>
    <mergeCell ref="L39:L45"/>
    <mergeCell ref="N39:N43"/>
    <mergeCell ref="P39:P43"/>
    <mergeCell ref="Q39:Q43"/>
    <mergeCell ref="R39:R43"/>
    <mergeCell ref="P61:P63"/>
    <mergeCell ref="S52:S54"/>
    <mergeCell ref="Q52:Q54"/>
    <mergeCell ref="R52:R54"/>
    <mergeCell ref="L61:L63"/>
    <mergeCell ref="J33:J35"/>
    <mergeCell ref="G39:G43"/>
    <mergeCell ref="C46:C51"/>
    <mergeCell ref="I6:I7"/>
    <mergeCell ref="J6:J7"/>
    <mergeCell ref="K6:K7"/>
    <mergeCell ref="G23:G26"/>
    <mergeCell ref="C25:C26"/>
    <mergeCell ref="D25:D26"/>
    <mergeCell ref="A4:G4"/>
    <mergeCell ref="H4:L4"/>
    <mergeCell ref="M4:O4"/>
    <mergeCell ref="P4:S4"/>
    <mergeCell ref="A5:F5"/>
    <mergeCell ref="P6:P7"/>
    <mergeCell ref="N6:N7"/>
    <mergeCell ref="G6:G7"/>
    <mergeCell ref="D6:D7"/>
    <mergeCell ref="S5:S7"/>
    <mergeCell ref="G5:M5"/>
    <mergeCell ref="N5:R5"/>
    <mergeCell ref="H6:H7"/>
    <mergeCell ref="O6:O7"/>
    <mergeCell ref="L6:L7"/>
    <mergeCell ref="M6:M7"/>
    <mergeCell ref="Q6:Q7"/>
    <mergeCell ref="R6:R7"/>
    <mergeCell ref="L23:L26"/>
    <mergeCell ref="Q23:Q26"/>
    <mergeCell ref="I18:I22"/>
    <mergeCell ref="E18:E22"/>
    <mergeCell ref="H31:H32"/>
    <mergeCell ref="A33:A35"/>
    <mergeCell ref="B33:B35"/>
    <mergeCell ref="C33:C35"/>
    <mergeCell ref="D33:D35"/>
    <mergeCell ref="E33:E35"/>
    <mergeCell ref="E39:E43"/>
    <mergeCell ref="O39:O43"/>
    <mergeCell ref="I39:I43"/>
    <mergeCell ref="J39:J43"/>
    <mergeCell ref="K39:K43"/>
    <mergeCell ref="F39:F43"/>
    <mergeCell ref="M39:M43"/>
    <mergeCell ref="A44:A45"/>
    <mergeCell ref="B44:B45"/>
    <mergeCell ref="C44:C45"/>
    <mergeCell ref="D44:D45"/>
    <mergeCell ref="E44:E45"/>
    <mergeCell ref="F44:F45"/>
    <mergeCell ref="G46:G51"/>
    <mergeCell ref="P46:P51"/>
    <mergeCell ref="Q46:Q51"/>
    <mergeCell ref="R46:R51"/>
    <mergeCell ref="S46:S51"/>
    <mergeCell ref="G44:G45"/>
    <mergeCell ref="I44:I45"/>
    <mergeCell ref="J44:J45"/>
    <mergeCell ref="K44:K45"/>
    <mergeCell ref="N44:N45"/>
    <mergeCell ref="I46:I51"/>
    <mergeCell ref="J46:J51"/>
    <mergeCell ref="K46:K51"/>
    <mergeCell ref="L46:L51"/>
    <mergeCell ref="S39:S43"/>
    <mergeCell ref="S44:S45"/>
    <mergeCell ref="O44:O45"/>
    <mergeCell ref="O46:O51"/>
    <mergeCell ref="P44:P45"/>
    <mergeCell ref="Q44:Q45"/>
    <mergeCell ref="F46:F51"/>
    <mergeCell ref="E46:E51"/>
    <mergeCell ref="D46:D51"/>
    <mergeCell ref="A52:A54"/>
    <mergeCell ref="B52:B54"/>
    <mergeCell ref="C52:C54"/>
    <mergeCell ref="B46:B51"/>
    <mergeCell ref="A46:A51"/>
    <mergeCell ref="G52:G54"/>
    <mergeCell ref="D52:D54"/>
    <mergeCell ref="E52:E54"/>
    <mergeCell ref="F52:F54"/>
    <mergeCell ref="I52:I54"/>
    <mergeCell ref="J52:J54"/>
    <mergeCell ref="K52:K54"/>
    <mergeCell ref="L52:L54"/>
    <mergeCell ref="M52:M54"/>
    <mergeCell ref="N52:N54"/>
    <mergeCell ref="O52:O54"/>
    <mergeCell ref="P52:P54"/>
    <mergeCell ref="I61:I63"/>
    <mergeCell ref="J61:J63"/>
    <mergeCell ref="K61:K63"/>
    <mergeCell ref="N61:N63"/>
    <mergeCell ref="O61:O63"/>
    <mergeCell ref="P37:P38"/>
    <mergeCell ref="M55:M57"/>
    <mergeCell ref="N55:N57"/>
    <mergeCell ref="O55:O57"/>
    <mergeCell ref="P55:P57"/>
    <mergeCell ref="G37:G38"/>
    <mergeCell ref="H37:H38"/>
    <mergeCell ref="I37:I38"/>
    <mergeCell ref="J37:J38"/>
    <mergeCell ref="K37:K38"/>
    <mergeCell ref="N33:N35"/>
    <mergeCell ref="L37:L38"/>
    <mergeCell ref="I33:I35"/>
    <mergeCell ref="K33:K35"/>
    <mergeCell ref="L33:L35"/>
    <mergeCell ref="S33:S35"/>
    <mergeCell ref="Q37:Q38"/>
    <mergeCell ref="R37:R38"/>
    <mergeCell ref="S37:S38"/>
    <mergeCell ref="P33:P35"/>
    <mergeCell ref="Q27:Q32"/>
    <mergeCell ref="Q33:Q35"/>
    <mergeCell ref="R33:R35"/>
    <mergeCell ref="R27:R32"/>
    <mergeCell ref="P27:P32"/>
    <mergeCell ref="A55:A57"/>
    <mergeCell ref="B55:B57"/>
    <mergeCell ref="C55:C57"/>
    <mergeCell ref="D55:D57"/>
    <mergeCell ref="E55:E57"/>
    <mergeCell ref="F55:F57"/>
    <mergeCell ref="G55:G57"/>
    <mergeCell ref="H56:H57"/>
    <mergeCell ref="I55:I57"/>
    <mergeCell ref="J55:J57"/>
    <mergeCell ref="K55:K57"/>
    <mergeCell ref="L55:L57"/>
    <mergeCell ref="S55:S57"/>
    <mergeCell ref="A58:A60"/>
    <mergeCell ref="B58:B60"/>
    <mergeCell ref="C58:C60"/>
    <mergeCell ref="D58:D60"/>
    <mergeCell ref="E58:E60"/>
    <mergeCell ref="F58:F60"/>
    <mergeCell ref="G58:G60"/>
    <mergeCell ref="I58:I60"/>
    <mergeCell ref="J58:J60"/>
    <mergeCell ref="K58:K60"/>
    <mergeCell ref="L58:L60"/>
    <mergeCell ref="M58:M60"/>
    <mergeCell ref="N58:N60"/>
    <mergeCell ref="O58:O60"/>
    <mergeCell ref="P58:P60"/>
    <mergeCell ref="S58:S60"/>
    <mergeCell ref="H62:H63"/>
    <mergeCell ref="A64:A65"/>
    <mergeCell ref="B64:B65"/>
    <mergeCell ref="C64:C65"/>
    <mergeCell ref="D64:D65"/>
    <mergeCell ref="E64:E65"/>
    <mergeCell ref="F64:F65"/>
    <mergeCell ref="G64:G65"/>
    <mergeCell ref="I64:I65"/>
    <mergeCell ref="P64:P65"/>
    <mergeCell ref="Q64:Q65"/>
    <mergeCell ref="R64:R65"/>
    <mergeCell ref="S64:S65"/>
    <mergeCell ref="J64:J65"/>
    <mergeCell ref="K64:K65"/>
    <mergeCell ref="L64:L65"/>
    <mergeCell ref="M64:M65"/>
    <mergeCell ref="N64:N65"/>
    <mergeCell ref="O64:O65"/>
  </mergeCells>
  <dataValidations count="1">
    <dataValidation type="decimal" allowBlank="1" showInputMessage="1" showErrorMessage="1" sqref="I8:J8 O8">
      <formula1>0</formula1>
      <formula2>99999999999999</formula2>
    </dataValidation>
  </dataValidations>
  <printOptions/>
  <pageMargins left="1.299212598425197" right="0.11811023622047245" top="0.7480314960629921" bottom="0.7480314960629921" header="0.31496062992125984" footer="0.31496062992125984"/>
  <pageSetup horizontalDpi="600" verticalDpi="600" orientation="landscape" paperSize="5" scale="55" r:id="rId3"/>
  <ignoredErrors>
    <ignoredError sqref="P55" formula="1"/>
  </ignoredErrors>
  <legacyDrawing r:id="rId2"/>
</worksheet>
</file>

<file path=xl/worksheets/sheet14.xml><?xml version="1.0" encoding="utf-8"?>
<worksheet xmlns="http://schemas.openxmlformats.org/spreadsheetml/2006/main" xmlns:r="http://schemas.openxmlformats.org/officeDocument/2006/relationships">
  <dimension ref="A1:AA63"/>
  <sheetViews>
    <sheetView zoomScale="60" zoomScaleNormal="60" zoomScalePageLayoutView="0" workbookViewId="0" topLeftCell="A51">
      <selection activeCell="H56" sqref="H56:H58"/>
    </sheetView>
  </sheetViews>
  <sheetFormatPr defaultColWidth="11.421875" defaultRowHeight="15"/>
  <cols>
    <col min="1" max="1" width="20.140625" style="62" customWidth="1"/>
    <col min="2" max="2" width="32.7109375" style="46" customWidth="1"/>
    <col min="3" max="3" width="31.140625" style="46" customWidth="1"/>
    <col min="4" max="4" width="20.8515625" style="46" customWidth="1"/>
    <col min="5" max="5" width="19.28125" style="46" customWidth="1"/>
    <col min="6" max="6" width="17.140625" style="46" customWidth="1"/>
    <col min="7" max="7" width="39.421875" style="46" customWidth="1"/>
    <col min="8" max="8" width="31.28125" style="46" customWidth="1"/>
    <col min="9" max="9" width="21.00390625" style="46" customWidth="1"/>
    <col min="10" max="10" width="20.57421875" style="46" customWidth="1"/>
    <col min="11" max="11" width="17.28125" style="46" customWidth="1"/>
    <col min="12" max="12" width="30.28125" style="46" customWidth="1"/>
    <col min="13" max="13" width="32.57421875" style="46" customWidth="1"/>
    <col min="14" max="14" width="17.57421875" style="46" customWidth="1"/>
    <col min="15" max="15" width="21.7109375" style="46" customWidth="1"/>
    <col min="16" max="16" width="22.57421875" style="46" customWidth="1"/>
    <col min="17" max="17" width="16.7109375" style="46" customWidth="1"/>
    <col min="18" max="18" width="14.28125" style="62" customWidth="1"/>
    <col min="19" max="19" width="31.00390625" style="46" customWidth="1"/>
    <col min="20" max="16384" width="11.421875" style="46" customWidth="1"/>
  </cols>
  <sheetData>
    <row r="1" ht="26.25" customHeight="1" thickBot="1">
      <c r="A1" s="46"/>
    </row>
    <row r="2" spans="1:19" s="253" customFormat="1" ht="24" customHeight="1" thickBot="1">
      <c r="A2" s="505" t="s">
        <v>8</v>
      </c>
      <c r="B2" s="506"/>
      <c r="C2" s="506"/>
      <c r="D2" s="506"/>
      <c r="E2" s="506"/>
      <c r="F2" s="506"/>
      <c r="G2" s="506"/>
      <c r="H2" s="506"/>
      <c r="I2" s="506"/>
      <c r="J2" s="506"/>
      <c r="K2" s="506"/>
      <c r="L2" s="506"/>
      <c r="M2" s="506"/>
      <c r="N2" s="506"/>
      <c r="O2" s="506"/>
      <c r="P2" s="506"/>
      <c r="Q2" s="506"/>
      <c r="R2" s="506"/>
      <c r="S2" s="507"/>
    </row>
    <row r="3" spans="1:19" s="253" customFormat="1" ht="29.25" customHeight="1" thickBot="1">
      <c r="A3" s="508" t="s">
        <v>1683</v>
      </c>
      <c r="B3" s="509"/>
      <c r="C3" s="509"/>
      <c r="D3" s="509"/>
      <c r="E3" s="509"/>
      <c r="F3" s="509"/>
      <c r="G3" s="509"/>
      <c r="H3" s="509"/>
      <c r="I3" s="509"/>
      <c r="J3" s="509"/>
      <c r="K3" s="509"/>
      <c r="L3" s="509"/>
      <c r="M3" s="509"/>
      <c r="N3" s="509"/>
      <c r="O3" s="509"/>
      <c r="P3" s="509"/>
      <c r="Q3" s="509"/>
      <c r="R3" s="509"/>
      <c r="S3" s="510"/>
    </row>
    <row r="4" spans="1:19" s="11" customFormat="1" ht="21" customHeight="1">
      <c r="A4" s="666" t="s">
        <v>1200</v>
      </c>
      <c r="B4" s="667"/>
      <c r="C4" s="667"/>
      <c r="D4" s="667"/>
      <c r="E4" s="667"/>
      <c r="F4" s="667"/>
      <c r="G4" s="668"/>
      <c r="H4" s="684" t="s">
        <v>1721</v>
      </c>
      <c r="I4" s="684"/>
      <c r="J4" s="684"/>
      <c r="K4" s="684"/>
      <c r="L4" s="684"/>
      <c r="M4" s="666" t="s">
        <v>1183</v>
      </c>
      <c r="N4" s="667"/>
      <c r="O4" s="668"/>
      <c r="P4" s="666" t="s">
        <v>1201</v>
      </c>
      <c r="Q4" s="667"/>
      <c r="R4" s="667"/>
      <c r="S4" s="668"/>
    </row>
    <row r="5" spans="1:19" s="78" customFormat="1" ht="20.25" customHeight="1">
      <c r="A5" s="698" t="s">
        <v>0</v>
      </c>
      <c r="B5" s="699"/>
      <c r="C5" s="699"/>
      <c r="D5" s="699"/>
      <c r="E5" s="699"/>
      <c r="F5" s="700"/>
      <c r="G5" s="697" t="s">
        <v>1</v>
      </c>
      <c r="H5" s="697"/>
      <c r="I5" s="697"/>
      <c r="J5" s="697"/>
      <c r="K5" s="697"/>
      <c r="L5" s="697"/>
      <c r="M5" s="697"/>
      <c r="N5" s="697" t="s">
        <v>1187</v>
      </c>
      <c r="O5" s="697"/>
      <c r="P5" s="697"/>
      <c r="Q5" s="697"/>
      <c r="R5" s="697"/>
      <c r="S5" s="669" t="s">
        <v>1685</v>
      </c>
    </row>
    <row r="6" spans="1:19" s="78" customFormat="1" ht="15" customHeight="1">
      <c r="A6" s="697" t="s">
        <v>2</v>
      </c>
      <c r="B6" s="697" t="s">
        <v>4</v>
      </c>
      <c r="C6" s="697" t="s">
        <v>3</v>
      </c>
      <c r="D6" s="669" t="s">
        <v>1116</v>
      </c>
      <c r="E6" s="669" t="s">
        <v>1117</v>
      </c>
      <c r="F6" s="669" t="s">
        <v>1118</v>
      </c>
      <c r="G6" s="697" t="s">
        <v>1186</v>
      </c>
      <c r="H6" s="669" t="s">
        <v>9</v>
      </c>
      <c r="I6" s="693" t="s">
        <v>1180</v>
      </c>
      <c r="J6" s="693" t="s">
        <v>1181</v>
      </c>
      <c r="K6" s="693" t="s">
        <v>1103</v>
      </c>
      <c r="L6" s="682" t="s">
        <v>1637</v>
      </c>
      <c r="M6" s="669" t="s">
        <v>1914</v>
      </c>
      <c r="N6" s="669" t="s">
        <v>1115</v>
      </c>
      <c r="O6" s="669" t="s">
        <v>1119</v>
      </c>
      <c r="P6" s="669" t="s">
        <v>1120</v>
      </c>
      <c r="Q6" s="669" t="s">
        <v>1185</v>
      </c>
      <c r="R6" s="669" t="s">
        <v>926</v>
      </c>
      <c r="S6" s="761"/>
    </row>
    <row r="7" spans="1:19" s="78" customFormat="1" ht="30" customHeight="1">
      <c r="A7" s="697"/>
      <c r="B7" s="697"/>
      <c r="C7" s="697"/>
      <c r="D7" s="670"/>
      <c r="E7" s="670"/>
      <c r="F7" s="670"/>
      <c r="G7" s="697"/>
      <c r="H7" s="670"/>
      <c r="I7" s="694"/>
      <c r="J7" s="694"/>
      <c r="K7" s="694"/>
      <c r="L7" s="683"/>
      <c r="M7" s="670"/>
      <c r="N7" s="670"/>
      <c r="O7" s="670"/>
      <c r="P7" s="670"/>
      <c r="Q7" s="670"/>
      <c r="R7" s="670"/>
      <c r="S7" s="670"/>
    </row>
    <row r="8" spans="1:19" ht="99" customHeight="1">
      <c r="A8" s="84" t="s">
        <v>663</v>
      </c>
      <c r="B8" s="50" t="s">
        <v>664</v>
      </c>
      <c r="C8" s="79" t="s">
        <v>665</v>
      </c>
      <c r="D8" s="118">
        <v>836</v>
      </c>
      <c r="E8" s="298">
        <v>780</v>
      </c>
      <c r="F8" s="119">
        <f>+E8/D8</f>
        <v>0.9330143540669856</v>
      </c>
      <c r="G8" s="80" t="s">
        <v>1059</v>
      </c>
      <c r="H8" s="103"/>
      <c r="I8" s="117">
        <v>0</v>
      </c>
      <c r="J8" s="117">
        <v>0</v>
      </c>
      <c r="K8" s="73">
        <v>0</v>
      </c>
      <c r="L8" s="279"/>
      <c r="M8" s="79" t="s">
        <v>1850</v>
      </c>
      <c r="N8" s="117">
        <v>0</v>
      </c>
      <c r="O8" s="117">
        <v>0</v>
      </c>
      <c r="P8" s="120">
        <v>0</v>
      </c>
      <c r="Q8" s="73">
        <v>0</v>
      </c>
      <c r="R8" s="81">
        <v>25</v>
      </c>
      <c r="S8" s="52" t="s">
        <v>1078</v>
      </c>
    </row>
    <row r="9" spans="1:19" ht="109.5" customHeight="1">
      <c r="A9" s="85" t="s">
        <v>666</v>
      </c>
      <c r="B9" s="43" t="s">
        <v>667</v>
      </c>
      <c r="C9" s="63" t="s">
        <v>668</v>
      </c>
      <c r="D9" s="118">
        <v>5</v>
      </c>
      <c r="E9" s="298">
        <v>5</v>
      </c>
      <c r="F9" s="119">
        <v>1</v>
      </c>
      <c r="G9" s="8" t="s">
        <v>1060</v>
      </c>
      <c r="H9" s="102"/>
      <c r="I9" s="111">
        <v>0</v>
      </c>
      <c r="J9" s="111">
        <v>0</v>
      </c>
      <c r="K9" s="110">
        <v>0</v>
      </c>
      <c r="L9" s="23"/>
      <c r="M9" s="63" t="s">
        <v>1851</v>
      </c>
      <c r="N9" s="111">
        <v>0</v>
      </c>
      <c r="O9" s="111">
        <v>0</v>
      </c>
      <c r="P9" s="121">
        <v>0</v>
      </c>
      <c r="Q9" s="73">
        <v>0</v>
      </c>
      <c r="R9" s="82">
        <v>25</v>
      </c>
      <c r="S9" s="28" t="s">
        <v>1078</v>
      </c>
    </row>
    <row r="10" spans="1:19" ht="135" customHeight="1">
      <c r="A10" s="85" t="s">
        <v>669</v>
      </c>
      <c r="B10" s="7" t="s">
        <v>670</v>
      </c>
      <c r="C10" s="63" t="s">
        <v>671</v>
      </c>
      <c r="D10" s="118">
        <v>23</v>
      </c>
      <c r="E10" s="298">
        <v>85</v>
      </c>
      <c r="F10" s="119">
        <v>1</v>
      </c>
      <c r="G10" s="8" t="s">
        <v>1061</v>
      </c>
      <c r="H10" s="102"/>
      <c r="I10" s="111">
        <v>0</v>
      </c>
      <c r="J10" s="111">
        <v>0</v>
      </c>
      <c r="K10" s="110">
        <v>0</v>
      </c>
      <c r="L10" s="23"/>
      <c r="M10" s="63" t="s">
        <v>1852</v>
      </c>
      <c r="N10" s="111">
        <v>0</v>
      </c>
      <c r="O10" s="111">
        <v>0</v>
      </c>
      <c r="P10" s="121">
        <v>0</v>
      </c>
      <c r="Q10" s="73">
        <v>0</v>
      </c>
      <c r="R10" s="82">
        <v>25</v>
      </c>
      <c r="S10" s="28" t="s">
        <v>1078</v>
      </c>
    </row>
    <row r="11" spans="1:19" ht="78.75" customHeight="1">
      <c r="A11" s="85" t="s">
        <v>672</v>
      </c>
      <c r="B11" s="43" t="s">
        <v>673</v>
      </c>
      <c r="C11" s="63" t="s">
        <v>674</v>
      </c>
      <c r="D11" s="407">
        <v>16</v>
      </c>
      <c r="E11" s="407">
        <v>0</v>
      </c>
      <c r="F11" s="408">
        <f>(E11*100%)/D11</f>
        <v>0</v>
      </c>
      <c r="G11" s="986" t="s">
        <v>1062</v>
      </c>
      <c r="H11" s="112" t="s">
        <v>1202</v>
      </c>
      <c r="I11" s="960">
        <f>(80650415.29+1000000000)/1000</f>
        <v>1080650.41529</v>
      </c>
      <c r="J11" s="960">
        <f>17850000/1000</f>
        <v>17850</v>
      </c>
      <c r="K11" s="1075">
        <f>+J11/I11</f>
        <v>0.016517830139555194</v>
      </c>
      <c r="L11" s="862"/>
      <c r="M11" s="843" t="s">
        <v>1853</v>
      </c>
      <c r="N11" s="982">
        <v>4</v>
      </c>
      <c r="O11" s="981">
        <f>17850000/1000</f>
        <v>17850</v>
      </c>
      <c r="P11" s="1078">
        <f>J11</f>
        <v>17850</v>
      </c>
      <c r="Q11" s="990">
        <f>P11/O11</f>
        <v>1</v>
      </c>
      <c r="R11" s="1069">
        <v>25</v>
      </c>
      <c r="S11" s="676" t="s">
        <v>1078</v>
      </c>
    </row>
    <row r="12" spans="1:19" ht="69" customHeight="1">
      <c r="A12" s="85" t="s">
        <v>675</v>
      </c>
      <c r="B12" s="43" t="s">
        <v>676</v>
      </c>
      <c r="C12" s="63" t="s">
        <v>1723</v>
      </c>
      <c r="D12" s="407">
        <v>16</v>
      </c>
      <c r="E12" s="407">
        <v>0</v>
      </c>
      <c r="F12" s="408">
        <f>(E12*100%)/D12</f>
        <v>0</v>
      </c>
      <c r="G12" s="986"/>
      <c r="H12" s="619" t="s">
        <v>1203</v>
      </c>
      <c r="I12" s="1074"/>
      <c r="J12" s="1074"/>
      <c r="K12" s="1076"/>
      <c r="L12" s="863"/>
      <c r="M12" s="844"/>
      <c r="N12" s="979"/>
      <c r="O12" s="979"/>
      <c r="P12" s="1079"/>
      <c r="Q12" s="991"/>
      <c r="R12" s="1069"/>
      <c r="S12" s="676"/>
    </row>
    <row r="13" spans="1:19" ht="71.25" customHeight="1">
      <c r="A13" s="85" t="s">
        <v>677</v>
      </c>
      <c r="B13" s="43" t="s">
        <v>678</v>
      </c>
      <c r="C13" s="63" t="s">
        <v>1724</v>
      </c>
      <c r="D13" s="407">
        <v>16</v>
      </c>
      <c r="E13" s="407">
        <v>0</v>
      </c>
      <c r="F13" s="408">
        <f>(E13*100%)/D13</f>
        <v>0</v>
      </c>
      <c r="G13" s="986"/>
      <c r="H13" s="621"/>
      <c r="I13" s="1074"/>
      <c r="J13" s="1074"/>
      <c r="K13" s="1076"/>
      <c r="L13" s="863"/>
      <c r="M13" s="844"/>
      <c r="N13" s="979"/>
      <c r="O13" s="979"/>
      <c r="P13" s="1079"/>
      <c r="Q13" s="991"/>
      <c r="R13" s="1069"/>
      <c r="S13" s="676"/>
    </row>
    <row r="14" spans="1:19" ht="74.25" customHeight="1">
      <c r="A14" s="85" t="s">
        <v>679</v>
      </c>
      <c r="B14" s="43" t="s">
        <v>680</v>
      </c>
      <c r="C14" s="63" t="s">
        <v>1725</v>
      </c>
      <c r="D14" s="407">
        <v>6</v>
      </c>
      <c r="E14" s="407">
        <v>4</v>
      </c>
      <c r="F14" s="408">
        <f>(E14*100%)/D14</f>
        <v>0.6666666666666666</v>
      </c>
      <c r="G14" s="986"/>
      <c r="H14" s="619" t="s">
        <v>1204</v>
      </c>
      <c r="I14" s="1074"/>
      <c r="J14" s="1074"/>
      <c r="K14" s="1076"/>
      <c r="L14" s="863"/>
      <c r="M14" s="844"/>
      <c r="N14" s="979"/>
      <c r="O14" s="979"/>
      <c r="P14" s="1079"/>
      <c r="Q14" s="991"/>
      <c r="R14" s="1069"/>
      <c r="S14" s="676"/>
    </row>
    <row r="15" spans="1:19" ht="66" customHeight="1">
      <c r="A15" s="85" t="s">
        <v>681</v>
      </c>
      <c r="B15" s="28" t="s">
        <v>682</v>
      </c>
      <c r="C15" s="83" t="s">
        <v>683</v>
      </c>
      <c r="D15" s="407">
        <v>4</v>
      </c>
      <c r="E15" s="407">
        <v>6</v>
      </c>
      <c r="F15" s="408">
        <v>1</v>
      </c>
      <c r="G15" s="983"/>
      <c r="H15" s="621"/>
      <c r="I15" s="961"/>
      <c r="J15" s="961"/>
      <c r="K15" s="1077"/>
      <c r="L15" s="864"/>
      <c r="M15" s="845"/>
      <c r="N15" s="980"/>
      <c r="O15" s="980"/>
      <c r="P15" s="1079"/>
      <c r="Q15" s="992"/>
      <c r="R15" s="1069"/>
      <c r="S15" s="676"/>
    </row>
    <row r="16" spans="1:19" ht="84" customHeight="1">
      <c r="A16" s="85" t="s">
        <v>684</v>
      </c>
      <c r="B16" s="43" t="s">
        <v>685</v>
      </c>
      <c r="C16" s="63" t="s">
        <v>686</v>
      </c>
      <c r="D16" s="409">
        <v>1</v>
      </c>
      <c r="E16" s="409">
        <v>1</v>
      </c>
      <c r="F16" s="410">
        <f>(E16*100%)/D16</f>
        <v>1</v>
      </c>
      <c r="G16" s="8" t="s">
        <v>1063</v>
      </c>
      <c r="H16" s="109" t="s">
        <v>1205</v>
      </c>
      <c r="I16" s="122">
        <v>0</v>
      </c>
      <c r="J16" s="111">
        <v>0</v>
      </c>
      <c r="K16" s="110">
        <v>0</v>
      </c>
      <c r="L16" s="23"/>
      <c r="M16" s="63" t="s">
        <v>1854</v>
      </c>
      <c r="N16" s="123">
        <v>0</v>
      </c>
      <c r="O16" s="123">
        <v>0</v>
      </c>
      <c r="P16" s="124">
        <v>0</v>
      </c>
      <c r="Q16" s="73">
        <v>0</v>
      </c>
      <c r="R16" s="82"/>
      <c r="S16" s="28" t="s">
        <v>1078</v>
      </c>
    </row>
    <row r="17" spans="1:19" ht="57" customHeight="1">
      <c r="A17" s="85" t="s">
        <v>687</v>
      </c>
      <c r="B17" s="43" t="s">
        <v>688</v>
      </c>
      <c r="C17" s="63" t="s">
        <v>689</v>
      </c>
      <c r="D17" s="407">
        <v>1</v>
      </c>
      <c r="E17" s="409">
        <v>1</v>
      </c>
      <c r="F17" s="410">
        <f>(E17*100%)/D17</f>
        <v>1</v>
      </c>
      <c r="G17" s="983" t="s">
        <v>1064</v>
      </c>
      <c r="H17" s="109" t="s">
        <v>1206</v>
      </c>
      <c r="I17" s="511">
        <v>51767.430479999995</v>
      </c>
      <c r="J17" s="511">
        <f>(37841800+5000000)/1000</f>
        <v>42841.8</v>
      </c>
      <c r="K17" s="922">
        <f>+J17/I17</f>
        <v>0.827582122635035</v>
      </c>
      <c r="L17" s="862"/>
      <c r="M17" s="63" t="s">
        <v>1855</v>
      </c>
      <c r="N17" s="982">
        <v>9</v>
      </c>
      <c r="O17" s="981">
        <f>J17</f>
        <v>42841.8</v>
      </c>
      <c r="P17" s="1043">
        <f>J17</f>
        <v>42841.8</v>
      </c>
      <c r="Q17" s="990">
        <f>P17/O17</f>
        <v>1</v>
      </c>
      <c r="R17" s="1069">
        <v>25</v>
      </c>
      <c r="S17" s="676" t="s">
        <v>1078</v>
      </c>
    </row>
    <row r="18" spans="1:19" ht="53.25" customHeight="1">
      <c r="A18" s="85" t="s">
        <v>690</v>
      </c>
      <c r="B18" s="43" t="s">
        <v>691</v>
      </c>
      <c r="C18" s="63" t="s">
        <v>692</v>
      </c>
      <c r="D18" s="407">
        <v>1</v>
      </c>
      <c r="E18" s="409">
        <v>1</v>
      </c>
      <c r="F18" s="410">
        <f>(E18*100%)/D18</f>
        <v>1</v>
      </c>
      <c r="G18" s="983"/>
      <c r="H18" s="109" t="s">
        <v>1204</v>
      </c>
      <c r="I18" s="915"/>
      <c r="J18" s="915"/>
      <c r="K18" s="923"/>
      <c r="L18" s="863"/>
      <c r="M18" s="63" t="s">
        <v>1856</v>
      </c>
      <c r="N18" s="979"/>
      <c r="O18" s="979"/>
      <c r="P18" s="1048"/>
      <c r="Q18" s="991"/>
      <c r="R18" s="1069"/>
      <c r="S18" s="676"/>
    </row>
    <row r="19" spans="1:19" ht="91.5" customHeight="1">
      <c r="A19" s="85" t="s">
        <v>693</v>
      </c>
      <c r="B19" s="43" t="s">
        <v>694</v>
      </c>
      <c r="C19" s="63" t="s">
        <v>695</v>
      </c>
      <c r="D19" s="407">
        <v>45</v>
      </c>
      <c r="E19" s="409">
        <v>40</v>
      </c>
      <c r="F19" s="410">
        <f>(E19*100%)/D19</f>
        <v>0.8888888888888888</v>
      </c>
      <c r="G19" s="983"/>
      <c r="H19" s="109" t="s">
        <v>1207</v>
      </c>
      <c r="I19" s="512"/>
      <c r="J19" s="512"/>
      <c r="K19" s="924"/>
      <c r="L19" s="864"/>
      <c r="M19" s="63" t="s">
        <v>1857</v>
      </c>
      <c r="N19" s="980"/>
      <c r="O19" s="980"/>
      <c r="P19" s="1067"/>
      <c r="Q19" s="992"/>
      <c r="R19" s="1069"/>
      <c r="S19" s="676"/>
    </row>
    <row r="20" spans="1:19" ht="120" customHeight="1">
      <c r="A20" s="85" t="s">
        <v>696</v>
      </c>
      <c r="B20" s="43" t="s">
        <v>697</v>
      </c>
      <c r="C20" s="63" t="s">
        <v>698</v>
      </c>
      <c r="D20" s="39">
        <v>1700</v>
      </c>
      <c r="E20" s="39">
        <v>1700</v>
      </c>
      <c r="F20" s="119">
        <v>1</v>
      </c>
      <c r="G20" s="983" t="s">
        <v>1065</v>
      </c>
      <c r="H20" s="1080" t="s">
        <v>1208</v>
      </c>
      <c r="I20" s="1022">
        <f>(86750000+15000000)/1000</f>
        <v>101750</v>
      </c>
      <c r="J20" s="1022">
        <f>(86721080+15000000)/1000</f>
        <v>101721.08</v>
      </c>
      <c r="K20" s="922">
        <f>+J20/I20</f>
        <v>0.9997157739557739</v>
      </c>
      <c r="L20" s="862"/>
      <c r="M20" s="63" t="s">
        <v>1858</v>
      </c>
      <c r="N20" s="982">
        <v>5</v>
      </c>
      <c r="O20" s="981">
        <f>J20</f>
        <v>101721.08</v>
      </c>
      <c r="P20" s="1043">
        <f>J20</f>
        <v>101721.08</v>
      </c>
      <c r="Q20" s="990">
        <f>P20/O20</f>
        <v>1</v>
      </c>
      <c r="R20" s="1069">
        <v>25</v>
      </c>
      <c r="S20" s="676" t="s">
        <v>1078</v>
      </c>
    </row>
    <row r="21" spans="1:19" ht="72" customHeight="1">
      <c r="A21" s="85" t="s">
        <v>699</v>
      </c>
      <c r="B21" s="43" t="s">
        <v>700</v>
      </c>
      <c r="C21" s="63" t="s">
        <v>701</v>
      </c>
      <c r="D21" s="39">
        <v>29</v>
      </c>
      <c r="E21" s="39">
        <v>29</v>
      </c>
      <c r="F21" s="119">
        <v>1</v>
      </c>
      <c r="G21" s="983"/>
      <c r="H21" s="1081"/>
      <c r="I21" s="1023"/>
      <c r="J21" s="1023"/>
      <c r="K21" s="923"/>
      <c r="L21" s="863"/>
      <c r="M21" s="63" t="s">
        <v>1859</v>
      </c>
      <c r="N21" s="979"/>
      <c r="O21" s="979"/>
      <c r="P21" s="1048"/>
      <c r="Q21" s="991"/>
      <c r="R21" s="1069"/>
      <c r="S21" s="676"/>
    </row>
    <row r="22" spans="1:19" ht="105" customHeight="1">
      <c r="A22" s="85" t="s">
        <v>702</v>
      </c>
      <c r="B22" s="43" t="s">
        <v>703</v>
      </c>
      <c r="C22" s="63" t="s">
        <v>704</v>
      </c>
      <c r="D22" s="39">
        <v>52</v>
      </c>
      <c r="E22" s="39">
        <v>48</v>
      </c>
      <c r="F22" s="119">
        <v>0.9230769230769231</v>
      </c>
      <c r="G22" s="983"/>
      <c r="H22" s="1080" t="s">
        <v>1209</v>
      </c>
      <c r="I22" s="1023"/>
      <c r="J22" s="1023"/>
      <c r="K22" s="923"/>
      <c r="L22" s="863"/>
      <c r="M22" s="63" t="s">
        <v>1860</v>
      </c>
      <c r="N22" s="979"/>
      <c r="O22" s="979"/>
      <c r="P22" s="1048"/>
      <c r="Q22" s="991"/>
      <c r="R22" s="1069"/>
      <c r="S22" s="676"/>
    </row>
    <row r="23" spans="1:19" ht="99" customHeight="1">
      <c r="A23" s="85" t="s">
        <v>705</v>
      </c>
      <c r="B23" s="43" t="s">
        <v>706</v>
      </c>
      <c r="C23" s="63" t="s">
        <v>707</v>
      </c>
      <c r="D23" s="39">
        <v>13</v>
      </c>
      <c r="E23" s="39">
        <v>11</v>
      </c>
      <c r="F23" s="119">
        <v>0.8461538461538461</v>
      </c>
      <c r="G23" s="983"/>
      <c r="H23" s="1081"/>
      <c r="I23" s="1024"/>
      <c r="J23" s="1024"/>
      <c r="K23" s="924"/>
      <c r="L23" s="864"/>
      <c r="M23" s="63" t="s">
        <v>1861</v>
      </c>
      <c r="N23" s="980"/>
      <c r="O23" s="980"/>
      <c r="P23" s="1067"/>
      <c r="Q23" s="992"/>
      <c r="R23" s="1069"/>
      <c r="S23" s="676"/>
    </row>
    <row r="24" spans="1:19" ht="139.5" customHeight="1">
      <c r="A24" s="85" t="s">
        <v>708</v>
      </c>
      <c r="B24" s="43" t="s">
        <v>709</v>
      </c>
      <c r="C24" s="63" t="s">
        <v>710</v>
      </c>
      <c r="D24" s="39">
        <v>73</v>
      </c>
      <c r="E24" s="39">
        <v>73</v>
      </c>
      <c r="F24" s="119">
        <v>1</v>
      </c>
      <c r="G24" s="843" t="s">
        <v>1066</v>
      </c>
      <c r="H24" s="900" t="s">
        <v>1210</v>
      </c>
      <c r="I24" s="981">
        <f>(100000000+747217513.22)/1000+90323373392.58/1000</f>
        <v>91170590.9058</v>
      </c>
      <c r="J24" s="981">
        <f>(100000000+38300000)/1000+(89384102945.37+44521795)/1000</f>
        <v>89566924.74036999</v>
      </c>
      <c r="K24" s="990">
        <f>J24/I24</f>
        <v>0.9824102690407375</v>
      </c>
      <c r="L24" s="23" t="s">
        <v>1067</v>
      </c>
      <c r="M24" s="63" t="s">
        <v>1862</v>
      </c>
      <c r="N24" s="982">
        <v>2</v>
      </c>
      <c r="O24" s="981">
        <f>J24</f>
        <v>89566924.74036999</v>
      </c>
      <c r="P24" s="981">
        <f>J24</f>
        <v>89566924.74036999</v>
      </c>
      <c r="Q24" s="990">
        <f>P24/O24</f>
        <v>1</v>
      </c>
      <c r="R24" s="1069" t="s">
        <v>1212</v>
      </c>
      <c r="S24" s="676" t="s">
        <v>1078</v>
      </c>
    </row>
    <row r="25" spans="1:27" ht="64.5" customHeight="1">
      <c r="A25" s="85" t="s">
        <v>711</v>
      </c>
      <c r="B25" s="43" t="s">
        <v>712</v>
      </c>
      <c r="C25" s="63" t="s">
        <v>713</v>
      </c>
      <c r="D25" s="39">
        <v>3181</v>
      </c>
      <c r="E25" s="39">
        <v>3256</v>
      </c>
      <c r="F25" s="119">
        <v>1</v>
      </c>
      <c r="G25" s="844"/>
      <c r="H25" s="902"/>
      <c r="I25" s="1011"/>
      <c r="J25" s="1011"/>
      <c r="K25" s="991"/>
      <c r="L25" s="23" t="s">
        <v>1068</v>
      </c>
      <c r="M25" s="63" t="s">
        <v>1863</v>
      </c>
      <c r="N25" s="979"/>
      <c r="O25" s="979"/>
      <c r="P25" s="979"/>
      <c r="Q25" s="991"/>
      <c r="R25" s="1069"/>
      <c r="S25" s="676"/>
      <c r="AA25" s="499"/>
    </row>
    <row r="26" spans="1:27" ht="66" customHeight="1">
      <c r="A26" s="85" t="s">
        <v>714</v>
      </c>
      <c r="B26" s="43" t="s">
        <v>715</v>
      </c>
      <c r="C26" s="63" t="s">
        <v>716</v>
      </c>
      <c r="D26" s="39">
        <v>23081</v>
      </c>
      <c r="E26" s="39">
        <v>20464</v>
      </c>
      <c r="F26" s="119">
        <v>0.8866166977167367</v>
      </c>
      <c r="G26" s="844"/>
      <c r="H26" s="900" t="s">
        <v>1211</v>
      </c>
      <c r="I26" s="1011"/>
      <c r="J26" s="1011"/>
      <c r="K26" s="991"/>
      <c r="L26" s="1070" t="s">
        <v>1069</v>
      </c>
      <c r="M26" s="63" t="s">
        <v>1864</v>
      </c>
      <c r="N26" s="979"/>
      <c r="O26" s="979"/>
      <c r="P26" s="979"/>
      <c r="Q26" s="991"/>
      <c r="R26" s="1069"/>
      <c r="S26" s="676"/>
      <c r="AA26" s="499"/>
    </row>
    <row r="27" spans="1:27" ht="68.25" customHeight="1">
      <c r="A27" s="85" t="s">
        <v>735</v>
      </c>
      <c r="B27" s="43" t="s">
        <v>736</v>
      </c>
      <c r="C27" s="63" t="s">
        <v>737</v>
      </c>
      <c r="D27" s="39">
        <v>353</v>
      </c>
      <c r="E27" s="39">
        <v>113</v>
      </c>
      <c r="F27" s="119">
        <v>1</v>
      </c>
      <c r="G27" s="845"/>
      <c r="H27" s="902"/>
      <c r="I27" s="987"/>
      <c r="J27" s="987"/>
      <c r="K27" s="992"/>
      <c r="L27" s="1070"/>
      <c r="M27" s="63" t="s">
        <v>1865</v>
      </c>
      <c r="N27" s="980"/>
      <c r="O27" s="980"/>
      <c r="P27" s="980"/>
      <c r="Q27" s="992"/>
      <c r="R27" s="1069"/>
      <c r="S27" s="676"/>
      <c r="AA27" s="499"/>
    </row>
    <row r="28" spans="1:19" ht="71.25" customHeight="1">
      <c r="A28" s="85" t="s">
        <v>717</v>
      </c>
      <c r="B28" s="43" t="s">
        <v>718</v>
      </c>
      <c r="C28" s="63" t="s">
        <v>719</v>
      </c>
      <c r="D28" s="39">
        <v>10000</v>
      </c>
      <c r="E28" s="39">
        <v>13745</v>
      </c>
      <c r="F28" s="119">
        <v>1</v>
      </c>
      <c r="G28" s="983" t="s">
        <v>1070</v>
      </c>
      <c r="H28" s="619" t="s">
        <v>1202</v>
      </c>
      <c r="I28" s="1071">
        <f>5659485510.17/1000</f>
        <v>5659485.51017</v>
      </c>
      <c r="J28" s="972">
        <f>(718500081+2825128690+643767643)/1000</f>
        <v>4187396.414</v>
      </c>
      <c r="K28" s="922">
        <f>J28/I28</f>
        <v>0.7398899434366109</v>
      </c>
      <c r="L28" s="23" t="s">
        <v>1071</v>
      </c>
      <c r="M28" s="63" t="s">
        <v>1866</v>
      </c>
      <c r="N28" s="982">
        <v>14</v>
      </c>
      <c r="O28" s="981">
        <v>5162317</v>
      </c>
      <c r="P28" s="981">
        <f>J28</f>
        <v>4187396.414</v>
      </c>
      <c r="Q28" s="990">
        <f>P28/O28</f>
        <v>0.8111467029242877</v>
      </c>
      <c r="R28" s="604" t="s">
        <v>1217</v>
      </c>
      <c r="S28" s="676" t="s">
        <v>1078</v>
      </c>
    </row>
    <row r="29" spans="1:19" ht="78.75" customHeight="1">
      <c r="A29" s="85" t="s">
        <v>720</v>
      </c>
      <c r="B29" s="43" t="s">
        <v>721</v>
      </c>
      <c r="C29" s="63" t="s">
        <v>722</v>
      </c>
      <c r="D29" s="39">
        <v>18507</v>
      </c>
      <c r="E29" s="39">
        <v>16524</v>
      </c>
      <c r="F29" s="119">
        <v>0.892851353541903</v>
      </c>
      <c r="G29" s="983"/>
      <c r="H29" s="621"/>
      <c r="I29" s="1072"/>
      <c r="J29" s="996"/>
      <c r="K29" s="923"/>
      <c r="L29" s="23" t="s">
        <v>1072</v>
      </c>
      <c r="M29" s="63" t="s">
        <v>1867</v>
      </c>
      <c r="N29" s="979"/>
      <c r="O29" s="979"/>
      <c r="P29" s="979" t="s">
        <v>800</v>
      </c>
      <c r="Q29" s="991"/>
      <c r="R29" s="634"/>
      <c r="S29" s="676"/>
    </row>
    <row r="30" spans="1:19" ht="50.25" customHeight="1">
      <c r="A30" s="85" t="s">
        <v>723</v>
      </c>
      <c r="B30" s="43" t="s">
        <v>724</v>
      </c>
      <c r="C30" s="63" t="s">
        <v>725</v>
      </c>
      <c r="D30" s="39">
        <v>6090</v>
      </c>
      <c r="E30" s="39">
        <v>5701</v>
      </c>
      <c r="F30" s="119">
        <v>0.9361247947454844</v>
      </c>
      <c r="G30" s="983"/>
      <c r="H30" s="900" t="s">
        <v>1213</v>
      </c>
      <c r="I30" s="1072"/>
      <c r="J30" s="996"/>
      <c r="K30" s="923"/>
      <c r="L30" s="1070" t="s">
        <v>1073</v>
      </c>
      <c r="M30" s="63" t="s">
        <v>1868</v>
      </c>
      <c r="N30" s="979"/>
      <c r="O30" s="979"/>
      <c r="P30" s="979" t="s">
        <v>801</v>
      </c>
      <c r="Q30" s="991"/>
      <c r="R30" s="634"/>
      <c r="S30" s="676"/>
    </row>
    <row r="31" spans="1:19" ht="54.75" customHeight="1">
      <c r="A31" s="85" t="s">
        <v>726</v>
      </c>
      <c r="B31" s="43" t="s">
        <v>727</v>
      </c>
      <c r="C31" s="63" t="s">
        <v>728</v>
      </c>
      <c r="D31" s="39">
        <v>2967</v>
      </c>
      <c r="E31" s="39">
        <v>3320</v>
      </c>
      <c r="F31" s="119">
        <v>1</v>
      </c>
      <c r="G31" s="983"/>
      <c r="H31" s="902"/>
      <c r="I31" s="1072"/>
      <c r="J31" s="996"/>
      <c r="K31" s="923"/>
      <c r="L31" s="1070"/>
      <c r="M31" s="63" t="s">
        <v>1869</v>
      </c>
      <c r="N31" s="979"/>
      <c r="O31" s="979"/>
      <c r="P31" s="979"/>
      <c r="Q31" s="991"/>
      <c r="R31" s="634"/>
      <c r="S31" s="676"/>
    </row>
    <row r="32" spans="1:19" ht="44.25" customHeight="1">
      <c r="A32" s="85" t="s">
        <v>729</v>
      </c>
      <c r="B32" s="43" t="s">
        <v>730</v>
      </c>
      <c r="C32" s="63" t="s">
        <v>731</v>
      </c>
      <c r="D32" s="39">
        <v>2878</v>
      </c>
      <c r="E32" s="39">
        <v>1472</v>
      </c>
      <c r="F32" s="119">
        <v>0.5114662960389159</v>
      </c>
      <c r="G32" s="983"/>
      <c r="H32" s="900" t="s">
        <v>1214</v>
      </c>
      <c r="I32" s="1072"/>
      <c r="J32" s="996"/>
      <c r="K32" s="923"/>
      <c r="L32" s="1070"/>
      <c r="M32" s="63" t="s">
        <v>1870</v>
      </c>
      <c r="N32" s="979"/>
      <c r="O32" s="979"/>
      <c r="P32" s="979"/>
      <c r="Q32" s="991"/>
      <c r="R32" s="634"/>
      <c r="S32" s="676"/>
    </row>
    <row r="33" spans="1:19" ht="42" customHeight="1">
      <c r="A33" s="85" t="s">
        <v>732</v>
      </c>
      <c r="B33" s="43" t="s">
        <v>733</v>
      </c>
      <c r="C33" s="63" t="s">
        <v>734</v>
      </c>
      <c r="D33" s="39">
        <v>4347</v>
      </c>
      <c r="E33" s="39">
        <v>2253</v>
      </c>
      <c r="F33" s="119">
        <v>0.5182884748102139</v>
      </c>
      <c r="G33" s="983"/>
      <c r="H33" s="902"/>
      <c r="I33" s="1073"/>
      <c r="J33" s="973"/>
      <c r="K33" s="924"/>
      <c r="L33" s="1070"/>
      <c r="M33" s="63" t="s">
        <v>1871</v>
      </c>
      <c r="N33" s="980"/>
      <c r="O33" s="980"/>
      <c r="P33" s="980"/>
      <c r="Q33" s="992"/>
      <c r="R33" s="605"/>
      <c r="S33" s="676"/>
    </row>
    <row r="34" spans="1:19" ht="69.75" customHeight="1">
      <c r="A34" s="85" t="s">
        <v>738</v>
      </c>
      <c r="B34" s="43" t="s">
        <v>739</v>
      </c>
      <c r="C34" s="63" t="s">
        <v>740</v>
      </c>
      <c r="D34" s="39">
        <v>1</v>
      </c>
      <c r="E34" s="39">
        <v>1</v>
      </c>
      <c r="F34" s="119">
        <v>1</v>
      </c>
      <c r="G34" s="983" t="s">
        <v>1215</v>
      </c>
      <c r="H34" s="900" t="s">
        <v>1216</v>
      </c>
      <c r="I34" s="1022">
        <f>1114330000/1000</f>
        <v>1114330</v>
      </c>
      <c r="J34" s="1022">
        <f>763790000/1000</f>
        <v>763790</v>
      </c>
      <c r="K34" s="922">
        <f>+J34/I34</f>
        <v>0.6854253228397333</v>
      </c>
      <c r="L34" s="736"/>
      <c r="M34" s="63" t="s">
        <v>1872</v>
      </c>
      <c r="N34" s="982">
        <v>3</v>
      </c>
      <c r="O34" s="1066">
        <f>J34</f>
        <v>763790</v>
      </c>
      <c r="P34" s="1066">
        <f>J34</f>
        <v>763790</v>
      </c>
      <c r="Q34" s="990">
        <f>P34/O34</f>
        <v>1</v>
      </c>
      <c r="R34" s="1069">
        <v>25</v>
      </c>
      <c r="S34" s="676" t="s">
        <v>1078</v>
      </c>
    </row>
    <row r="35" spans="1:19" ht="94.5" customHeight="1">
      <c r="A35" s="85" t="s">
        <v>741</v>
      </c>
      <c r="B35" s="43" t="s">
        <v>742</v>
      </c>
      <c r="C35" s="63" t="s">
        <v>743</v>
      </c>
      <c r="D35" s="39">
        <v>3</v>
      </c>
      <c r="E35" s="39">
        <v>3</v>
      </c>
      <c r="F35" s="119">
        <v>1</v>
      </c>
      <c r="G35" s="983"/>
      <c r="H35" s="902"/>
      <c r="I35" s="1024"/>
      <c r="J35" s="1024"/>
      <c r="K35" s="924"/>
      <c r="L35" s="737"/>
      <c r="M35" s="63" t="s">
        <v>1873</v>
      </c>
      <c r="N35" s="980"/>
      <c r="O35" s="1067"/>
      <c r="P35" s="1067"/>
      <c r="Q35" s="992"/>
      <c r="R35" s="1069"/>
      <c r="S35" s="676"/>
    </row>
    <row r="36" spans="1:19" ht="36" customHeight="1">
      <c r="A36" s="723" t="s">
        <v>744</v>
      </c>
      <c r="B36" s="843" t="s">
        <v>745</v>
      </c>
      <c r="C36" s="630" t="s">
        <v>746</v>
      </c>
      <c r="D36" s="1055">
        <v>66</v>
      </c>
      <c r="E36" s="1055">
        <v>66</v>
      </c>
      <c r="F36" s="1058">
        <v>1</v>
      </c>
      <c r="G36" s="843" t="s">
        <v>1074</v>
      </c>
      <c r="H36" s="127" t="s">
        <v>1218</v>
      </c>
      <c r="I36" s="912">
        <f>(397830985.17+1532500000)/1000</f>
        <v>1930330.98517</v>
      </c>
      <c r="J36" s="912">
        <f>(364324970.17+1532500000)/1000</f>
        <v>1896824.97017</v>
      </c>
      <c r="K36" s="922">
        <f>+J36/I36</f>
        <v>0.9826423472153667</v>
      </c>
      <c r="L36" s="857" t="s">
        <v>1075</v>
      </c>
      <c r="M36" s="630" t="s">
        <v>1874</v>
      </c>
      <c r="N36" s="982">
        <v>4</v>
      </c>
      <c r="O36" s="1043">
        <f>J36</f>
        <v>1896824.97017</v>
      </c>
      <c r="P36" s="1043">
        <f>J36</f>
        <v>1896824.97017</v>
      </c>
      <c r="Q36" s="990">
        <f>P36/O36</f>
        <v>1</v>
      </c>
      <c r="R36" s="604" t="s">
        <v>1221</v>
      </c>
      <c r="S36" s="662" t="s">
        <v>1078</v>
      </c>
    </row>
    <row r="37" spans="1:19" ht="36" customHeight="1">
      <c r="A37" s="724"/>
      <c r="B37" s="844"/>
      <c r="C37" s="687"/>
      <c r="D37" s="1056">
        <v>66</v>
      </c>
      <c r="E37" s="1056">
        <v>66</v>
      </c>
      <c r="F37" s="1059">
        <v>1</v>
      </c>
      <c r="G37" s="844"/>
      <c r="H37" s="127" t="s">
        <v>1219</v>
      </c>
      <c r="I37" s="913"/>
      <c r="J37" s="913"/>
      <c r="K37" s="923"/>
      <c r="L37" s="865"/>
      <c r="M37" s="687"/>
      <c r="N37" s="979"/>
      <c r="O37" s="1044"/>
      <c r="P37" s="1048"/>
      <c r="Q37" s="991"/>
      <c r="R37" s="634"/>
      <c r="S37" s="703"/>
    </row>
    <row r="38" spans="1:19" ht="70.5" customHeight="1">
      <c r="A38" s="725"/>
      <c r="B38" s="845"/>
      <c r="C38" s="688"/>
      <c r="D38" s="1057">
        <v>66</v>
      </c>
      <c r="E38" s="1057">
        <v>66</v>
      </c>
      <c r="F38" s="1060">
        <v>1</v>
      </c>
      <c r="G38" s="845"/>
      <c r="H38" s="127" t="s">
        <v>1220</v>
      </c>
      <c r="I38" s="914"/>
      <c r="J38" s="914"/>
      <c r="K38" s="924"/>
      <c r="L38" s="858"/>
      <c r="M38" s="688"/>
      <c r="N38" s="980"/>
      <c r="O38" s="1068"/>
      <c r="P38" s="1067"/>
      <c r="Q38" s="992"/>
      <c r="R38" s="605"/>
      <c r="S38" s="663"/>
    </row>
    <row r="39" spans="1:19" ht="48" customHeight="1">
      <c r="A39" s="85" t="s">
        <v>747</v>
      </c>
      <c r="B39" s="43" t="s">
        <v>748</v>
      </c>
      <c r="C39" s="83" t="s">
        <v>749</v>
      </c>
      <c r="D39" s="249">
        <v>0.09090909090909091</v>
      </c>
      <c r="E39" s="249">
        <v>0.09090909090909091</v>
      </c>
      <c r="F39" s="119">
        <v>1</v>
      </c>
      <c r="G39" s="983" t="s">
        <v>1222</v>
      </c>
      <c r="H39" s="619" t="s">
        <v>1223</v>
      </c>
      <c r="I39" s="981">
        <f>1098637184.59/1000</f>
        <v>1098637.18459</v>
      </c>
      <c r="J39" s="981">
        <f>435809516/1000</f>
        <v>435809.516</v>
      </c>
      <c r="K39" s="922">
        <f>J39/I39</f>
        <v>0.39668192749423425</v>
      </c>
      <c r="L39" s="736"/>
      <c r="M39" s="83" t="s">
        <v>1875</v>
      </c>
      <c r="N39" s="982">
        <v>3</v>
      </c>
      <c r="O39" s="981">
        <f>J39</f>
        <v>435809.516</v>
      </c>
      <c r="P39" s="981">
        <f>J39</f>
        <v>435809.516</v>
      </c>
      <c r="Q39" s="990">
        <f>P39/O39</f>
        <v>1</v>
      </c>
      <c r="R39" s="982">
        <v>25</v>
      </c>
      <c r="S39" s="676" t="s">
        <v>1078</v>
      </c>
    </row>
    <row r="40" spans="1:19" ht="59.25" customHeight="1">
      <c r="A40" s="85" t="s">
        <v>750</v>
      </c>
      <c r="B40" s="43" t="s">
        <v>751</v>
      </c>
      <c r="C40" s="83" t="s">
        <v>752</v>
      </c>
      <c r="D40" s="39">
        <v>210</v>
      </c>
      <c r="E40" s="248">
        <v>210</v>
      </c>
      <c r="F40" s="119">
        <v>1</v>
      </c>
      <c r="G40" s="983"/>
      <c r="H40" s="621"/>
      <c r="I40" s="1011"/>
      <c r="J40" s="1011"/>
      <c r="K40" s="923"/>
      <c r="L40" s="743"/>
      <c r="M40" s="83" t="s">
        <v>1876</v>
      </c>
      <c r="N40" s="979"/>
      <c r="O40" s="979"/>
      <c r="P40" s="979"/>
      <c r="Q40" s="991"/>
      <c r="R40" s="979"/>
      <c r="S40" s="676"/>
    </row>
    <row r="41" spans="1:19" ht="105" customHeight="1">
      <c r="A41" s="85" t="s">
        <v>753</v>
      </c>
      <c r="B41" s="43" t="s">
        <v>754</v>
      </c>
      <c r="C41" s="83" t="s">
        <v>755</v>
      </c>
      <c r="D41" s="39">
        <v>1</v>
      </c>
      <c r="E41" s="248">
        <v>1</v>
      </c>
      <c r="F41" s="119">
        <v>1</v>
      </c>
      <c r="G41" s="983"/>
      <c r="H41" s="127" t="s">
        <v>1225</v>
      </c>
      <c r="I41" s="1011"/>
      <c r="J41" s="1011"/>
      <c r="K41" s="923"/>
      <c r="L41" s="743"/>
      <c r="M41" s="83" t="s">
        <v>1877</v>
      </c>
      <c r="N41" s="979"/>
      <c r="O41" s="979"/>
      <c r="P41" s="979"/>
      <c r="Q41" s="991"/>
      <c r="R41" s="979"/>
      <c r="S41" s="676"/>
    </row>
    <row r="42" spans="1:19" ht="75" customHeight="1">
      <c r="A42" s="85" t="s">
        <v>756</v>
      </c>
      <c r="B42" s="43" t="s">
        <v>757</v>
      </c>
      <c r="C42" s="83" t="s">
        <v>758</v>
      </c>
      <c r="D42" s="39">
        <v>900</v>
      </c>
      <c r="E42" s="248">
        <v>878</v>
      </c>
      <c r="F42" s="119">
        <v>0.9755555555555555</v>
      </c>
      <c r="G42" s="983"/>
      <c r="H42" s="619" t="s">
        <v>1224</v>
      </c>
      <c r="I42" s="1011"/>
      <c r="J42" s="1011"/>
      <c r="K42" s="923"/>
      <c r="L42" s="743"/>
      <c r="M42" s="83" t="s">
        <v>1878</v>
      </c>
      <c r="N42" s="979"/>
      <c r="O42" s="979"/>
      <c r="P42" s="979"/>
      <c r="Q42" s="991"/>
      <c r="R42" s="979"/>
      <c r="S42" s="676"/>
    </row>
    <row r="43" spans="1:19" ht="72" customHeight="1">
      <c r="A43" s="85" t="s">
        <v>759</v>
      </c>
      <c r="B43" s="43" t="s">
        <v>760</v>
      </c>
      <c r="C43" s="83" t="s">
        <v>761</v>
      </c>
      <c r="D43" s="39">
        <v>110</v>
      </c>
      <c r="E43" s="248">
        <v>150</v>
      </c>
      <c r="F43" s="119">
        <v>1</v>
      </c>
      <c r="G43" s="983"/>
      <c r="H43" s="621"/>
      <c r="I43" s="987"/>
      <c r="J43" s="987"/>
      <c r="K43" s="924"/>
      <c r="L43" s="737"/>
      <c r="M43" s="83" t="s">
        <v>1879</v>
      </c>
      <c r="N43" s="980"/>
      <c r="O43" s="980"/>
      <c r="P43" s="980"/>
      <c r="Q43" s="992"/>
      <c r="R43" s="980"/>
      <c r="S43" s="676"/>
    </row>
    <row r="44" spans="1:19" ht="63.75" customHeight="1">
      <c r="A44" s="85" t="s">
        <v>762</v>
      </c>
      <c r="B44" s="43" t="s">
        <v>763</v>
      </c>
      <c r="C44" s="83" t="s">
        <v>764</v>
      </c>
      <c r="D44" s="39">
        <v>3</v>
      </c>
      <c r="E44" s="248">
        <v>4</v>
      </c>
      <c r="F44" s="119">
        <v>1</v>
      </c>
      <c r="G44" s="983" t="s">
        <v>1076</v>
      </c>
      <c r="H44" s="127" t="s">
        <v>1226</v>
      </c>
      <c r="I44" s="981">
        <f>167000000/1000</f>
        <v>167000</v>
      </c>
      <c r="J44" s="981">
        <f>166942080/1000</f>
        <v>166942.08</v>
      </c>
      <c r="K44" s="990">
        <f>J44/I44</f>
        <v>0.9996531736526946</v>
      </c>
      <c r="L44" s="862"/>
      <c r="M44" s="83" t="s">
        <v>1880</v>
      </c>
      <c r="N44" s="982">
        <v>6</v>
      </c>
      <c r="O44" s="981">
        <f>J44</f>
        <v>166942.08</v>
      </c>
      <c r="P44" s="1043">
        <f>J44</f>
        <v>166942.08</v>
      </c>
      <c r="Q44" s="990">
        <f>P44/O44</f>
        <v>1</v>
      </c>
      <c r="R44" s="1069">
        <v>25</v>
      </c>
      <c r="S44" s="676" t="s">
        <v>1078</v>
      </c>
    </row>
    <row r="45" spans="1:19" ht="50.25" customHeight="1">
      <c r="A45" s="85" t="s">
        <v>765</v>
      </c>
      <c r="B45" s="43" t="s">
        <v>766</v>
      </c>
      <c r="C45" s="83" t="s">
        <v>767</v>
      </c>
      <c r="D45" s="39">
        <v>18</v>
      </c>
      <c r="E45" s="248">
        <v>17</v>
      </c>
      <c r="F45" s="119">
        <v>0.9444444444444444</v>
      </c>
      <c r="G45" s="983"/>
      <c r="H45" s="619" t="s">
        <v>1227</v>
      </c>
      <c r="I45" s="979"/>
      <c r="J45" s="979"/>
      <c r="K45" s="991"/>
      <c r="L45" s="863"/>
      <c r="M45" s="83" t="s">
        <v>1881</v>
      </c>
      <c r="N45" s="979"/>
      <c r="O45" s="979"/>
      <c r="P45" s="1048"/>
      <c r="Q45" s="991"/>
      <c r="R45" s="1069"/>
      <c r="S45" s="676"/>
    </row>
    <row r="46" spans="1:19" ht="55.5" customHeight="1">
      <c r="A46" s="85" t="s">
        <v>768</v>
      </c>
      <c r="B46" s="43" t="s">
        <v>769</v>
      </c>
      <c r="C46" s="83" t="s">
        <v>770</v>
      </c>
      <c r="D46" s="39">
        <v>22</v>
      </c>
      <c r="E46" s="39">
        <v>22</v>
      </c>
      <c r="F46" s="119">
        <v>1</v>
      </c>
      <c r="G46" s="983"/>
      <c r="H46" s="621"/>
      <c r="I46" s="979"/>
      <c r="J46" s="979"/>
      <c r="K46" s="991"/>
      <c r="L46" s="863"/>
      <c r="M46" s="83" t="s">
        <v>1882</v>
      </c>
      <c r="N46" s="979"/>
      <c r="O46" s="979"/>
      <c r="P46" s="1048"/>
      <c r="Q46" s="991"/>
      <c r="R46" s="1069"/>
      <c r="S46" s="676"/>
    </row>
    <row r="47" spans="1:19" ht="54.75" customHeight="1">
      <c r="A47" s="85" t="s">
        <v>771</v>
      </c>
      <c r="B47" s="43" t="s">
        <v>772</v>
      </c>
      <c r="C47" s="83" t="s">
        <v>773</v>
      </c>
      <c r="D47" s="39">
        <v>430</v>
      </c>
      <c r="E47" s="39">
        <v>247</v>
      </c>
      <c r="F47" s="119">
        <v>0.5744186046511628</v>
      </c>
      <c r="G47" s="983"/>
      <c r="H47" s="619" t="s">
        <v>1228</v>
      </c>
      <c r="I47" s="979"/>
      <c r="J47" s="979"/>
      <c r="K47" s="991"/>
      <c r="L47" s="863"/>
      <c r="M47" s="83" t="s">
        <v>1883</v>
      </c>
      <c r="N47" s="979"/>
      <c r="O47" s="979"/>
      <c r="P47" s="1048"/>
      <c r="Q47" s="991"/>
      <c r="R47" s="1069"/>
      <c r="S47" s="676"/>
    </row>
    <row r="48" spans="1:19" ht="69.75" customHeight="1">
      <c r="A48" s="85" t="s">
        <v>774</v>
      </c>
      <c r="B48" s="43" t="s">
        <v>775</v>
      </c>
      <c r="C48" s="83" t="s">
        <v>776</v>
      </c>
      <c r="D48" s="39">
        <v>1</v>
      </c>
      <c r="E48" s="248">
        <v>1</v>
      </c>
      <c r="F48" s="119">
        <v>1</v>
      </c>
      <c r="G48" s="983"/>
      <c r="H48" s="621"/>
      <c r="I48" s="980"/>
      <c r="J48" s="980"/>
      <c r="K48" s="992"/>
      <c r="L48" s="864"/>
      <c r="M48" s="83" t="s">
        <v>1884</v>
      </c>
      <c r="N48" s="980"/>
      <c r="O48" s="980"/>
      <c r="P48" s="1067"/>
      <c r="Q48" s="992"/>
      <c r="R48" s="1069"/>
      <c r="S48" s="676"/>
    </row>
    <row r="49" spans="1:19" ht="54" customHeight="1">
      <c r="A49" s="85" t="s">
        <v>777</v>
      </c>
      <c r="B49" s="43" t="s">
        <v>778</v>
      </c>
      <c r="C49" s="83" t="s">
        <v>779</v>
      </c>
      <c r="D49" s="39">
        <v>1</v>
      </c>
      <c r="E49" s="39">
        <v>1</v>
      </c>
      <c r="F49" s="119">
        <v>1</v>
      </c>
      <c r="G49" s="983" t="s">
        <v>1077</v>
      </c>
      <c r="H49" s="619" t="s">
        <v>1226</v>
      </c>
      <c r="I49" s="511">
        <f>40000000/1000</f>
        <v>40000</v>
      </c>
      <c r="J49" s="511">
        <f>40000000/1000</f>
        <v>40000</v>
      </c>
      <c r="K49" s="922">
        <f>+J49/I49</f>
        <v>1</v>
      </c>
      <c r="L49" s="862"/>
      <c r="M49" s="83" t="s">
        <v>1885</v>
      </c>
      <c r="N49" s="982">
        <v>11</v>
      </c>
      <c r="O49" s="981">
        <f>J49</f>
        <v>40000</v>
      </c>
      <c r="P49" s="1043">
        <f>J49</f>
        <v>40000</v>
      </c>
      <c r="Q49" s="990">
        <f>P49/O49</f>
        <v>1</v>
      </c>
      <c r="R49" s="1069">
        <v>25</v>
      </c>
      <c r="S49" s="676" t="s">
        <v>1078</v>
      </c>
    </row>
    <row r="50" spans="1:19" ht="81.75" customHeight="1">
      <c r="A50" s="85" t="s">
        <v>780</v>
      </c>
      <c r="B50" s="43" t="s">
        <v>781</v>
      </c>
      <c r="C50" s="83" t="s">
        <v>782</v>
      </c>
      <c r="D50" s="39">
        <v>42</v>
      </c>
      <c r="E50" s="39">
        <v>43</v>
      </c>
      <c r="F50" s="119">
        <v>1</v>
      </c>
      <c r="G50" s="983"/>
      <c r="H50" s="621"/>
      <c r="I50" s="915"/>
      <c r="J50" s="915"/>
      <c r="K50" s="923"/>
      <c r="L50" s="863"/>
      <c r="M50" s="83" t="s">
        <v>1886</v>
      </c>
      <c r="N50" s="979"/>
      <c r="O50" s="979"/>
      <c r="P50" s="1044"/>
      <c r="Q50" s="991"/>
      <c r="R50" s="1069"/>
      <c r="S50" s="676"/>
    </row>
    <row r="51" spans="1:19" ht="58.5" customHeight="1">
      <c r="A51" s="85" t="s">
        <v>783</v>
      </c>
      <c r="B51" s="43" t="s">
        <v>784</v>
      </c>
      <c r="C51" s="83" t="s">
        <v>785</v>
      </c>
      <c r="D51" s="39">
        <v>11</v>
      </c>
      <c r="E51" s="39">
        <v>11</v>
      </c>
      <c r="F51" s="119">
        <v>1</v>
      </c>
      <c r="G51" s="983"/>
      <c r="H51" s="619" t="s">
        <v>1229</v>
      </c>
      <c r="I51" s="915"/>
      <c r="J51" s="915"/>
      <c r="K51" s="923"/>
      <c r="L51" s="863"/>
      <c r="M51" s="83" t="s">
        <v>1887</v>
      </c>
      <c r="N51" s="979"/>
      <c r="O51" s="979"/>
      <c r="P51" s="1044"/>
      <c r="Q51" s="991"/>
      <c r="R51" s="1069"/>
      <c r="S51" s="676"/>
    </row>
    <row r="52" spans="1:19" ht="112.5" customHeight="1">
      <c r="A52" s="85" t="s">
        <v>786</v>
      </c>
      <c r="B52" s="43" t="s">
        <v>787</v>
      </c>
      <c r="C52" s="83" t="s">
        <v>788</v>
      </c>
      <c r="D52" s="39">
        <v>1</v>
      </c>
      <c r="E52" s="39">
        <v>1</v>
      </c>
      <c r="F52" s="119">
        <v>1</v>
      </c>
      <c r="G52" s="983"/>
      <c r="H52" s="621"/>
      <c r="I52" s="512"/>
      <c r="J52" s="512"/>
      <c r="K52" s="924"/>
      <c r="L52" s="864"/>
      <c r="M52" s="83" t="s">
        <v>1888</v>
      </c>
      <c r="N52" s="980"/>
      <c r="O52" s="980"/>
      <c r="P52" s="1068"/>
      <c r="Q52" s="991"/>
      <c r="R52" s="1069"/>
      <c r="S52" s="676"/>
    </row>
    <row r="53" spans="1:19" ht="63.75" customHeight="1">
      <c r="A53" s="85" t="s">
        <v>1230</v>
      </c>
      <c r="B53" s="43" t="s">
        <v>789</v>
      </c>
      <c r="C53" s="43" t="s">
        <v>790</v>
      </c>
      <c r="D53" s="39">
        <v>54</v>
      </c>
      <c r="E53" s="248">
        <v>54</v>
      </c>
      <c r="F53" s="119">
        <v>1</v>
      </c>
      <c r="G53" s="983" t="s">
        <v>1234</v>
      </c>
      <c r="H53" s="127" t="s">
        <v>1204</v>
      </c>
      <c r="I53" s="1064">
        <f>56500000/1000</f>
        <v>56500</v>
      </c>
      <c r="J53" s="1064">
        <f>55666666/1000</f>
        <v>55666.666</v>
      </c>
      <c r="K53" s="1065">
        <f>+J53/I53</f>
        <v>0.9852507256637167</v>
      </c>
      <c r="L53" s="736"/>
      <c r="M53" s="43" t="s">
        <v>1889</v>
      </c>
      <c r="N53" s="982">
        <v>3</v>
      </c>
      <c r="O53" s="981">
        <f>J53</f>
        <v>55666.666</v>
      </c>
      <c r="P53" s="1043">
        <f>J53</f>
        <v>55666.666</v>
      </c>
      <c r="Q53" s="1045">
        <f>P53/O53</f>
        <v>1</v>
      </c>
      <c r="R53" s="1047">
        <v>25</v>
      </c>
      <c r="S53" s="676" t="s">
        <v>1078</v>
      </c>
    </row>
    <row r="54" spans="1:19" ht="57.75" customHeight="1">
      <c r="A54" s="85" t="s">
        <v>1231</v>
      </c>
      <c r="B54" s="43" t="s">
        <v>791</v>
      </c>
      <c r="C54" s="43" t="s">
        <v>1233</v>
      </c>
      <c r="D54" s="39">
        <v>6</v>
      </c>
      <c r="E54" s="248">
        <v>1</v>
      </c>
      <c r="F54" s="119">
        <v>0.16666666666666666</v>
      </c>
      <c r="G54" s="983"/>
      <c r="H54" s="619" t="s">
        <v>1235</v>
      </c>
      <c r="I54" s="1064"/>
      <c r="J54" s="1064"/>
      <c r="K54" s="1065"/>
      <c r="L54" s="743"/>
      <c r="M54" s="43" t="s">
        <v>1890</v>
      </c>
      <c r="N54" s="979"/>
      <c r="O54" s="979"/>
      <c r="P54" s="1044"/>
      <c r="Q54" s="1046"/>
      <c r="R54" s="1048"/>
      <c r="S54" s="676"/>
    </row>
    <row r="55" spans="1:19" ht="77.25" customHeight="1">
      <c r="A55" s="85" t="s">
        <v>1232</v>
      </c>
      <c r="B55" s="43" t="s">
        <v>798</v>
      </c>
      <c r="C55" s="43" t="s">
        <v>799</v>
      </c>
      <c r="D55" s="39">
        <v>8</v>
      </c>
      <c r="E55" s="248">
        <v>8</v>
      </c>
      <c r="F55" s="119">
        <v>1</v>
      </c>
      <c r="G55" s="983"/>
      <c r="H55" s="621"/>
      <c r="I55" s="1064"/>
      <c r="J55" s="1064"/>
      <c r="K55" s="1065"/>
      <c r="L55" s="737"/>
      <c r="M55" s="43" t="s">
        <v>1891</v>
      </c>
      <c r="N55" s="980"/>
      <c r="O55" s="979"/>
      <c r="P55" s="1044"/>
      <c r="Q55" s="1046"/>
      <c r="R55" s="1048"/>
      <c r="S55" s="676"/>
    </row>
    <row r="56" spans="1:19" ht="89.25" customHeight="1">
      <c r="A56" s="85" t="s">
        <v>1237</v>
      </c>
      <c r="B56" s="43" t="s">
        <v>792</v>
      </c>
      <c r="C56" s="43" t="s">
        <v>793</v>
      </c>
      <c r="D56" s="39">
        <v>1</v>
      </c>
      <c r="E56" s="248">
        <v>1</v>
      </c>
      <c r="F56" s="119">
        <v>1</v>
      </c>
      <c r="G56" s="983" t="s">
        <v>1236</v>
      </c>
      <c r="H56" s="843" t="s">
        <v>1240</v>
      </c>
      <c r="I56" s="1061">
        <f>790000000/1000</f>
        <v>790000</v>
      </c>
      <c r="J56" s="1049">
        <f>35000000/1000</f>
        <v>35000</v>
      </c>
      <c r="K56" s="1052">
        <f>+J56/I56</f>
        <v>0.04430379746835443</v>
      </c>
      <c r="L56" s="736"/>
      <c r="M56" s="43" t="s">
        <v>1892</v>
      </c>
      <c r="N56" s="982">
        <v>3</v>
      </c>
      <c r="O56" s="981">
        <f>J56</f>
        <v>35000</v>
      </c>
      <c r="P56" s="1043">
        <f>J56</f>
        <v>35000</v>
      </c>
      <c r="Q56" s="1045">
        <f>P56/O56</f>
        <v>1</v>
      </c>
      <c r="R56" s="1047">
        <v>25</v>
      </c>
      <c r="S56" s="676" t="s">
        <v>1078</v>
      </c>
    </row>
    <row r="57" spans="1:19" ht="90" customHeight="1">
      <c r="A57" s="85" t="s">
        <v>1238</v>
      </c>
      <c r="B57" s="43" t="s">
        <v>794</v>
      </c>
      <c r="C57" s="43" t="s">
        <v>795</v>
      </c>
      <c r="D57" s="39">
        <v>1</v>
      </c>
      <c r="E57" s="248">
        <v>1</v>
      </c>
      <c r="F57" s="119">
        <v>1</v>
      </c>
      <c r="G57" s="983"/>
      <c r="H57" s="844"/>
      <c r="I57" s="1062"/>
      <c r="J57" s="1050"/>
      <c r="K57" s="1053"/>
      <c r="L57" s="743"/>
      <c r="M57" s="43" t="s">
        <v>1893</v>
      </c>
      <c r="N57" s="979"/>
      <c r="O57" s="979"/>
      <c r="P57" s="1044"/>
      <c r="Q57" s="1046"/>
      <c r="R57" s="1048"/>
      <c r="S57" s="676"/>
    </row>
    <row r="58" spans="1:19" ht="81" customHeight="1">
      <c r="A58" s="85" t="s">
        <v>1239</v>
      </c>
      <c r="B58" s="43" t="s">
        <v>796</v>
      </c>
      <c r="C58" s="43" t="s">
        <v>797</v>
      </c>
      <c r="D58" s="39">
        <v>1</v>
      </c>
      <c r="E58" s="248">
        <v>7</v>
      </c>
      <c r="F58" s="119">
        <v>1</v>
      </c>
      <c r="G58" s="983"/>
      <c r="H58" s="845"/>
      <c r="I58" s="1063"/>
      <c r="J58" s="1051"/>
      <c r="K58" s="1054"/>
      <c r="L58" s="737"/>
      <c r="M58" s="43" t="s">
        <v>1894</v>
      </c>
      <c r="N58" s="980"/>
      <c r="O58" s="979"/>
      <c r="P58" s="1044"/>
      <c r="Q58" s="1046"/>
      <c r="R58" s="1048"/>
      <c r="S58" s="676"/>
    </row>
    <row r="59" spans="1:19" s="45" customFormat="1" ht="23.25" customHeight="1">
      <c r="A59" s="519" t="s">
        <v>1093</v>
      </c>
      <c r="B59" s="520"/>
      <c r="C59" s="268"/>
      <c r="D59" s="125"/>
      <c r="E59" s="125"/>
      <c r="F59" s="312">
        <v>0.88</v>
      </c>
      <c r="G59" s="107">
        <v>16</v>
      </c>
      <c r="H59" s="28"/>
      <c r="I59" s="251">
        <f>SUM(I8:I58)</f>
        <v>103261042.4315</v>
      </c>
      <c r="J59" s="251">
        <f>SUM(J8:J58)</f>
        <v>97310767.26653999</v>
      </c>
      <c r="K59" s="311">
        <f>J59/I59</f>
        <v>0.942376379079194</v>
      </c>
      <c r="L59" s="28"/>
      <c r="M59" s="23"/>
      <c r="N59" s="106">
        <f>SUM(N8:N58)</f>
        <v>67</v>
      </c>
      <c r="O59" s="106">
        <f>SUM(O8:O58)</f>
        <v>98285687.85253999</v>
      </c>
      <c r="P59" s="106">
        <f>SUM(P8:P58)</f>
        <v>97310767.26653999</v>
      </c>
      <c r="Q59" s="297">
        <v>0.99</v>
      </c>
      <c r="R59" s="30"/>
      <c r="S59" s="28"/>
    </row>
    <row r="60" spans="1:19" s="45" customFormat="1" ht="21" customHeight="1">
      <c r="A60" s="519" t="s">
        <v>6</v>
      </c>
      <c r="B60" s="520"/>
      <c r="C60" s="269"/>
      <c r="D60" s="126"/>
      <c r="E60" s="126"/>
      <c r="F60" s="126"/>
      <c r="G60" s="55"/>
      <c r="H60" s="55"/>
      <c r="I60" s="90"/>
      <c r="J60" s="90"/>
      <c r="K60" s="90"/>
      <c r="L60" s="55"/>
      <c r="M60" s="55"/>
      <c r="N60" s="55"/>
      <c r="O60" s="55"/>
      <c r="P60" s="55"/>
      <c r="Q60" s="55"/>
      <c r="R60" s="19"/>
      <c r="S60" s="55"/>
    </row>
    <row r="61" spans="1:19" s="45" customFormat="1" ht="22.5" customHeight="1">
      <c r="A61" s="549" t="s">
        <v>1713</v>
      </c>
      <c r="B61" s="550"/>
      <c r="C61" s="270"/>
      <c r="D61" s="255"/>
      <c r="E61" s="255"/>
      <c r="F61" s="255"/>
      <c r="G61" s="55"/>
      <c r="H61" s="55"/>
      <c r="I61" s="90"/>
      <c r="J61" s="90"/>
      <c r="K61" s="90"/>
      <c r="L61" s="55"/>
      <c r="M61" s="55"/>
      <c r="N61" s="55"/>
      <c r="O61" s="55"/>
      <c r="P61" s="55"/>
      <c r="Q61" s="55"/>
      <c r="R61" s="167"/>
      <c r="S61" s="55"/>
    </row>
    <row r="62" spans="1:19" s="45" customFormat="1" ht="15">
      <c r="A62" s="549"/>
      <c r="B62" s="550"/>
      <c r="C62" s="16"/>
      <c r="D62" s="16"/>
      <c r="E62" s="16"/>
      <c r="F62" s="16"/>
      <c r="G62" s="55"/>
      <c r="H62" s="55"/>
      <c r="I62" s="90"/>
      <c r="J62" s="90"/>
      <c r="K62" s="90"/>
      <c r="L62" s="55"/>
      <c r="M62" s="55"/>
      <c r="N62" s="55"/>
      <c r="O62" s="55"/>
      <c r="P62" s="55"/>
      <c r="Q62" s="55"/>
      <c r="R62" s="19"/>
      <c r="S62" s="55"/>
    </row>
    <row r="63" spans="1:19" ht="18.75" customHeight="1">
      <c r="A63" s="549" t="s">
        <v>7</v>
      </c>
      <c r="B63" s="550"/>
      <c r="C63" s="278" t="s">
        <v>1099</v>
      </c>
      <c r="D63" s="100"/>
      <c r="E63" s="100"/>
      <c r="F63" s="100"/>
      <c r="G63" s="101"/>
      <c r="H63" s="101"/>
      <c r="I63" s="101"/>
      <c r="J63" s="101"/>
      <c r="K63" s="101"/>
      <c r="L63" s="66"/>
      <c r="M63" s="66"/>
      <c r="N63" s="66"/>
      <c r="O63" s="66"/>
      <c r="P63" s="66"/>
      <c r="Q63" s="66"/>
      <c r="R63" s="58"/>
      <c r="S63" s="66"/>
    </row>
  </sheetData>
  <sheetProtection/>
  <mergeCells count="191">
    <mergeCell ref="H54:H55"/>
    <mergeCell ref="H42:H43"/>
    <mergeCell ref="H39:H40"/>
    <mergeCell ref="H47:H48"/>
    <mergeCell ref="H45:H46"/>
    <mergeCell ref="H49:H50"/>
    <mergeCell ref="A61:B61"/>
    <mergeCell ref="A59:B59"/>
    <mergeCell ref="A60:B60"/>
    <mergeCell ref="G17:G19"/>
    <mergeCell ref="G20:G23"/>
    <mergeCell ref="H56:H58"/>
    <mergeCell ref="H51:H52"/>
    <mergeCell ref="H22:H23"/>
    <mergeCell ref="H20:H21"/>
    <mergeCell ref="H34:H35"/>
    <mergeCell ref="C6:C7"/>
    <mergeCell ref="G28:G33"/>
    <mergeCell ref="G39:G43"/>
    <mergeCell ref="G49:G52"/>
    <mergeCell ref="G53:G55"/>
    <mergeCell ref="G56:G58"/>
    <mergeCell ref="F6:F7"/>
    <mergeCell ref="G44:G48"/>
    <mergeCell ref="G36:G38"/>
    <mergeCell ref="G24:G27"/>
    <mergeCell ref="S5:S7"/>
    <mergeCell ref="A62:B62"/>
    <mergeCell ref="A63:B63"/>
    <mergeCell ref="H6:H7"/>
    <mergeCell ref="G34:G35"/>
    <mergeCell ref="B36:B38"/>
    <mergeCell ref="A36:A38"/>
    <mergeCell ref="B6:B7"/>
    <mergeCell ref="G6:G7"/>
    <mergeCell ref="P11:P15"/>
    <mergeCell ref="A2:S2"/>
    <mergeCell ref="A3:S3"/>
    <mergeCell ref="A4:G4"/>
    <mergeCell ref="H4:L4"/>
    <mergeCell ref="K6:K7"/>
    <mergeCell ref="N6:N7"/>
    <mergeCell ref="A6:A7"/>
    <mergeCell ref="D6:D7"/>
    <mergeCell ref="E6:E7"/>
    <mergeCell ref="A5:F5"/>
    <mergeCell ref="R17:R19"/>
    <mergeCell ref="R20:R23"/>
    <mergeCell ref="L17:L19"/>
    <mergeCell ref="N17:N19"/>
    <mergeCell ref="O17:O19"/>
    <mergeCell ref="G11:G15"/>
    <mergeCell ref="H12:H13"/>
    <mergeCell ref="H14:H15"/>
    <mergeCell ref="K17:K19"/>
    <mergeCell ref="K11:K15"/>
    <mergeCell ref="S11:S15"/>
    <mergeCell ref="M6:M7"/>
    <mergeCell ref="P6:P7"/>
    <mergeCell ref="Q6:Q7"/>
    <mergeCell ref="R6:R7"/>
    <mergeCell ref="Q11:Q15"/>
    <mergeCell ref="N11:N15"/>
    <mergeCell ref="O11:O15"/>
    <mergeCell ref="M11:M15"/>
    <mergeCell ref="R11:R15"/>
    <mergeCell ref="L11:L15"/>
    <mergeCell ref="H26:H27"/>
    <mergeCell ref="I17:I19"/>
    <mergeCell ref="J17:J19"/>
    <mergeCell ref="S17:S19"/>
    <mergeCell ref="S20:S23"/>
    <mergeCell ref="R24:R27"/>
    <mergeCell ref="S24:S27"/>
    <mergeCell ref="P17:P19"/>
    <mergeCell ref="I20:I23"/>
    <mergeCell ref="J20:J23"/>
    <mergeCell ref="I24:I27"/>
    <mergeCell ref="I6:I7"/>
    <mergeCell ref="J6:J7"/>
    <mergeCell ref="I11:I15"/>
    <mergeCell ref="J11:J15"/>
    <mergeCell ref="R34:R35"/>
    <mergeCell ref="L30:L33"/>
    <mergeCell ref="H32:H33"/>
    <mergeCell ref="I28:I33"/>
    <mergeCell ref="H28:H29"/>
    <mergeCell ref="H30:H31"/>
    <mergeCell ref="J28:J33"/>
    <mergeCell ref="Q24:Q27"/>
    <mergeCell ref="Q28:Q33"/>
    <mergeCell ref="J24:J27"/>
    <mergeCell ref="K24:K27"/>
    <mergeCell ref="L26:L27"/>
    <mergeCell ref="P28:P33"/>
    <mergeCell ref="K28:K33"/>
    <mergeCell ref="N28:N33"/>
    <mergeCell ref="H24:H25"/>
    <mergeCell ref="N24:N27"/>
    <mergeCell ref="P34:P35"/>
    <mergeCell ref="O39:O43"/>
    <mergeCell ref="S28:S33"/>
    <mergeCell ref="S39:S43"/>
    <mergeCell ref="P39:P43"/>
    <mergeCell ref="Q39:Q43"/>
    <mergeCell ref="O36:O38"/>
    <mergeCell ref="Q34:Q35"/>
    <mergeCell ref="R39:R43"/>
    <mergeCell ref="S34:S35"/>
    <mergeCell ref="I49:I52"/>
    <mergeCell ref="R36:R38"/>
    <mergeCell ref="P49:P52"/>
    <mergeCell ref="Q49:Q52"/>
    <mergeCell ref="R49:R52"/>
    <mergeCell ref="R44:R48"/>
    <mergeCell ref="P44:P48"/>
    <mergeCell ref="Q44:Q48"/>
    <mergeCell ref="P36:P38"/>
    <mergeCell ref="Q36:Q38"/>
    <mergeCell ref="J44:J48"/>
    <mergeCell ref="K44:K48"/>
    <mergeCell ref="N44:N48"/>
    <mergeCell ref="L39:L43"/>
    <mergeCell ref="N39:N43"/>
    <mergeCell ref="L44:L48"/>
    <mergeCell ref="M36:M38"/>
    <mergeCell ref="I39:I43"/>
    <mergeCell ref="J39:J43"/>
    <mergeCell ref="J36:J38"/>
    <mergeCell ref="L36:L38"/>
    <mergeCell ref="K39:K43"/>
    <mergeCell ref="M4:O4"/>
    <mergeCell ref="O6:O7"/>
    <mergeCell ref="L6:L7"/>
    <mergeCell ref="O28:O33"/>
    <mergeCell ref="Q17:Q19"/>
    <mergeCell ref="P20:P23"/>
    <mergeCell ref="Q20:Q23"/>
    <mergeCell ref="P24:P27"/>
    <mergeCell ref="P4:S4"/>
    <mergeCell ref="R28:R33"/>
    <mergeCell ref="O20:O23"/>
    <mergeCell ref="K20:K23"/>
    <mergeCell ref="L20:L23"/>
    <mergeCell ref="N20:N23"/>
    <mergeCell ref="I34:I35"/>
    <mergeCell ref="J34:J35"/>
    <mergeCell ref="K34:K35"/>
    <mergeCell ref="L34:L35"/>
    <mergeCell ref="N34:N35"/>
    <mergeCell ref="O34:O35"/>
    <mergeCell ref="I53:I55"/>
    <mergeCell ref="J53:J55"/>
    <mergeCell ref="J49:J52"/>
    <mergeCell ref="O24:O27"/>
    <mergeCell ref="K53:K55"/>
    <mergeCell ref="K49:K52"/>
    <mergeCell ref="L49:L52"/>
    <mergeCell ref="N49:N52"/>
    <mergeCell ref="I44:I48"/>
    <mergeCell ref="I36:I38"/>
    <mergeCell ref="S56:S58"/>
    <mergeCell ref="J56:J58"/>
    <mergeCell ref="N56:N58"/>
    <mergeCell ref="O56:O58"/>
    <mergeCell ref="K56:K58"/>
    <mergeCell ref="C36:C38"/>
    <mergeCell ref="D36:D38"/>
    <mergeCell ref="E36:E38"/>
    <mergeCell ref="F36:F38"/>
    <mergeCell ref="K36:K38"/>
    <mergeCell ref="S36:S38"/>
    <mergeCell ref="L53:L55"/>
    <mergeCell ref="N53:N55"/>
    <mergeCell ref="O53:O55"/>
    <mergeCell ref="S53:S55"/>
    <mergeCell ref="O44:O48"/>
    <mergeCell ref="S44:S48"/>
    <mergeCell ref="S49:S52"/>
    <mergeCell ref="O49:O52"/>
    <mergeCell ref="N36:N38"/>
    <mergeCell ref="G5:M5"/>
    <mergeCell ref="N5:R5"/>
    <mergeCell ref="P56:P58"/>
    <mergeCell ref="Q56:Q58"/>
    <mergeCell ref="R56:R58"/>
    <mergeCell ref="P53:P55"/>
    <mergeCell ref="Q53:Q55"/>
    <mergeCell ref="L56:L58"/>
    <mergeCell ref="R53:R55"/>
    <mergeCell ref="I56:I58"/>
  </mergeCells>
  <printOptions/>
  <pageMargins left="1.299212598425197" right="0" top="0.7480314960629921" bottom="0.7480314960629921" header="0.31496062992125984" footer="0.31496062992125984"/>
  <pageSetup horizontalDpi="600" verticalDpi="600" orientation="landscape" paperSize="5" scale="75" r:id="rId3"/>
  <headerFooter>
    <oddFooter>&amp;CPágina &amp;P</oddFooter>
  </headerFooter>
  <legacyDrawing r:id="rId2"/>
</worksheet>
</file>

<file path=xl/worksheets/sheet15.xml><?xml version="1.0" encoding="utf-8"?>
<worksheet xmlns="http://schemas.openxmlformats.org/spreadsheetml/2006/main" xmlns:r="http://schemas.openxmlformats.org/officeDocument/2006/relationships">
  <dimension ref="A1:S84"/>
  <sheetViews>
    <sheetView zoomScale="60" zoomScaleNormal="60" zoomScalePageLayoutView="0" workbookViewId="0" topLeftCell="A11">
      <selection activeCell="F8" sqref="F8:F19"/>
    </sheetView>
  </sheetViews>
  <sheetFormatPr defaultColWidth="11.421875" defaultRowHeight="15"/>
  <cols>
    <col min="1" max="1" width="18.00390625" style="59" customWidth="1"/>
    <col min="2" max="2" width="38.421875" style="56" customWidth="1"/>
    <col min="3" max="3" width="26.28125" style="56" customWidth="1"/>
    <col min="4" max="6" width="18.7109375" style="56" customWidth="1"/>
    <col min="7" max="7" width="32.00390625" style="56" customWidth="1"/>
    <col min="8" max="8" width="32.57421875" style="59" customWidth="1"/>
    <col min="9" max="9" width="22.28125" style="59" customWidth="1"/>
    <col min="10" max="10" width="18.7109375" style="59" customWidth="1"/>
    <col min="11" max="11" width="18.7109375" style="364" customWidth="1"/>
    <col min="12" max="12" width="52.421875" style="56" customWidth="1"/>
    <col min="13" max="13" width="26.421875" style="56" customWidth="1"/>
    <col min="14" max="14" width="19.8515625" style="56" customWidth="1"/>
    <col min="15" max="15" width="20.28125" style="56" customWidth="1"/>
    <col min="16" max="16" width="20.57421875" style="56" customWidth="1"/>
    <col min="17" max="17" width="17.00390625" style="56" customWidth="1"/>
    <col min="18" max="18" width="13.140625" style="56" customWidth="1"/>
    <col min="19" max="19" width="20.7109375" style="56" customWidth="1"/>
    <col min="20" max="16384" width="11.421875" style="56" customWidth="1"/>
  </cols>
  <sheetData>
    <row r="1" spans="11:18" s="46" customFormat="1" ht="18.75" customHeight="1" thickBot="1">
      <c r="K1" s="313"/>
      <c r="R1" s="62"/>
    </row>
    <row r="2" spans="1:19" s="253" customFormat="1" ht="18.75" customHeight="1" thickBot="1">
      <c r="A2" s="505" t="s">
        <v>8</v>
      </c>
      <c r="B2" s="506"/>
      <c r="C2" s="506"/>
      <c r="D2" s="506"/>
      <c r="E2" s="506"/>
      <c r="F2" s="506"/>
      <c r="G2" s="506"/>
      <c r="H2" s="506"/>
      <c r="I2" s="506"/>
      <c r="J2" s="506"/>
      <c r="K2" s="506"/>
      <c r="L2" s="506"/>
      <c r="M2" s="506"/>
      <c r="N2" s="506"/>
      <c r="O2" s="506"/>
      <c r="P2" s="506"/>
      <c r="Q2" s="506"/>
      <c r="R2" s="506"/>
      <c r="S2" s="507"/>
    </row>
    <row r="3" spans="1:19" s="253" customFormat="1" ht="18.75" customHeight="1" thickBot="1">
      <c r="A3" s="508" t="s">
        <v>1683</v>
      </c>
      <c r="B3" s="509"/>
      <c r="C3" s="509"/>
      <c r="D3" s="509"/>
      <c r="E3" s="509"/>
      <c r="F3" s="509"/>
      <c r="G3" s="509"/>
      <c r="H3" s="509"/>
      <c r="I3" s="509"/>
      <c r="J3" s="509"/>
      <c r="K3" s="509"/>
      <c r="L3" s="509"/>
      <c r="M3" s="509"/>
      <c r="N3" s="509"/>
      <c r="O3" s="509"/>
      <c r="P3" s="509"/>
      <c r="Q3" s="509"/>
      <c r="R3" s="509"/>
      <c r="S3" s="510"/>
    </row>
    <row r="4" spans="1:19" s="11" customFormat="1" ht="22.5" customHeight="1">
      <c r="A4" s="666" t="s">
        <v>1188</v>
      </c>
      <c r="B4" s="667"/>
      <c r="C4" s="667"/>
      <c r="D4" s="667"/>
      <c r="E4" s="667"/>
      <c r="F4" s="667"/>
      <c r="G4" s="668"/>
      <c r="H4" s="684" t="s">
        <v>1721</v>
      </c>
      <c r="I4" s="684"/>
      <c r="J4" s="684"/>
      <c r="K4" s="684"/>
      <c r="L4" s="684"/>
      <c r="M4" s="666" t="s">
        <v>1183</v>
      </c>
      <c r="N4" s="667"/>
      <c r="O4" s="668"/>
      <c r="P4" s="666" t="s">
        <v>1189</v>
      </c>
      <c r="Q4" s="667"/>
      <c r="R4" s="667"/>
      <c r="S4" s="668"/>
    </row>
    <row r="5" spans="1:19" s="86" customFormat="1" ht="24" customHeight="1">
      <c r="A5" s="698" t="s">
        <v>0</v>
      </c>
      <c r="B5" s="699"/>
      <c r="C5" s="699"/>
      <c r="D5" s="699"/>
      <c r="E5" s="699"/>
      <c r="F5" s="700"/>
      <c r="G5" s="697" t="s">
        <v>1</v>
      </c>
      <c r="H5" s="697"/>
      <c r="I5" s="697"/>
      <c r="J5" s="697"/>
      <c r="K5" s="697"/>
      <c r="L5" s="697"/>
      <c r="M5" s="697"/>
      <c r="N5" s="697" t="s">
        <v>1187</v>
      </c>
      <c r="O5" s="697"/>
      <c r="P5" s="697"/>
      <c r="Q5" s="697"/>
      <c r="R5" s="697"/>
      <c r="S5" s="669" t="s">
        <v>1685</v>
      </c>
    </row>
    <row r="6" spans="1:19" s="62" customFormat="1" ht="40.5" customHeight="1">
      <c r="A6" s="669" t="s">
        <v>2</v>
      </c>
      <c r="B6" s="669" t="s">
        <v>1104</v>
      </c>
      <c r="C6" s="669" t="s">
        <v>3</v>
      </c>
      <c r="D6" s="669" t="s">
        <v>1116</v>
      </c>
      <c r="E6" s="669" t="s">
        <v>1117</v>
      </c>
      <c r="F6" s="669" t="s">
        <v>1118</v>
      </c>
      <c r="G6" s="697" t="s">
        <v>1186</v>
      </c>
      <c r="H6" s="669" t="s">
        <v>9</v>
      </c>
      <c r="I6" s="693" t="s">
        <v>1180</v>
      </c>
      <c r="J6" s="693" t="s">
        <v>1181</v>
      </c>
      <c r="K6" s="695" t="s">
        <v>1103</v>
      </c>
      <c r="L6" s="682" t="s">
        <v>1637</v>
      </c>
      <c r="M6" s="669" t="s">
        <v>1914</v>
      </c>
      <c r="N6" s="669" t="s">
        <v>1115</v>
      </c>
      <c r="O6" s="669" t="s">
        <v>1119</v>
      </c>
      <c r="P6" s="669" t="s">
        <v>1120</v>
      </c>
      <c r="Q6" s="669" t="s">
        <v>1185</v>
      </c>
      <c r="R6" s="669" t="s">
        <v>926</v>
      </c>
      <c r="S6" s="761"/>
    </row>
    <row r="7" spans="1:19" s="62" customFormat="1" ht="36" customHeight="1">
      <c r="A7" s="670"/>
      <c r="B7" s="670"/>
      <c r="C7" s="670"/>
      <c r="D7" s="670"/>
      <c r="E7" s="670"/>
      <c r="F7" s="670"/>
      <c r="G7" s="697"/>
      <c r="H7" s="670"/>
      <c r="I7" s="694"/>
      <c r="J7" s="694"/>
      <c r="K7" s="696"/>
      <c r="L7" s="683"/>
      <c r="M7" s="670"/>
      <c r="N7" s="670"/>
      <c r="O7" s="670"/>
      <c r="P7" s="670"/>
      <c r="Q7" s="670"/>
      <c r="R7" s="670"/>
      <c r="S7" s="670"/>
    </row>
    <row r="8" spans="1:19" s="62" customFormat="1" ht="79.5" customHeight="1">
      <c r="A8" s="525" t="s">
        <v>802</v>
      </c>
      <c r="B8" s="527" t="s">
        <v>803</v>
      </c>
      <c r="C8" s="527" t="s">
        <v>804</v>
      </c>
      <c r="D8" s="1089">
        <v>6</v>
      </c>
      <c r="E8" s="1086">
        <v>30</v>
      </c>
      <c r="F8" s="1084">
        <v>1</v>
      </c>
      <c r="G8" s="527" t="s">
        <v>1079</v>
      </c>
      <c r="H8" s="262" t="s">
        <v>1191</v>
      </c>
      <c r="I8" s="1071">
        <f>'[5].xls].xls].xls].xls].xls].xls].xls].'!$F$137/1000</f>
        <v>425554.67541</v>
      </c>
      <c r="J8" s="1071">
        <f>'[5].xls].xls].xls].xls].xls].xls].xls].'!$I$137/1000</f>
        <v>425554.67541</v>
      </c>
      <c r="K8" s="513">
        <f>J8/I8</f>
        <v>1</v>
      </c>
      <c r="L8" s="527" t="s">
        <v>1080</v>
      </c>
      <c r="M8" s="527" t="s">
        <v>2203</v>
      </c>
      <c r="N8" s="662">
        <v>38</v>
      </c>
      <c r="O8" s="1071">
        <f>J8</f>
        <v>425554.67541</v>
      </c>
      <c r="P8" s="1071">
        <f>J8</f>
        <v>425554.67541</v>
      </c>
      <c r="Q8" s="579">
        <f>P8/O8</f>
        <v>1</v>
      </c>
      <c r="R8" s="662" t="s">
        <v>1195</v>
      </c>
      <c r="S8" s="676" t="s">
        <v>1190</v>
      </c>
    </row>
    <row r="9" spans="1:19" ht="57.75" customHeight="1">
      <c r="A9" s="526"/>
      <c r="B9" s="528"/>
      <c r="C9" s="528"/>
      <c r="D9" s="1090"/>
      <c r="E9" s="1087"/>
      <c r="F9" s="1085"/>
      <c r="G9" s="528"/>
      <c r="H9" s="262" t="s">
        <v>1192</v>
      </c>
      <c r="I9" s="1073"/>
      <c r="J9" s="1073"/>
      <c r="K9" s="514"/>
      <c r="L9" s="528"/>
      <c r="M9" s="528"/>
      <c r="N9" s="663"/>
      <c r="O9" s="1073"/>
      <c r="P9" s="1073" t="s">
        <v>821</v>
      </c>
      <c r="Q9" s="580"/>
      <c r="R9" s="663"/>
      <c r="S9" s="676"/>
    </row>
    <row r="10" spans="1:19" ht="69" customHeight="1">
      <c r="A10" s="88" t="s">
        <v>805</v>
      </c>
      <c r="B10" s="28" t="s">
        <v>806</v>
      </c>
      <c r="C10" s="43" t="s">
        <v>807</v>
      </c>
      <c r="D10" s="113">
        <v>8</v>
      </c>
      <c r="E10" s="114">
        <v>9</v>
      </c>
      <c r="F10" s="115">
        <v>1</v>
      </c>
      <c r="G10" s="900" t="s">
        <v>1081</v>
      </c>
      <c r="H10" s="262" t="s">
        <v>1193</v>
      </c>
      <c r="I10" s="1071">
        <f>'[6]InfMesPptoCDP.rpt'!$F$142/1000</f>
        <v>532420.596</v>
      </c>
      <c r="J10" s="1071">
        <f>'[6]InfMesPptoCDP.rpt'!$I$142/1000</f>
        <v>529073.2721000001</v>
      </c>
      <c r="K10" s="513">
        <f>J10/I10</f>
        <v>0.9937130082398241</v>
      </c>
      <c r="L10" s="43" t="s">
        <v>1082</v>
      </c>
      <c r="M10" s="43" t="s">
        <v>2204</v>
      </c>
      <c r="N10" s="1088">
        <v>27</v>
      </c>
      <c r="O10" s="1071">
        <f>'[6]InfMesPptoCDP.rpt'!$H$142/1000</f>
        <v>529073.2721000001</v>
      </c>
      <c r="P10" s="1071">
        <f>J10</f>
        <v>529073.2721000001</v>
      </c>
      <c r="Q10" s="579">
        <f>P10/O10</f>
        <v>1</v>
      </c>
      <c r="R10" s="604" t="s">
        <v>1195</v>
      </c>
      <c r="S10" s="676" t="s">
        <v>1190</v>
      </c>
    </row>
    <row r="11" spans="1:19" ht="83.25" customHeight="1">
      <c r="A11" s="88" t="s">
        <v>808</v>
      </c>
      <c r="B11" s="43" t="s">
        <v>809</v>
      </c>
      <c r="C11" s="43" t="s">
        <v>810</v>
      </c>
      <c r="D11" s="116">
        <v>2</v>
      </c>
      <c r="E11" s="114">
        <v>2</v>
      </c>
      <c r="F11" s="115">
        <f>E11/D11</f>
        <v>1</v>
      </c>
      <c r="G11" s="902"/>
      <c r="H11" s="262" t="s">
        <v>1192</v>
      </c>
      <c r="I11" s="1073"/>
      <c r="J11" s="1073"/>
      <c r="K11" s="514"/>
      <c r="L11" s="43" t="s">
        <v>1083</v>
      </c>
      <c r="M11" s="43" t="s">
        <v>2205</v>
      </c>
      <c r="N11" s="1088"/>
      <c r="O11" s="1073"/>
      <c r="P11" s="1073"/>
      <c r="Q11" s="580"/>
      <c r="R11" s="605"/>
      <c r="S11" s="676"/>
    </row>
    <row r="12" spans="1:19" ht="67.5" customHeight="1">
      <c r="A12" s="525" t="s">
        <v>811</v>
      </c>
      <c r="B12" s="900" t="s">
        <v>812</v>
      </c>
      <c r="C12" s="604" t="s">
        <v>813</v>
      </c>
      <c r="D12" s="1091">
        <v>15</v>
      </c>
      <c r="E12" s="1093">
        <v>16</v>
      </c>
      <c r="F12" s="1095">
        <v>1</v>
      </c>
      <c r="G12" s="900" t="s">
        <v>1084</v>
      </c>
      <c r="H12" s="262" t="s">
        <v>1194</v>
      </c>
      <c r="I12" s="511">
        <f>'[6]InfMesPptoCDP.rpt'!$F$147/1000</f>
        <v>607085.9766</v>
      </c>
      <c r="J12" s="511">
        <f>'[6]InfMesPptoCDP.rpt'!$H$147/1000</f>
        <v>607085.9766</v>
      </c>
      <c r="K12" s="513">
        <f>J12/I12</f>
        <v>1</v>
      </c>
      <c r="L12" s="900" t="s">
        <v>1085</v>
      </c>
      <c r="M12" s="527" t="s">
        <v>2206</v>
      </c>
      <c r="N12" s="1071">
        <v>74</v>
      </c>
      <c r="O12" s="1071">
        <f>J12</f>
        <v>607085.9766</v>
      </c>
      <c r="P12" s="1071">
        <f>J12</f>
        <v>607085.9766</v>
      </c>
      <c r="Q12" s="579">
        <f>P12/O12</f>
        <v>1</v>
      </c>
      <c r="R12" s="1071" t="s">
        <v>1195</v>
      </c>
      <c r="S12" s="676" t="s">
        <v>1190</v>
      </c>
    </row>
    <row r="13" spans="1:19" ht="67.5" customHeight="1">
      <c r="A13" s="526"/>
      <c r="B13" s="902"/>
      <c r="C13" s="605"/>
      <c r="D13" s="1092"/>
      <c r="E13" s="1094"/>
      <c r="F13" s="1096"/>
      <c r="G13" s="902"/>
      <c r="H13" s="262" t="s">
        <v>1192</v>
      </c>
      <c r="I13" s="512"/>
      <c r="J13" s="512"/>
      <c r="K13" s="514"/>
      <c r="L13" s="902"/>
      <c r="M13" s="528"/>
      <c r="N13" s="1073"/>
      <c r="O13" s="1073"/>
      <c r="P13" s="1073"/>
      <c r="Q13" s="580"/>
      <c r="R13" s="1073"/>
      <c r="S13" s="676"/>
    </row>
    <row r="14" spans="1:19" ht="63.75" customHeight="1">
      <c r="A14" s="525" t="s">
        <v>814</v>
      </c>
      <c r="B14" s="900" t="s">
        <v>815</v>
      </c>
      <c r="C14" s="604" t="s">
        <v>813</v>
      </c>
      <c r="D14" s="1089">
        <v>5</v>
      </c>
      <c r="E14" s="1086">
        <v>5</v>
      </c>
      <c r="F14" s="1084">
        <f>E14/D14</f>
        <v>1</v>
      </c>
      <c r="G14" s="900" t="s">
        <v>1086</v>
      </c>
      <c r="H14" s="262" t="s">
        <v>1196</v>
      </c>
      <c r="I14" s="511">
        <f>'[6]InfMesPptoCDP.rpt'!$F$152/1000</f>
        <v>77946.5</v>
      </c>
      <c r="J14" s="511">
        <f>'[6]InfMesPptoCDP.rpt'!$I$152/1000</f>
        <v>77946.49977</v>
      </c>
      <c r="K14" s="513">
        <f>J14/I14</f>
        <v>0.9999999970492581</v>
      </c>
      <c r="L14" s="900" t="s">
        <v>1087</v>
      </c>
      <c r="M14" s="527" t="s">
        <v>2207</v>
      </c>
      <c r="N14" s="1071">
        <v>16</v>
      </c>
      <c r="O14" s="1071">
        <f>J14</f>
        <v>77946.49977</v>
      </c>
      <c r="P14" s="1071">
        <f>J14</f>
        <v>77946.49977</v>
      </c>
      <c r="Q14" s="579">
        <f>P14/O14</f>
        <v>1</v>
      </c>
      <c r="R14" s="604" t="s">
        <v>1195</v>
      </c>
      <c r="S14" s="630" t="s">
        <v>1190</v>
      </c>
    </row>
    <row r="15" spans="1:19" ht="63.75" customHeight="1">
      <c r="A15" s="526"/>
      <c r="B15" s="902"/>
      <c r="C15" s="605"/>
      <c r="D15" s="1090"/>
      <c r="E15" s="1087"/>
      <c r="F15" s="1085"/>
      <c r="G15" s="902"/>
      <c r="H15" s="262" t="s">
        <v>1197</v>
      </c>
      <c r="I15" s="512"/>
      <c r="J15" s="512"/>
      <c r="K15" s="514"/>
      <c r="L15" s="902"/>
      <c r="M15" s="528"/>
      <c r="N15" s="1073"/>
      <c r="O15" s="1073"/>
      <c r="P15" s="1073"/>
      <c r="Q15" s="580"/>
      <c r="R15" s="605"/>
      <c r="S15" s="688"/>
    </row>
    <row r="16" spans="1:19" ht="69.75" customHeight="1">
      <c r="A16" s="525" t="s">
        <v>816</v>
      </c>
      <c r="B16" s="900" t="s">
        <v>817</v>
      </c>
      <c r="C16" s="900" t="s">
        <v>818</v>
      </c>
      <c r="D16" s="1097">
        <v>4</v>
      </c>
      <c r="E16" s="1099">
        <v>4</v>
      </c>
      <c r="F16" s="1101">
        <f>E16/D16</f>
        <v>1</v>
      </c>
      <c r="G16" s="900" t="s">
        <v>1088</v>
      </c>
      <c r="H16" s="262" t="s">
        <v>1198</v>
      </c>
      <c r="I16" s="511">
        <f>'[6]InfMesPptoCDP.rpt'!$F$158/1000</f>
        <v>140641.1746</v>
      </c>
      <c r="J16" s="511">
        <f>'[6]InfMesPptoCDP.rpt'!$H$157/1000</f>
        <v>140641.1746</v>
      </c>
      <c r="K16" s="818">
        <f>J16/I16</f>
        <v>1</v>
      </c>
      <c r="L16" s="900" t="s">
        <v>1089</v>
      </c>
      <c r="M16" s="900" t="s">
        <v>2208</v>
      </c>
      <c r="N16" s="1001">
        <v>24</v>
      </c>
      <c r="O16" s="1071">
        <f>J16</f>
        <v>140641.1746</v>
      </c>
      <c r="P16" s="1071">
        <f>J16</f>
        <v>140641.1746</v>
      </c>
      <c r="Q16" s="579">
        <f>P16/O16</f>
        <v>1</v>
      </c>
      <c r="R16" s="604" t="s">
        <v>1195</v>
      </c>
      <c r="S16" s="630" t="s">
        <v>1190</v>
      </c>
    </row>
    <row r="17" spans="1:19" ht="81" customHeight="1">
      <c r="A17" s="526"/>
      <c r="B17" s="902"/>
      <c r="C17" s="902"/>
      <c r="D17" s="1098"/>
      <c r="E17" s="1100"/>
      <c r="F17" s="1102"/>
      <c r="G17" s="902"/>
      <c r="H17" s="262" t="s">
        <v>1192</v>
      </c>
      <c r="I17" s="512"/>
      <c r="J17" s="512"/>
      <c r="K17" s="820"/>
      <c r="L17" s="902"/>
      <c r="M17" s="902"/>
      <c r="N17" s="1003"/>
      <c r="O17" s="1073"/>
      <c r="P17" s="1073"/>
      <c r="Q17" s="580"/>
      <c r="R17" s="605"/>
      <c r="S17" s="688"/>
    </row>
    <row r="18" spans="1:19" ht="81" customHeight="1">
      <c r="A18" s="525" t="s">
        <v>819</v>
      </c>
      <c r="B18" s="900" t="s">
        <v>820</v>
      </c>
      <c r="C18" s="900" t="s">
        <v>818</v>
      </c>
      <c r="D18" s="1097">
        <v>4</v>
      </c>
      <c r="E18" s="1099">
        <v>4</v>
      </c>
      <c r="F18" s="1101">
        <f>E18/D18</f>
        <v>1</v>
      </c>
      <c r="G18" s="900" t="s">
        <v>1090</v>
      </c>
      <c r="H18" s="262" t="s">
        <v>1199</v>
      </c>
      <c r="I18" s="511">
        <f>'[6]InfMesPptoCDP.rpt'!$F$162/1000</f>
        <v>25750.002</v>
      </c>
      <c r="J18" s="511">
        <f>'[6]InfMesPptoCDP.rpt'!$H$161/1000</f>
        <v>25750.002</v>
      </c>
      <c r="K18" s="818">
        <f>J18/I18</f>
        <v>1</v>
      </c>
      <c r="L18" s="900" t="s">
        <v>1091</v>
      </c>
      <c r="M18" s="900" t="s">
        <v>2208</v>
      </c>
      <c r="N18" s="1001">
        <v>5</v>
      </c>
      <c r="O18" s="511">
        <f>I18</f>
        <v>25750.002</v>
      </c>
      <c r="P18" s="511">
        <f>J18</f>
        <v>25750.002</v>
      </c>
      <c r="Q18" s="579">
        <f>P18/O18</f>
        <v>1</v>
      </c>
      <c r="R18" s="604" t="s">
        <v>1195</v>
      </c>
      <c r="S18" s="630" t="s">
        <v>1190</v>
      </c>
    </row>
    <row r="19" spans="1:19" ht="48" customHeight="1">
      <c r="A19" s="526"/>
      <c r="B19" s="902"/>
      <c r="C19" s="902"/>
      <c r="D19" s="1098"/>
      <c r="E19" s="1100"/>
      <c r="F19" s="1102"/>
      <c r="G19" s="902"/>
      <c r="H19" s="262" t="s">
        <v>1192</v>
      </c>
      <c r="I19" s="512"/>
      <c r="J19" s="512"/>
      <c r="K19" s="820"/>
      <c r="L19" s="902"/>
      <c r="M19" s="902"/>
      <c r="N19" s="1003"/>
      <c r="O19" s="512"/>
      <c r="P19" s="512"/>
      <c r="Q19" s="580"/>
      <c r="R19" s="605"/>
      <c r="S19" s="688"/>
    </row>
    <row r="20" spans="1:19" s="45" customFormat="1" ht="21" customHeight="1">
      <c r="A20" s="519" t="s">
        <v>1093</v>
      </c>
      <c r="B20" s="520"/>
      <c r="C20" s="268"/>
      <c r="D20" s="260"/>
      <c r="E20" s="260"/>
      <c r="F20" s="312">
        <v>1</v>
      </c>
      <c r="G20" s="107">
        <v>6</v>
      </c>
      <c r="H20" s="28"/>
      <c r="I20" s="251">
        <f>SUM(I8:I18)</f>
        <v>1809398.9246100003</v>
      </c>
      <c r="J20" s="251">
        <f>SUM(J8:J18)</f>
        <v>1806051.6004800003</v>
      </c>
      <c r="K20" s="311">
        <f>J20/I20</f>
        <v>0.9981500353048338</v>
      </c>
      <c r="L20" s="28"/>
      <c r="M20" s="23"/>
      <c r="N20" s="106">
        <f>SUM(N8:N19)</f>
        <v>184</v>
      </c>
      <c r="O20" s="106">
        <f>SUM(O8:O19)</f>
        <v>1806051.6004800003</v>
      </c>
      <c r="P20" s="106">
        <f>SUM(P8:P19)</f>
        <v>1806051.6004800003</v>
      </c>
      <c r="Q20" s="297">
        <f>P20/O20</f>
        <v>1</v>
      </c>
      <c r="R20" s="30"/>
      <c r="S20" s="28"/>
    </row>
    <row r="21" spans="1:19" s="45" customFormat="1" ht="21" customHeight="1">
      <c r="A21" s="519" t="s">
        <v>6</v>
      </c>
      <c r="B21" s="520"/>
      <c r="C21" s="269"/>
      <c r="D21" s="147"/>
      <c r="E21" s="147"/>
      <c r="F21" s="147"/>
      <c r="G21" s="55"/>
      <c r="H21" s="55"/>
      <c r="I21" s="90"/>
      <c r="J21" s="90"/>
      <c r="K21" s="314"/>
      <c r="L21" s="55"/>
      <c r="M21" s="55"/>
      <c r="N21" s="55"/>
      <c r="O21" s="55"/>
      <c r="P21" s="55"/>
      <c r="Q21" s="55"/>
      <c r="R21" s="261"/>
      <c r="S21" s="55"/>
    </row>
    <row r="22" spans="1:19" s="45" customFormat="1" ht="22.5" customHeight="1">
      <c r="A22" s="549" t="s">
        <v>1713</v>
      </c>
      <c r="B22" s="550"/>
      <c r="C22" s="270"/>
      <c r="D22" s="259"/>
      <c r="E22" s="259"/>
      <c r="F22" s="259"/>
      <c r="G22" s="55"/>
      <c r="H22" s="55"/>
      <c r="I22" s="90"/>
      <c r="J22" s="90"/>
      <c r="K22" s="314"/>
      <c r="L22" s="55"/>
      <c r="M22" s="55"/>
      <c r="N22" s="55"/>
      <c r="O22" s="55"/>
      <c r="P22" s="55"/>
      <c r="Q22" s="55"/>
      <c r="R22" s="280"/>
      <c r="S22" s="55"/>
    </row>
    <row r="23" spans="1:19" s="45" customFormat="1" ht="19.5" customHeight="1">
      <c r="A23" s="549"/>
      <c r="B23" s="550"/>
      <c r="C23" s="16"/>
      <c r="D23" s="16"/>
      <c r="E23" s="16"/>
      <c r="F23" s="16"/>
      <c r="G23" s="55"/>
      <c r="H23" s="55"/>
      <c r="I23" s="90"/>
      <c r="J23" s="90"/>
      <c r="K23" s="314"/>
      <c r="L23" s="55"/>
      <c r="M23" s="55"/>
      <c r="N23" s="55"/>
      <c r="O23" s="55"/>
      <c r="P23" s="55"/>
      <c r="Q23" s="55"/>
      <c r="R23" s="261"/>
      <c r="S23" s="55"/>
    </row>
    <row r="24" spans="1:19" s="45" customFormat="1" ht="24" customHeight="1">
      <c r="A24" s="549" t="s">
        <v>7</v>
      </c>
      <c r="B24" s="550"/>
      <c r="C24" s="278"/>
      <c r="D24" s="258"/>
      <c r="E24" s="258"/>
      <c r="F24" s="258"/>
      <c r="G24" s="1082" t="s">
        <v>2233</v>
      </c>
      <c r="H24" s="1083"/>
      <c r="I24" s="398"/>
      <c r="J24" s="263"/>
      <c r="K24" s="318"/>
      <c r="L24" s="55"/>
      <c r="M24" s="55"/>
      <c r="N24" s="55"/>
      <c r="O24" s="55"/>
      <c r="P24" s="55"/>
      <c r="Q24" s="55"/>
      <c r="R24" s="261"/>
      <c r="S24" s="55"/>
    </row>
    <row r="25" spans="2:19" ht="14.25">
      <c r="B25" s="87"/>
      <c r="C25" s="87"/>
      <c r="D25" s="87"/>
      <c r="E25" s="87"/>
      <c r="F25" s="87"/>
      <c r="G25" s="87"/>
      <c r="L25" s="87"/>
      <c r="M25" s="87"/>
      <c r="N25" s="87"/>
      <c r="O25" s="87"/>
      <c r="P25" s="87"/>
      <c r="Q25" s="87"/>
      <c r="R25" s="87"/>
      <c r="S25" s="87"/>
    </row>
    <row r="26" spans="2:19" ht="14.25">
      <c r="B26" s="87"/>
      <c r="C26" s="87"/>
      <c r="D26" s="87"/>
      <c r="E26" s="87"/>
      <c r="F26" s="87"/>
      <c r="G26" s="87"/>
      <c r="L26" s="87"/>
      <c r="M26" s="87"/>
      <c r="N26" s="87"/>
      <c r="O26" s="87"/>
      <c r="P26" s="87"/>
      <c r="Q26" s="87"/>
      <c r="R26" s="87"/>
      <c r="S26" s="87"/>
    </row>
    <row r="27" spans="2:19" ht="14.25">
      <c r="B27" s="87"/>
      <c r="C27" s="87"/>
      <c r="D27" s="87"/>
      <c r="E27" s="87"/>
      <c r="F27" s="87"/>
      <c r="G27" s="87"/>
      <c r="L27" s="87"/>
      <c r="M27" s="87"/>
      <c r="N27" s="87"/>
      <c r="O27" s="87"/>
      <c r="P27" s="87"/>
      <c r="Q27" s="87"/>
      <c r="R27" s="87"/>
      <c r="S27" s="87"/>
    </row>
    <row r="28" spans="2:19" ht="14.25">
      <c r="B28" s="87"/>
      <c r="C28" s="87"/>
      <c r="D28" s="87"/>
      <c r="E28" s="87"/>
      <c r="F28" s="87"/>
      <c r="G28" s="87"/>
      <c r="L28" s="87"/>
      <c r="M28" s="87"/>
      <c r="N28" s="87"/>
      <c r="O28" s="87"/>
      <c r="P28" s="87"/>
      <c r="Q28" s="87"/>
      <c r="R28" s="87"/>
      <c r="S28" s="87"/>
    </row>
    <row r="29" spans="2:19" ht="14.25">
      <c r="B29" s="87"/>
      <c r="C29" s="87"/>
      <c r="D29" s="87"/>
      <c r="E29" s="87"/>
      <c r="F29" s="87"/>
      <c r="G29" s="87"/>
      <c r="L29" s="87"/>
      <c r="M29" s="87"/>
      <c r="N29" s="87"/>
      <c r="O29" s="87"/>
      <c r="P29" s="87"/>
      <c r="Q29" s="87"/>
      <c r="R29" s="87"/>
      <c r="S29" s="87"/>
    </row>
    <row r="30" spans="2:19" ht="14.25">
      <c r="B30" s="87"/>
      <c r="C30" s="87"/>
      <c r="D30" s="87"/>
      <c r="E30" s="87"/>
      <c r="F30" s="87"/>
      <c r="G30" s="87"/>
      <c r="L30" s="87"/>
      <c r="M30" s="87"/>
      <c r="N30" s="87"/>
      <c r="O30" s="87"/>
      <c r="P30" s="87"/>
      <c r="Q30" s="87"/>
      <c r="R30" s="87"/>
      <c r="S30" s="87"/>
    </row>
    <row r="31" spans="2:19" ht="14.25">
      <c r="B31" s="87"/>
      <c r="C31" s="87"/>
      <c r="D31" s="87"/>
      <c r="E31" s="87"/>
      <c r="F31" s="87"/>
      <c r="G31" s="87"/>
      <c r="L31" s="87"/>
      <c r="M31" s="87"/>
      <c r="N31" s="87"/>
      <c r="O31" s="87"/>
      <c r="P31" s="87"/>
      <c r="Q31" s="87"/>
      <c r="R31" s="87"/>
      <c r="S31" s="87"/>
    </row>
    <row r="32" spans="2:19" ht="14.25">
      <c r="B32" s="87"/>
      <c r="C32" s="87"/>
      <c r="D32" s="87"/>
      <c r="E32" s="87"/>
      <c r="F32" s="87"/>
      <c r="G32" s="87"/>
      <c r="L32" s="87"/>
      <c r="M32" s="87"/>
      <c r="N32" s="87"/>
      <c r="O32" s="87"/>
      <c r="P32" s="87"/>
      <c r="Q32" s="87"/>
      <c r="R32" s="87"/>
      <c r="S32" s="87"/>
    </row>
    <row r="33" spans="2:19" ht="14.25">
      <c r="B33" s="87"/>
      <c r="C33" s="87"/>
      <c r="D33" s="87"/>
      <c r="E33" s="87"/>
      <c r="F33" s="87"/>
      <c r="G33" s="87"/>
      <c r="L33" s="87"/>
      <c r="M33" s="87"/>
      <c r="N33" s="87"/>
      <c r="O33" s="87"/>
      <c r="P33" s="87"/>
      <c r="Q33" s="87"/>
      <c r="R33" s="87"/>
      <c r="S33" s="87"/>
    </row>
    <row r="34" spans="2:19" ht="14.25">
      <c r="B34" s="87"/>
      <c r="C34" s="87"/>
      <c r="D34" s="87"/>
      <c r="E34" s="87"/>
      <c r="F34" s="87"/>
      <c r="G34" s="87"/>
      <c r="L34" s="87"/>
      <c r="M34" s="87"/>
      <c r="N34" s="87"/>
      <c r="O34" s="87"/>
      <c r="P34" s="87"/>
      <c r="Q34" s="87"/>
      <c r="R34" s="87"/>
      <c r="S34" s="87"/>
    </row>
    <row r="35" spans="2:19" ht="14.25">
      <c r="B35" s="87"/>
      <c r="C35" s="87"/>
      <c r="D35" s="87"/>
      <c r="E35" s="87"/>
      <c r="F35" s="87"/>
      <c r="G35" s="87"/>
      <c r="L35" s="87"/>
      <c r="M35" s="87"/>
      <c r="N35" s="87"/>
      <c r="O35" s="87"/>
      <c r="P35" s="87"/>
      <c r="Q35" s="87"/>
      <c r="R35" s="87"/>
      <c r="S35" s="87"/>
    </row>
    <row r="36" spans="2:19" ht="14.25">
      <c r="B36" s="87"/>
      <c r="C36" s="87"/>
      <c r="D36" s="87"/>
      <c r="E36" s="87"/>
      <c r="F36" s="87"/>
      <c r="G36" s="87"/>
      <c r="L36" s="87"/>
      <c r="M36" s="87"/>
      <c r="N36" s="87"/>
      <c r="O36" s="87"/>
      <c r="P36" s="87"/>
      <c r="Q36" s="87"/>
      <c r="R36" s="87"/>
      <c r="S36" s="87"/>
    </row>
    <row r="37" spans="2:19" ht="14.25">
      <c r="B37" s="87"/>
      <c r="C37" s="87"/>
      <c r="D37" s="87"/>
      <c r="E37" s="87"/>
      <c r="F37" s="87"/>
      <c r="G37" s="87"/>
      <c r="L37" s="87"/>
      <c r="M37" s="87"/>
      <c r="N37" s="87"/>
      <c r="O37" s="87"/>
      <c r="P37" s="87"/>
      <c r="Q37" s="87"/>
      <c r="R37" s="87"/>
      <c r="S37" s="87"/>
    </row>
    <row r="38" spans="2:19" ht="14.25">
      <c r="B38" s="87"/>
      <c r="C38" s="87"/>
      <c r="D38" s="87"/>
      <c r="E38" s="87"/>
      <c r="F38" s="87"/>
      <c r="G38" s="87"/>
      <c r="L38" s="87"/>
      <c r="M38" s="87"/>
      <c r="N38" s="87"/>
      <c r="O38" s="87"/>
      <c r="P38" s="87"/>
      <c r="Q38" s="87"/>
      <c r="R38" s="87"/>
      <c r="S38" s="87"/>
    </row>
    <row r="39" spans="2:19" ht="14.25">
      <c r="B39" s="87"/>
      <c r="C39" s="87"/>
      <c r="D39" s="87"/>
      <c r="E39" s="87"/>
      <c r="F39" s="87"/>
      <c r="G39" s="87"/>
      <c r="L39" s="87"/>
      <c r="M39" s="87"/>
      <c r="N39" s="87"/>
      <c r="O39" s="87"/>
      <c r="P39" s="87"/>
      <c r="Q39" s="87"/>
      <c r="R39" s="87"/>
      <c r="S39" s="87"/>
    </row>
    <row r="40" spans="2:19" ht="14.25">
      <c r="B40" s="87"/>
      <c r="C40" s="87"/>
      <c r="D40" s="87"/>
      <c r="E40" s="87"/>
      <c r="F40" s="87"/>
      <c r="G40" s="87"/>
      <c r="L40" s="87"/>
      <c r="M40" s="87"/>
      <c r="N40" s="87"/>
      <c r="O40" s="87"/>
      <c r="P40" s="87"/>
      <c r="Q40" s="87"/>
      <c r="R40" s="87"/>
      <c r="S40" s="87"/>
    </row>
    <row r="41" spans="2:19" ht="14.25">
      <c r="B41" s="87"/>
      <c r="C41" s="87"/>
      <c r="D41" s="87"/>
      <c r="E41" s="87"/>
      <c r="F41" s="87"/>
      <c r="G41" s="87"/>
      <c r="L41" s="87"/>
      <c r="M41" s="87"/>
      <c r="N41" s="87"/>
      <c r="O41" s="87"/>
      <c r="P41" s="87"/>
      <c r="Q41" s="87"/>
      <c r="R41" s="87"/>
      <c r="S41" s="87"/>
    </row>
    <row r="42" spans="2:19" ht="14.25">
      <c r="B42" s="87"/>
      <c r="C42" s="87"/>
      <c r="D42" s="87"/>
      <c r="E42" s="87"/>
      <c r="F42" s="87"/>
      <c r="G42" s="87"/>
      <c r="L42" s="87"/>
      <c r="M42" s="87"/>
      <c r="N42" s="87"/>
      <c r="O42" s="87"/>
      <c r="P42" s="87"/>
      <c r="Q42" s="87"/>
      <c r="R42" s="87"/>
      <c r="S42" s="87"/>
    </row>
    <row r="43" spans="2:19" ht="14.25">
      <c r="B43" s="87"/>
      <c r="C43" s="87"/>
      <c r="D43" s="87"/>
      <c r="E43" s="87"/>
      <c r="F43" s="87"/>
      <c r="G43" s="87"/>
      <c r="L43" s="87"/>
      <c r="M43" s="87"/>
      <c r="N43" s="87"/>
      <c r="O43" s="87"/>
      <c r="P43" s="87"/>
      <c r="Q43" s="87"/>
      <c r="R43" s="87"/>
      <c r="S43" s="87"/>
    </row>
    <row r="44" spans="2:19" ht="14.25">
      <c r="B44" s="87"/>
      <c r="C44" s="87"/>
      <c r="D44" s="87"/>
      <c r="E44" s="87"/>
      <c r="F44" s="87"/>
      <c r="G44" s="87"/>
      <c r="L44" s="87"/>
      <c r="M44" s="87"/>
      <c r="N44" s="87"/>
      <c r="O44" s="87"/>
      <c r="P44" s="87"/>
      <c r="Q44" s="87"/>
      <c r="R44" s="87"/>
      <c r="S44" s="87"/>
    </row>
    <row r="45" spans="2:19" ht="14.25">
      <c r="B45" s="87"/>
      <c r="C45" s="87"/>
      <c r="D45" s="87"/>
      <c r="E45" s="87"/>
      <c r="F45" s="87"/>
      <c r="G45" s="87"/>
      <c r="L45" s="87"/>
      <c r="M45" s="87"/>
      <c r="N45" s="87"/>
      <c r="O45" s="87"/>
      <c r="P45" s="87"/>
      <c r="Q45" s="87"/>
      <c r="R45" s="87"/>
      <c r="S45" s="87"/>
    </row>
    <row r="46" spans="2:19" ht="14.25">
      <c r="B46" s="87"/>
      <c r="C46" s="87"/>
      <c r="D46" s="87"/>
      <c r="E46" s="87"/>
      <c r="F46" s="87"/>
      <c r="G46" s="87"/>
      <c r="L46" s="87"/>
      <c r="M46" s="87"/>
      <c r="N46" s="87"/>
      <c r="O46" s="87"/>
      <c r="P46" s="87"/>
      <c r="Q46" s="87"/>
      <c r="R46" s="87"/>
      <c r="S46" s="87"/>
    </row>
    <row r="47" spans="2:19" ht="14.25">
      <c r="B47" s="87"/>
      <c r="C47" s="87"/>
      <c r="D47" s="87"/>
      <c r="E47" s="87"/>
      <c r="F47" s="87"/>
      <c r="G47" s="87"/>
      <c r="L47" s="87"/>
      <c r="M47" s="87"/>
      <c r="N47" s="87"/>
      <c r="O47" s="87"/>
      <c r="P47" s="87"/>
      <c r="Q47" s="87"/>
      <c r="R47" s="87"/>
      <c r="S47" s="87"/>
    </row>
    <row r="48" spans="2:19" ht="14.25">
      <c r="B48" s="87"/>
      <c r="C48" s="87"/>
      <c r="D48" s="87"/>
      <c r="E48" s="87"/>
      <c r="F48" s="87"/>
      <c r="G48" s="87"/>
      <c r="L48" s="87"/>
      <c r="M48" s="87"/>
      <c r="N48" s="87"/>
      <c r="O48" s="87"/>
      <c r="P48" s="87"/>
      <c r="Q48" s="87"/>
      <c r="R48" s="87"/>
      <c r="S48" s="87"/>
    </row>
    <row r="49" spans="2:19" ht="14.25">
      <c r="B49" s="87"/>
      <c r="C49" s="87"/>
      <c r="D49" s="87"/>
      <c r="E49" s="87"/>
      <c r="F49" s="87"/>
      <c r="G49" s="87"/>
      <c r="L49" s="87"/>
      <c r="M49" s="87"/>
      <c r="N49" s="87"/>
      <c r="O49" s="87"/>
      <c r="P49" s="87"/>
      <c r="Q49" s="87"/>
      <c r="R49" s="87"/>
      <c r="S49" s="87"/>
    </row>
    <row r="50" spans="2:19" ht="14.25">
      <c r="B50" s="87"/>
      <c r="C50" s="87"/>
      <c r="D50" s="87"/>
      <c r="E50" s="87"/>
      <c r="F50" s="87"/>
      <c r="G50" s="87"/>
      <c r="L50" s="87"/>
      <c r="M50" s="87"/>
      <c r="N50" s="87"/>
      <c r="O50" s="87"/>
      <c r="P50" s="87"/>
      <c r="Q50" s="87"/>
      <c r="R50" s="87"/>
      <c r="S50" s="87"/>
    </row>
    <row r="51" spans="2:19" ht="14.25">
      <c r="B51" s="87"/>
      <c r="C51" s="87"/>
      <c r="D51" s="87"/>
      <c r="E51" s="87"/>
      <c r="F51" s="87"/>
      <c r="G51" s="87"/>
      <c r="L51" s="87"/>
      <c r="M51" s="87"/>
      <c r="N51" s="87"/>
      <c r="O51" s="87"/>
      <c r="P51" s="87"/>
      <c r="Q51" s="87"/>
      <c r="R51" s="87"/>
      <c r="S51" s="87"/>
    </row>
    <row r="52" spans="2:19" ht="14.25">
      <c r="B52" s="87"/>
      <c r="C52" s="87"/>
      <c r="D52" s="87"/>
      <c r="E52" s="87"/>
      <c r="F52" s="87"/>
      <c r="G52" s="87"/>
      <c r="L52" s="87"/>
      <c r="M52" s="87"/>
      <c r="N52" s="87"/>
      <c r="O52" s="87"/>
      <c r="P52" s="87"/>
      <c r="Q52" s="87"/>
      <c r="R52" s="87"/>
      <c r="S52" s="87"/>
    </row>
    <row r="53" spans="2:19" ht="14.25">
      <c r="B53" s="87"/>
      <c r="C53" s="87"/>
      <c r="D53" s="87"/>
      <c r="E53" s="87"/>
      <c r="F53" s="87"/>
      <c r="G53" s="87"/>
      <c r="L53" s="87"/>
      <c r="M53" s="87"/>
      <c r="N53" s="87"/>
      <c r="O53" s="87"/>
      <c r="P53" s="87"/>
      <c r="Q53" s="87"/>
      <c r="R53" s="87"/>
      <c r="S53" s="87"/>
    </row>
    <row r="54" spans="2:19" ht="14.25">
      <c r="B54" s="87"/>
      <c r="C54" s="87"/>
      <c r="D54" s="87"/>
      <c r="E54" s="87"/>
      <c r="F54" s="87"/>
      <c r="G54" s="87"/>
      <c r="L54" s="87"/>
      <c r="M54" s="87"/>
      <c r="N54" s="87"/>
      <c r="O54" s="87"/>
      <c r="P54" s="87"/>
      <c r="Q54" s="87"/>
      <c r="R54" s="87"/>
      <c r="S54" s="87"/>
    </row>
    <row r="55" spans="2:19" ht="14.25">
      <c r="B55" s="87"/>
      <c r="C55" s="87"/>
      <c r="D55" s="87"/>
      <c r="E55" s="87"/>
      <c r="F55" s="87"/>
      <c r="G55" s="87"/>
      <c r="L55" s="87"/>
      <c r="M55" s="87"/>
      <c r="N55" s="87"/>
      <c r="O55" s="87"/>
      <c r="P55" s="87"/>
      <c r="Q55" s="87"/>
      <c r="R55" s="87"/>
      <c r="S55" s="87"/>
    </row>
    <row r="56" spans="2:19" ht="14.25">
      <c r="B56" s="87"/>
      <c r="C56" s="87"/>
      <c r="D56" s="87"/>
      <c r="E56" s="87"/>
      <c r="F56" s="87"/>
      <c r="G56" s="87"/>
      <c r="L56" s="87"/>
      <c r="M56" s="87"/>
      <c r="N56" s="87"/>
      <c r="O56" s="87"/>
      <c r="P56" s="87"/>
      <c r="Q56" s="87"/>
      <c r="R56" s="87"/>
      <c r="S56" s="87"/>
    </row>
    <row r="57" spans="2:19" ht="14.25">
      <c r="B57" s="87"/>
      <c r="C57" s="87"/>
      <c r="D57" s="87"/>
      <c r="E57" s="87"/>
      <c r="F57" s="87"/>
      <c r="G57" s="87"/>
      <c r="L57" s="87"/>
      <c r="M57" s="87"/>
      <c r="N57" s="87"/>
      <c r="O57" s="87"/>
      <c r="P57" s="87"/>
      <c r="Q57" s="87"/>
      <c r="R57" s="87"/>
      <c r="S57" s="87"/>
    </row>
    <row r="58" spans="2:19" ht="14.25">
      <c r="B58" s="87"/>
      <c r="C58" s="87"/>
      <c r="D58" s="87"/>
      <c r="E58" s="87"/>
      <c r="F58" s="87"/>
      <c r="G58" s="87"/>
      <c r="L58" s="87"/>
      <c r="M58" s="87"/>
      <c r="N58" s="87"/>
      <c r="O58" s="87"/>
      <c r="P58" s="87"/>
      <c r="Q58" s="87"/>
      <c r="R58" s="87"/>
      <c r="S58" s="87"/>
    </row>
    <row r="59" spans="2:19" ht="14.25">
      <c r="B59" s="87"/>
      <c r="C59" s="87"/>
      <c r="D59" s="87"/>
      <c r="E59" s="87"/>
      <c r="F59" s="87"/>
      <c r="G59" s="87"/>
      <c r="L59" s="87"/>
      <c r="M59" s="87"/>
      <c r="N59" s="87"/>
      <c r="O59" s="87"/>
      <c r="P59" s="87"/>
      <c r="Q59" s="87"/>
      <c r="R59" s="87"/>
      <c r="S59" s="87"/>
    </row>
    <row r="60" spans="2:19" ht="14.25">
      <c r="B60" s="87"/>
      <c r="C60" s="87"/>
      <c r="D60" s="87"/>
      <c r="E60" s="87"/>
      <c r="F60" s="87"/>
      <c r="G60" s="87"/>
      <c r="L60" s="87"/>
      <c r="M60" s="87"/>
      <c r="N60" s="87"/>
      <c r="O60" s="87"/>
      <c r="P60" s="87"/>
      <c r="Q60" s="87"/>
      <c r="R60" s="87"/>
      <c r="S60" s="87"/>
    </row>
    <row r="61" spans="2:19" ht="14.25">
      <c r="B61" s="87"/>
      <c r="C61" s="87"/>
      <c r="D61" s="87"/>
      <c r="E61" s="87"/>
      <c r="F61" s="87"/>
      <c r="G61" s="87"/>
      <c r="L61" s="87"/>
      <c r="M61" s="87"/>
      <c r="N61" s="87"/>
      <c r="O61" s="87"/>
      <c r="P61" s="87"/>
      <c r="Q61" s="87"/>
      <c r="R61" s="87"/>
      <c r="S61" s="87"/>
    </row>
    <row r="62" spans="2:19" ht="14.25">
      <c r="B62" s="87"/>
      <c r="C62" s="87"/>
      <c r="D62" s="87"/>
      <c r="E62" s="87"/>
      <c r="F62" s="87"/>
      <c r="G62" s="87"/>
      <c r="L62" s="87"/>
      <c r="M62" s="87"/>
      <c r="N62" s="87"/>
      <c r="O62" s="87"/>
      <c r="P62" s="87"/>
      <c r="Q62" s="87"/>
      <c r="R62" s="87"/>
      <c r="S62" s="87"/>
    </row>
    <row r="63" spans="2:19" ht="14.25">
      <c r="B63" s="87"/>
      <c r="C63" s="87"/>
      <c r="D63" s="87"/>
      <c r="E63" s="87"/>
      <c r="F63" s="87"/>
      <c r="G63" s="87"/>
      <c r="L63" s="87"/>
      <c r="M63" s="87"/>
      <c r="N63" s="87"/>
      <c r="O63" s="87"/>
      <c r="P63" s="87"/>
      <c r="Q63" s="87"/>
      <c r="R63" s="87"/>
      <c r="S63" s="87"/>
    </row>
    <row r="64" spans="2:19" ht="14.25">
      <c r="B64" s="87"/>
      <c r="C64" s="87"/>
      <c r="D64" s="87"/>
      <c r="E64" s="87"/>
      <c r="F64" s="87"/>
      <c r="G64" s="87"/>
      <c r="L64" s="87"/>
      <c r="M64" s="87"/>
      <c r="N64" s="87"/>
      <c r="O64" s="87"/>
      <c r="P64" s="87"/>
      <c r="Q64" s="87"/>
      <c r="R64" s="87"/>
      <c r="S64" s="87"/>
    </row>
    <row r="65" spans="2:19" ht="14.25">
      <c r="B65" s="87"/>
      <c r="C65" s="87"/>
      <c r="D65" s="87"/>
      <c r="E65" s="87"/>
      <c r="F65" s="87"/>
      <c r="G65" s="87"/>
      <c r="L65" s="87"/>
      <c r="M65" s="87"/>
      <c r="N65" s="87"/>
      <c r="O65" s="87"/>
      <c r="P65" s="87"/>
      <c r="Q65" s="87"/>
      <c r="R65" s="87"/>
      <c r="S65" s="87"/>
    </row>
    <row r="66" spans="2:19" ht="14.25">
      <c r="B66" s="87"/>
      <c r="C66" s="87"/>
      <c r="D66" s="87"/>
      <c r="E66" s="87"/>
      <c r="F66" s="87"/>
      <c r="G66" s="87"/>
      <c r="L66" s="87"/>
      <c r="M66" s="87"/>
      <c r="N66" s="87"/>
      <c r="O66" s="87"/>
      <c r="P66" s="87"/>
      <c r="Q66" s="87"/>
      <c r="R66" s="87"/>
      <c r="S66" s="87"/>
    </row>
    <row r="67" spans="2:19" ht="14.25">
      <c r="B67" s="87"/>
      <c r="C67" s="87"/>
      <c r="D67" s="87"/>
      <c r="E67" s="87"/>
      <c r="F67" s="87"/>
      <c r="G67" s="87"/>
      <c r="L67" s="87"/>
      <c r="M67" s="87"/>
      <c r="N67" s="87"/>
      <c r="O67" s="87"/>
      <c r="P67" s="87"/>
      <c r="Q67" s="87"/>
      <c r="R67" s="87"/>
      <c r="S67" s="87"/>
    </row>
    <row r="68" spans="2:19" ht="14.25">
      <c r="B68" s="87"/>
      <c r="C68" s="87"/>
      <c r="D68" s="87"/>
      <c r="E68" s="87"/>
      <c r="F68" s="87"/>
      <c r="G68" s="87"/>
      <c r="L68" s="87"/>
      <c r="M68" s="87"/>
      <c r="N68" s="87"/>
      <c r="O68" s="87"/>
      <c r="P68" s="87"/>
      <c r="Q68" s="87"/>
      <c r="R68" s="87"/>
      <c r="S68" s="87"/>
    </row>
    <row r="69" spans="2:19" ht="14.25">
      <c r="B69" s="87"/>
      <c r="C69" s="87"/>
      <c r="D69" s="87"/>
      <c r="E69" s="87"/>
      <c r="F69" s="87"/>
      <c r="G69" s="87"/>
      <c r="L69" s="87"/>
      <c r="M69" s="87"/>
      <c r="N69" s="87"/>
      <c r="O69" s="87"/>
      <c r="P69" s="87"/>
      <c r="Q69" s="87"/>
      <c r="R69" s="87"/>
      <c r="S69" s="87"/>
    </row>
    <row r="70" spans="2:19" ht="14.25">
      <c r="B70" s="87"/>
      <c r="C70" s="87"/>
      <c r="D70" s="87"/>
      <c r="E70" s="87"/>
      <c r="F70" s="87"/>
      <c r="G70" s="87"/>
      <c r="L70" s="87"/>
      <c r="M70" s="87"/>
      <c r="N70" s="87"/>
      <c r="O70" s="87"/>
      <c r="P70" s="87"/>
      <c r="Q70" s="87"/>
      <c r="R70" s="87"/>
      <c r="S70" s="87"/>
    </row>
    <row r="71" spans="2:19" ht="14.25">
      <c r="B71" s="87"/>
      <c r="C71" s="87"/>
      <c r="D71" s="87"/>
      <c r="E71" s="87"/>
      <c r="F71" s="87"/>
      <c r="G71" s="87"/>
      <c r="L71" s="87"/>
      <c r="M71" s="87"/>
      <c r="N71" s="87"/>
      <c r="O71" s="87"/>
      <c r="P71" s="87"/>
      <c r="Q71" s="87"/>
      <c r="R71" s="87"/>
      <c r="S71" s="87"/>
    </row>
    <row r="72" spans="2:19" ht="14.25">
      <c r="B72" s="87"/>
      <c r="C72" s="87"/>
      <c r="D72" s="87"/>
      <c r="E72" s="87"/>
      <c r="F72" s="87"/>
      <c r="G72" s="87"/>
      <c r="L72" s="87"/>
      <c r="M72" s="87"/>
      <c r="N72" s="87"/>
      <c r="O72" s="87"/>
      <c r="P72" s="87"/>
      <c r="Q72" s="87"/>
      <c r="R72" s="87"/>
      <c r="S72" s="87"/>
    </row>
    <row r="73" spans="2:19" ht="14.25">
      <c r="B73" s="87"/>
      <c r="C73" s="87"/>
      <c r="D73" s="87"/>
      <c r="E73" s="87"/>
      <c r="F73" s="87"/>
      <c r="G73" s="87"/>
      <c r="L73" s="87"/>
      <c r="M73" s="87"/>
      <c r="N73" s="87"/>
      <c r="O73" s="87"/>
      <c r="P73" s="87"/>
      <c r="Q73" s="87"/>
      <c r="R73" s="87"/>
      <c r="S73" s="87"/>
    </row>
    <row r="74" spans="2:19" ht="14.25">
      <c r="B74" s="87"/>
      <c r="C74" s="87"/>
      <c r="D74" s="87"/>
      <c r="E74" s="87"/>
      <c r="F74" s="87"/>
      <c r="G74" s="87"/>
      <c r="L74" s="87"/>
      <c r="M74" s="87"/>
      <c r="N74" s="87"/>
      <c r="O74" s="87"/>
      <c r="P74" s="87"/>
      <c r="Q74" s="87"/>
      <c r="R74" s="87"/>
      <c r="S74" s="87"/>
    </row>
    <row r="75" spans="2:19" ht="14.25">
      <c r="B75" s="87"/>
      <c r="C75" s="87"/>
      <c r="D75" s="87"/>
      <c r="E75" s="87"/>
      <c r="F75" s="87"/>
      <c r="G75" s="87"/>
      <c r="L75" s="87"/>
      <c r="M75" s="87"/>
      <c r="N75" s="87"/>
      <c r="O75" s="87"/>
      <c r="P75" s="87"/>
      <c r="Q75" s="87"/>
      <c r="R75" s="87"/>
      <c r="S75" s="87"/>
    </row>
    <row r="76" spans="2:19" ht="14.25">
      <c r="B76" s="87"/>
      <c r="C76" s="87"/>
      <c r="D76" s="87"/>
      <c r="E76" s="87"/>
      <c r="F76" s="87"/>
      <c r="G76" s="87"/>
      <c r="L76" s="87"/>
      <c r="M76" s="87"/>
      <c r="N76" s="87"/>
      <c r="O76" s="87"/>
      <c r="P76" s="87"/>
      <c r="Q76" s="87"/>
      <c r="R76" s="87"/>
      <c r="S76" s="87"/>
    </row>
    <row r="77" spans="2:19" ht="14.25">
      <c r="B77" s="87"/>
      <c r="C77" s="87"/>
      <c r="D77" s="87"/>
      <c r="E77" s="87"/>
      <c r="F77" s="87"/>
      <c r="G77" s="87"/>
      <c r="L77" s="87"/>
      <c r="M77" s="87"/>
      <c r="N77" s="87"/>
      <c r="O77" s="87"/>
      <c r="P77" s="87"/>
      <c r="Q77" s="87"/>
      <c r="R77" s="87"/>
      <c r="S77" s="87"/>
    </row>
    <row r="78" spans="2:19" ht="14.25">
      <c r="B78" s="87"/>
      <c r="C78" s="87"/>
      <c r="D78" s="87"/>
      <c r="E78" s="87"/>
      <c r="F78" s="87"/>
      <c r="G78" s="87"/>
      <c r="L78" s="87"/>
      <c r="M78" s="87"/>
      <c r="N78" s="87"/>
      <c r="O78" s="87"/>
      <c r="P78" s="87"/>
      <c r="Q78" s="87"/>
      <c r="R78" s="87"/>
      <c r="S78" s="87"/>
    </row>
    <row r="79" spans="2:19" ht="14.25">
      <c r="B79" s="87"/>
      <c r="C79" s="87"/>
      <c r="D79" s="87"/>
      <c r="E79" s="87"/>
      <c r="F79" s="87"/>
      <c r="G79" s="87"/>
      <c r="L79" s="87"/>
      <c r="M79" s="87"/>
      <c r="N79" s="87"/>
      <c r="O79" s="87"/>
      <c r="P79" s="87"/>
      <c r="Q79" s="87"/>
      <c r="R79" s="87"/>
      <c r="S79" s="87"/>
    </row>
    <row r="80" spans="2:19" ht="14.25">
      <c r="B80" s="87"/>
      <c r="C80" s="87"/>
      <c r="D80" s="87"/>
      <c r="E80" s="87"/>
      <c r="F80" s="87"/>
      <c r="G80" s="87"/>
      <c r="L80" s="87"/>
      <c r="M80" s="87"/>
      <c r="N80" s="87"/>
      <c r="O80" s="87"/>
      <c r="P80" s="87"/>
      <c r="Q80" s="87"/>
      <c r="R80" s="87"/>
      <c r="S80" s="87"/>
    </row>
    <row r="81" spans="2:19" ht="14.25">
      <c r="B81" s="87"/>
      <c r="C81" s="87"/>
      <c r="D81" s="87"/>
      <c r="E81" s="87"/>
      <c r="F81" s="87"/>
      <c r="G81" s="87"/>
      <c r="L81" s="87"/>
      <c r="M81" s="87"/>
      <c r="N81" s="87"/>
      <c r="O81" s="87"/>
      <c r="P81" s="87"/>
      <c r="Q81" s="87"/>
      <c r="R81" s="87"/>
      <c r="S81" s="87"/>
    </row>
    <row r="82" spans="2:19" ht="14.25">
      <c r="B82" s="87"/>
      <c r="C82" s="87"/>
      <c r="D82" s="87"/>
      <c r="E82" s="87"/>
      <c r="F82" s="87"/>
      <c r="G82" s="87"/>
      <c r="L82" s="87"/>
      <c r="M82" s="87"/>
      <c r="N82" s="87"/>
      <c r="O82" s="87"/>
      <c r="P82" s="87"/>
      <c r="Q82" s="87"/>
      <c r="R82" s="87"/>
      <c r="S82" s="87"/>
    </row>
    <row r="83" spans="2:19" ht="14.25">
      <c r="B83" s="87"/>
      <c r="C83" s="87"/>
      <c r="D83" s="87"/>
      <c r="E83" s="87"/>
      <c r="F83" s="87"/>
      <c r="G83" s="87"/>
      <c r="L83" s="87"/>
      <c r="M83" s="87"/>
      <c r="N83" s="87"/>
      <c r="O83" s="87"/>
      <c r="P83" s="87"/>
      <c r="Q83" s="87"/>
      <c r="R83" s="87"/>
      <c r="S83" s="87"/>
    </row>
    <row r="84" spans="2:19" ht="14.25">
      <c r="B84" s="87"/>
      <c r="C84" s="87"/>
      <c r="D84" s="87"/>
      <c r="E84" s="87"/>
      <c r="F84" s="87"/>
      <c r="G84" s="87"/>
      <c r="L84" s="87"/>
      <c r="M84" s="87"/>
      <c r="N84" s="87"/>
      <c r="O84" s="87"/>
      <c r="P84" s="87"/>
      <c r="Q84" s="87"/>
      <c r="R84" s="87"/>
      <c r="S84" s="87"/>
    </row>
  </sheetData>
  <sheetProtection/>
  <mergeCells count="134">
    <mergeCell ref="A22:B22"/>
    <mergeCell ref="A20:B20"/>
    <mergeCell ref="A21:B21"/>
    <mergeCell ref="A23:B23"/>
    <mergeCell ref="A24:B24"/>
    <mergeCell ref="S12:S13"/>
    <mergeCell ref="N18:N19"/>
    <mergeCell ref="O18:O19"/>
    <mergeCell ref="G18:G19"/>
    <mergeCell ref="Q16:Q17"/>
    <mergeCell ref="K18:K19"/>
    <mergeCell ref="L18:L19"/>
    <mergeCell ref="M18:M19"/>
    <mergeCell ref="I16:I17"/>
    <mergeCell ref="J16:J17"/>
    <mergeCell ref="K16:K17"/>
    <mergeCell ref="L16:L17"/>
    <mergeCell ref="A18:A19"/>
    <mergeCell ref="C18:C19"/>
    <mergeCell ref="D18:D19"/>
    <mergeCell ref="E18:E19"/>
    <mergeCell ref="F18:F19"/>
    <mergeCell ref="B18:B19"/>
    <mergeCell ref="G16:G17"/>
    <mergeCell ref="R16:R17"/>
    <mergeCell ref="S16:S17"/>
    <mergeCell ref="S18:S19"/>
    <mergeCell ref="R18:R19"/>
    <mergeCell ref="P18:P19"/>
    <mergeCell ref="Q18:Q19"/>
    <mergeCell ref="N16:N17"/>
    <mergeCell ref="I18:I19"/>
    <mergeCell ref="J18:J19"/>
    <mergeCell ref="A16:A17"/>
    <mergeCell ref="B16:B17"/>
    <mergeCell ref="C16:C17"/>
    <mergeCell ref="D16:D17"/>
    <mergeCell ref="E16:E17"/>
    <mergeCell ref="F16:F17"/>
    <mergeCell ref="O14:O15"/>
    <mergeCell ref="P14:P15"/>
    <mergeCell ref="O16:O17"/>
    <mergeCell ref="P16:P17"/>
    <mergeCell ref="M16:M17"/>
    <mergeCell ref="S14:S15"/>
    <mergeCell ref="Q14:Q15"/>
    <mergeCell ref="R14:R15"/>
    <mergeCell ref="M14:M15"/>
    <mergeCell ref="N14:N15"/>
    <mergeCell ref="F14:F15"/>
    <mergeCell ref="G14:G15"/>
    <mergeCell ref="I14:I15"/>
    <mergeCell ref="J14:J15"/>
    <mergeCell ref="K14:K15"/>
    <mergeCell ref="L14:L15"/>
    <mergeCell ref="P12:P13"/>
    <mergeCell ref="Q12:Q13"/>
    <mergeCell ref="R12:R13"/>
    <mergeCell ref="M12:M13"/>
    <mergeCell ref="L12:L13"/>
    <mergeCell ref="A14:A15"/>
    <mergeCell ref="B14:B15"/>
    <mergeCell ref="C14:C15"/>
    <mergeCell ref="D14:D15"/>
    <mergeCell ref="E14:E15"/>
    <mergeCell ref="G12:G13"/>
    <mergeCell ref="I12:I13"/>
    <mergeCell ref="J12:J13"/>
    <mergeCell ref="K12:K13"/>
    <mergeCell ref="N12:N13"/>
    <mergeCell ref="O12:O13"/>
    <mergeCell ref="A12:A13"/>
    <mergeCell ref="B12:B13"/>
    <mergeCell ref="C12:C13"/>
    <mergeCell ref="D12:D13"/>
    <mergeCell ref="E12:E13"/>
    <mergeCell ref="F12:F13"/>
    <mergeCell ref="Q10:Q11"/>
    <mergeCell ref="R10:R11"/>
    <mergeCell ref="M8:M9"/>
    <mergeCell ref="N8:N9"/>
    <mergeCell ref="O8:O9"/>
    <mergeCell ref="P8:P9"/>
    <mergeCell ref="O10:O11"/>
    <mergeCell ref="A5:F5"/>
    <mergeCell ref="G5:M5"/>
    <mergeCell ref="N5:R5"/>
    <mergeCell ref="F6:F7"/>
    <mergeCell ref="I6:I7"/>
    <mergeCell ref="K6:K7"/>
    <mergeCell ref="N6:N7"/>
    <mergeCell ref="J6:J7"/>
    <mergeCell ref="O6:O7"/>
    <mergeCell ref="M6:M7"/>
    <mergeCell ref="S5:S7"/>
    <mergeCell ref="R8:R9"/>
    <mergeCell ref="Q6:Q7"/>
    <mergeCell ref="R6:R7"/>
    <mergeCell ref="S8:S9"/>
    <mergeCell ref="A4:G4"/>
    <mergeCell ref="H4:L4"/>
    <mergeCell ref="G8:G9"/>
    <mergeCell ref="C8:C9"/>
    <mergeCell ref="D8:D9"/>
    <mergeCell ref="A2:S2"/>
    <mergeCell ref="A3:S3"/>
    <mergeCell ref="M4:O4"/>
    <mergeCell ref="P4:S4"/>
    <mergeCell ref="S10:S11"/>
    <mergeCell ref="C6:C7"/>
    <mergeCell ref="G6:G7"/>
    <mergeCell ref="H6:H7"/>
    <mergeCell ref="P6:P7"/>
    <mergeCell ref="N10:N11"/>
    <mergeCell ref="G10:G11"/>
    <mergeCell ref="I8:I9"/>
    <mergeCell ref="J8:J9"/>
    <mergeCell ref="K8:K9"/>
    <mergeCell ref="Q8:Q9"/>
    <mergeCell ref="P10:P11"/>
    <mergeCell ref="L8:L9"/>
    <mergeCell ref="I10:I11"/>
    <mergeCell ref="J10:J11"/>
    <mergeCell ref="K10:K11"/>
    <mergeCell ref="G24:H24"/>
    <mergeCell ref="F8:F9"/>
    <mergeCell ref="L6:L7"/>
    <mergeCell ref="A6:A7"/>
    <mergeCell ref="B6:B7"/>
    <mergeCell ref="D6:D7"/>
    <mergeCell ref="E6:E7"/>
    <mergeCell ref="A8:A9"/>
    <mergeCell ref="B8:B9"/>
    <mergeCell ref="E8:E9"/>
  </mergeCells>
  <printOptions/>
  <pageMargins left="1.299212598425197" right="0.11811023622047245" top="0.7480314960629921" bottom="0.7480314960629921" header="0.31496062992125984" footer="0.31496062992125984"/>
  <pageSetup horizontalDpi="600" verticalDpi="600" orientation="landscape" paperSize="5" scale="60"/>
  <headerFooter>
    <oddFooter>&amp;CPágina &amp;P</oddFooter>
  </headerFooter>
  <ignoredErrors>
    <ignoredError sqref="O10" formula="1"/>
  </ignoredErrors>
  <legacyDrawing r:id="rId2"/>
</worksheet>
</file>

<file path=xl/worksheets/sheet16.xml><?xml version="1.0" encoding="utf-8"?>
<worksheet xmlns="http://schemas.openxmlformats.org/spreadsheetml/2006/main" xmlns:r="http://schemas.openxmlformats.org/officeDocument/2006/relationships">
  <dimension ref="A1:S55"/>
  <sheetViews>
    <sheetView zoomScale="60" zoomScaleNormal="60" zoomScalePageLayoutView="0" workbookViewId="0" topLeftCell="A39">
      <selection activeCell="H43" sqref="H43:H44"/>
    </sheetView>
  </sheetViews>
  <sheetFormatPr defaultColWidth="11.421875" defaultRowHeight="15"/>
  <cols>
    <col min="1" max="1" width="25.57421875" style="45" customWidth="1"/>
    <col min="2" max="2" width="32.7109375" style="45" customWidth="1"/>
    <col min="3" max="3" width="28.140625" style="45" customWidth="1"/>
    <col min="4" max="4" width="18.7109375" style="45" customWidth="1"/>
    <col min="5" max="5" width="15.7109375" style="45" customWidth="1"/>
    <col min="6" max="6" width="14.421875" style="45" customWidth="1"/>
    <col min="7" max="7" width="27.140625" style="45" customWidth="1"/>
    <col min="8" max="8" width="36.7109375" style="45" customWidth="1"/>
    <col min="9" max="9" width="21.57421875" style="89" customWidth="1"/>
    <col min="10" max="10" width="18.28125" style="89" customWidth="1"/>
    <col min="11" max="11" width="16.140625" style="319" customWidth="1"/>
    <col min="12" max="12" width="32.28125" style="45" customWidth="1"/>
    <col min="13" max="13" width="34.140625" style="45" customWidth="1"/>
    <col min="14" max="15" width="22.28125" style="45" customWidth="1"/>
    <col min="16" max="16" width="20.28125" style="45" customWidth="1"/>
    <col min="17" max="17" width="20.28125" style="321" customWidth="1"/>
    <col min="18" max="18" width="17.57421875" style="11" customWidth="1"/>
    <col min="19" max="19" width="22.00390625" style="45" customWidth="1"/>
    <col min="20" max="16384" width="11.421875" style="45" customWidth="1"/>
  </cols>
  <sheetData>
    <row r="1" spans="11:18" s="46" customFormat="1" ht="18.75" customHeight="1" thickBot="1">
      <c r="K1" s="313"/>
      <c r="Q1" s="313"/>
      <c r="R1" s="62"/>
    </row>
    <row r="2" spans="1:19" s="253" customFormat="1" ht="18.75" customHeight="1" thickBot="1">
      <c r="A2" s="505" t="s">
        <v>8</v>
      </c>
      <c r="B2" s="506"/>
      <c r="C2" s="506"/>
      <c r="D2" s="506"/>
      <c r="E2" s="506"/>
      <c r="F2" s="506"/>
      <c r="G2" s="506"/>
      <c r="H2" s="506"/>
      <c r="I2" s="506"/>
      <c r="J2" s="506"/>
      <c r="K2" s="506"/>
      <c r="L2" s="506"/>
      <c r="M2" s="506"/>
      <c r="N2" s="506"/>
      <c r="O2" s="506"/>
      <c r="P2" s="506"/>
      <c r="Q2" s="506"/>
      <c r="R2" s="506"/>
      <c r="S2" s="507"/>
    </row>
    <row r="3" spans="1:19" s="253" customFormat="1" ht="18.75" customHeight="1" thickBot="1">
      <c r="A3" s="508" t="s">
        <v>1683</v>
      </c>
      <c r="B3" s="509"/>
      <c r="C3" s="509"/>
      <c r="D3" s="509"/>
      <c r="E3" s="509"/>
      <c r="F3" s="509"/>
      <c r="G3" s="509"/>
      <c r="H3" s="509"/>
      <c r="I3" s="509"/>
      <c r="J3" s="509"/>
      <c r="K3" s="509"/>
      <c r="L3" s="509"/>
      <c r="M3" s="509"/>
      <c r="N3" s="509"/>
      <c r="O3" s="509"/>
      <c r="P3" s="509"/>
      <c r="Q3" s="509"/>
      <c r="R3" s="509"/>
      <c r="S3" s="510"/>
    </row>
    <row r="4" spans="1:19" s="11" customFormat="1" ht="22.5" customHeight="1">
      <c r="A4" s="666" t="s">
        <v>873</v>
      </c>
      <c r="B4" s="667"/>
      <c r="C4" s="667"/>
      <c r="D4" s="667"/>
      <c r="E4" s="667"/>
      <c r="F4" s="667"/>
      <c r="G4" s="668"/>
      <c r="H4" s="684" t="s">
        <v>1721</v>
      </c>
      <c r="I4" s="684"/>
      <c r="J4" s="684"/>
      <c r="K4" s="684"/>
      <c r="L4" s="684"/>
      <c r="M4" s="666" t="s">
        <v>1183</v>
      </c>
      <c r="N4" s="667"/>
      <c r="O4" s="668"/>
      <c r="P4" s="666" t="s">
        <v>1184</v>
      </c>
      <c r="Q4" s="667"/>
      <c r="R4" s="667"/>
      <c r="S4" s="668"/>
    </row>
    <row r="5" spans="1:19" s="11" customFormat="1" ht="28.5" customHeight="1">
      <c r="A5" s="698" t="s">
        <v>0</v>
      </c>
      <c r="B5" s="699"/>
      <c r="C5" s="699"/>
      <c r="D5" s="699"/>
      <c r="E5" s="699"/>
      <c r="F5" s="700"/>
      <c r="G5" s="698" t="s">
        <v>1</v>
      </c>
      <c r="H5" s="699"/>
      <c r="I5" s="699"/>
      <c r="J5" s="699"/>
      <c r="K5" s="699"/>
      <c r="L5" s="699"/>
      <c r="M5" s="699"/>
      <c r="N5" s="699" t="s">
        <v>1187</v>
      </c>
      <c r="O5" s="699"/>
      <c r="P5" s="699"/>
      <c r="Q5" s="699"/>
      <c r="R5" s="700"/>
      <c r="S5" s="669" t="s">
        <v>1686</v>
      </c>
    </row>
    <row r="6" spans="1:19" s="11" customFormat="1" ht="13.5" customHeight="1">
      <c r="A6" s="669" t="s">
        <v>2</v>
      </c>
      <c r="B6" s="669" t="s">
        <v>1104</v>
      </c>
      <c r="C6" s="669" t="s">
        <v>3</v>
      </c>
      <c r="D6" s="669" t="s">
        <v>1116</v>
      </c>
      <c r="E6" s="669" t="s">
        <v>1117</v>
      </c>
      <c r="F6" s="669" t="s">
        <v>1118</v>
      </c>
      <c r="G6" s="669" t="s">
        <v>1182</v>
      </c>
      <c r="H6" s="669" t="s">
        <v>9</v>
      </c>
      <c r="I6" s="693" t="s">
        <v>1180</v>
      </c>
      <c r="J6" s="693" t="s">
        <v>1181</v>
      </c>
      <c r="K6" s="695" t="s">
        <v>1103</v>
      </c>
      <c r="L6" s="682" t="s">
        <v>1637</v>
      </c>
      <c r="M6" s="669" t="s">
        <v>2209</v>
      </c>
      <c r="N6" s="669" t="s">
        <v>1115</v>
      </c>
      <c r="O6" s="669" t="s">
        <v>1119</v>
      </c>
      <c r="P6" s="669" t="s">
        <v>1120</v>
      </c>
      <c r="Q6" s="671" t="s">
        <v>1185</v>
      </c>
      <c r="R6" s="669" t="s">
        <v>926</v>
      </c>
      <c r="S6" s="761"/>
    </row>
    <row r="7" spans="1:19" s="11" customFormat="1" ht="52.5" customHeight="1">
      <c r="A7" s="670"/>
      <c r="B7" s="670"/>
      <c r="C7" s="670"/>
      <c r="D7" s="670"/>
      <c r="E7" s="670"/>
      <c r="F7" s="670"/>
      <c r="G7" s="670"/>
      <c r="H7" s="670"/>
      <c r="I7" s="694"/>
      <c r="J7" s="694"/>
      <c r="K7" s="696"/>
      <c r="L7" s="683"/>
      <c r="M7" s="670"/>
      <c r="N7" s="670"/>
      <c r="O7" s="670"/>
      <c r="P7" s="670"/>
      <c r="Q7" s="672"/>
      <c r="R7" s="670"/>
      <c r="S7" s="670"/>
    </row>
    <row r="8" spans="1:19" ht="72" customHeight="1">
      <c r="A8" s="95" t="s">
        <v>1105</v>
      </c>
      <c r="B8" s="28" t="s">
        <v>822</v>
      </c>
      <c r="C8" s="28" t="s">
        <v>1915</v>
      </c>
      <c r="D8" s="416">
        <v>0.4</v>
      </c>
      <c r="E8" s="416">
        <v>0.4</v>
      </c>
      <c r="F8" s="154">
        <v>1</v>
      </c>
      <c r="G8" s="630" t="s">
        <v>1014</v>
      </c>
      <c r="H8" s="900" t="s">
        <v>1112</v>
      </c>
      <c r="I8" s="1109">
        <f>'[6]InfMesPptoCDP.rpt'!$F$295/1000</f>
        <v>3094522.91847</v>
      </c>
      <c r="J8" s="1104">
        <f>'[6]InfMesPptoCDP.rpt'!$I$295/1000</f>
        <v>2676798.00249</v>
      </c>
      <c r="K8" s="1115">
        <f>J8/I8</f>
        <v>0.8650115294067583</v>
      </c>
      <c r="L8" s="630" t="s">
        <v>1111</v>
      </c>
      <c r="M8" s="28" t="s">
        <v>1921</v>
      </c>
      <c r="N8" s="1104">
        <v>24</v>
      </c>
      <c r="O8" s="1104">
        <f>'[6]InfMesPptoCDP.rpt'!$H$295/1000</f>
        <v>2685248.00249</v>
      </c>
      <c r="P8" s="1104">
        <f>J8</f>
        <v>2676798.00249</v>
      </c>
      <c r="Q8" s="1115">
        <f>P8/O8</f>
        <v>0.9968531770651484</v>
      </c>
      <c r="R8" s="606" t="s">
        <v>823</v>
      </c>
      <c r="S8" s="630" t="s">
        <v>2234</v>
      </c>
    </row>
    <row r="9" spans="1:19" ht="93" customHeight="1">
      <c r="A9" s="95" t="s">
        <v>1106</v>
      </c>
      <c r="B9" s="28" t="s">
        <v>824</v>
      </c>
      <c r="C9" s="28" t="s">
        <v>1110</v>
      </c>
      <c r="D9" s="153">
        <v>2</v>
      </c>
      <c r="E9" s="243">
        <v>2</v>
      </c>
      <c r="F9" s="154">
        <v>1</v>
      </c>
      <c r="G9" s="687"/>
      <c r="H9" s="902"/>
      <c r="I9" s="1111"/>
      <c r="J9" s="1105"/>
      <c r="K9" s="1116"/>
      <c r="L9" s="687"/>
      <c r="M9" s="28" t="s">
        <v>1922</v>
      </c>
      <c r="N9" s="1105"/>
      <c r="O9" s="1105"/>
      <c r="P9" s="1105"/>
      <c r="Q9" s="1116"/>
      <c r="R9" s="612"/>
      <c r="S9" s="687"/>
    </row>
    <row r="10" spans="1:19" ht="91.5" customHeight="1">
      <c r="A10" s="95" t="s">
        <v>1107</v>
      </c>
      <c r="B10" s="28" t="s">
        <v>825</v>
      </c>
      <c r="C10" s="28" t="s">
        <v>1931</v>
      </c>
      <c r="D10" s="153">
        <v>1</v>
      </c>
      <c r="E10" s="244">
        <v>1</v>
      </c>
      <c r="F10" s="154">
        <v>1</v>
      </c>
      <c r="G10" s="687"/>
      <c r="H10" s="55" t="s">
        <v>1113</v>
      </c>
      <c r="I10" s="1111"/>
      <c r="J10" s="1105"/>
      <c r="K10" s="1116"/>
      <c r="L10" s="687"/>
      <c r="M10" s="28" t="s">
        <v>1923</v>
      </c>
      <c r="N10" s="1105"/>
      <c r="O10" s="1105"/>
      <c r="P10" s="1105"/>
      <c r="Q10" s="1116"/>
      <c r="R10" s="612"/>
      <c r="S10" s="687"/>
    </row>
    <row r="11" spans="1:19" ht="108" customHeight="1">
      <c r="A11" s="95" t="s">
        <v>1108</v>
      </c>
      <c r="B11" s="28" t="s">
        <v>826</v>
      </c>
      <c r="C11" s="28" t="s">
        <v>1930</v>
      </c>
      <c r="D11" s="153">
        <v>1</v>
      </c>
      <c r="E11" s="244">
        <v>1</v>
      </c>
      <c r="F11" s="154">
        <v>1</v>
      </c>
      <c r="G11" s="687"/>
      <c r="H11" s="1140" t="s">
        <v>1114</v>
      </c>
      <c r="I11" s="1111"/>
      <c r="J11" s="1105"/>
      <c r="K11" s="1116"/>
      <c r="L11" s="687"/>
      <c r="M11" s="28" t="s">
        <v>1934</v>
      </c>
      <c r="N11" s="1105"/>
      <c r="O11" s="1105"/>
      <c r="P11" s="1105"/>
      <c r="Q11" s="1116"/>
      <c r="R11" s="612"/>
      <c r="S11" s="687"/>
    </row>
    <row r="12" spans="1:19" ht="77.25" customHeight="1">
      <c r="A12" s="95" t="s">
        <v>1109</v>
      </c>
      <c r="B12" s="28" t="s">
        <v>827</v>
      </c>
      <c r="C12" s="28" t="s">
        <v>1916</v>
      </c>
      <c r="D12" s="29"/>
      <c r="E12" s="245"/>
      <c r="F12" s="154"/>
      <c r="G12" s="688"/>
      <c r="H12" s="1141"/>
      <c r="I12" s="1110"/>
      <c r="J12" s="1106"/>
      <c r="K12" s="1117"/>
      <c r="L12" s="688"/>
      <c r="M12" s="28" t="s">
        <v>1924</v>
      </c>
      <c r="N12" s="1106"/>
      <c r="O12" s="1106"/>
      <c r="P12" s="1106"/>
      <c r="Q12" s="1117"/>
      <c r="R12" s="607"/>
      <c r="S12" s="688"/>
    </row>
    <row r="13" spans="1:19" ht="69.75" customHeight="1">
      <c r="A13" s="104" t="s">
        <v>1152</v>
      </c>
      <c r="B13" s="28" t="s">
        <v>828</v>
      </c>
      <c r="C13" s="28" t="s">
        <v>1917</v>
      </c>
      <c r="D13" s="153">
        <v>4</v>
      </c>
      <c r="E13" s="244">
        <v>4</v>
      </c>
      <c r="F13" s="154">
        <v>1</v>
      </c>
      <c r="G13" s="1107" t="s">
        <v>1015</v>
      </c>
      <c r="H13" s="55" t="s">
        <v>1121</v>
      </c>
      <c r="I13" s="1109">
        <f>'[6]InfMesPptoCDP.rpt'!$F$299/1000</f>
        <v>561090.88098</v>
      </c>
      <c r="J13" s="1109">
        <f>'[6]InfMesPptoCDP.rpt'!$I$299/1000</f>
        <v>312491.581</v>
      </c>
      <c r="K13" s="1115">
        <f>J13/I13</f>
        <v>0.5569357685054567</v>
      </c>
      <c r="L13" s="567" t="s">
        <v>1124</v>
      </c>
      <c r="M13" s="28" t="s">
        <v>1925</v>
      </c>
      <c r="N13" s="736">
        <v>27</v>
      </c>
      <c r="O13" s="1109">
        <f>'[6]InfMesPptoCDP.rpt'!$H$299/1000</f>
        <v>312491.581</v>
      </c>
      <c r="P13" s="1109">
        <f>J13</f>
        <v>312491.581</v>
      </c>
      <c r="Q13" s="1122">
        <f>P13/O13</f>
        <v>1</v>
      </c>
      <c r="R13" s="606" t="s">
        <v>829</v>
      </c>
      <c r="S13" s="630" t="s">
        <v>2234</v>
      </c>
    </row>
    <row r="14" spans="1:19" ht="87.75" customHeight="1">
      <c r="A14" s="104" t="s">
        <v>1153</v>
      </c>
      <c r="B14" s="28" t="s">
        <v>830</v>
      </c>
      <c r="C14" s="28" t="s">
        <v>1918</v>
      </c>
      <c r="D14" s="153">
        <v>2</v>
      </c>
      <c r="E14" s="244">
        <v>2</v>
      </c>
      <c r="F14" s="154">
        <v>1</v>
      </c>
      <c r="G14" s="1118"/>
      <c r="H14" s="55" t="s">
        <v>1122</v>
      </c>
      <c r="I14" s="1111"/>
      <c r="J14" s="1111"/>
      <c r="K14" s="1116"/>
      <c r="L14" s="908"/>
      <c r="M14" s="28" t="s">
        <v>1926</v>
      </c>
      <c r="N14" s="743"/>
      <c r="O14" s="1111"/>
      <c r="P14" s="1111"/>
      <c r="Q14" s="1124"/>
      <c r="R14" s="612"/>
      <c r="S14" s="687"/>
    </row>
    <row r="15" spans="1:19" ht="74.25" customHeight="1">
      <c r="A15" s="104" t="s">
        <v>1154</v>
      </c>
      <c r="B15" s="28" t="s">
        <v>831</v>
      </c>
      <c r="C15" s="28" t="s">
        <v>1932</v>
      </c>
      <c r="D15" s="153">
        <v>1</v>
      </c>
      <c r="E15" s="244">
        <v>1</v>
      </c>
      <c r="F15" s="154">
        <v>1</v>
      </c>
      <c r="G15" s="1108"/>
      <c r="H15" s="55" t="s">
        <v>1123</v>
      </c>
      <c r="I15" s="1110"/>
      <c r="J15" s="1110"/>
      <c r="K15" s="1117"/>
      <c r="L15" s="568"/>
      <c r="M15" s="28" t="s">
        <v>1927</v>
      </c>
      <c r="N15" s="737"/>
      <c r="O15" s="1110"/>
      <c r="P15" s="1110"/>
      <c r="Q15" s="1123"/>
      <c r="R15" s="607"/>
      <c r="S15" s="688"/>
    </row>
    <row r="16" spans="1:19" ht="51.75" customHeight="1">
      <c r="A16" s="104" t="s">
        <v>1155</v>
      </c>
      <c r="B16" s="28" t="s">
        <v>832</v>
      </c>
      <c r="C16" s="28" t="s">
        <v>1919</v>
      </c>
      <c r="D16" s="246">
        <v>2667</v>
      </c>
      <c r="E16" s="227">
        <v>2667</v>
      </c>
      <c r="F16" s="228">
        <v>1</v>
      </c>
      <c r="G16" s="1107" t="s">
        <v>1016</v>
      </c>
      <c r="H16" s="900" t="s">
        <v>1125</v>
      </c>
      <c r="I16" s="1109">
        <f>'[6]InfMesPptoCDP.rpt'!$F$303/1000</f>
        <v>52050.212</v>
      </c>
      <c r="J16" s="1109">
        <f>'[6]InfMesPptoCDP.rpt'!$I$303/1000</f>
        <v>52000</v>
      </c>
      <c r="K16" s="1115">
        <f>J16/I16</f>
        <v>0.9990353161289718</v>
      </c>
      <c r="L16" s="630" t="s">
        <v>1936</v>
      </c>
      <c r="M16" s="28" t="s">
        <v>1928</v>
      </c>
      <c r="N16" s="736">
        <v>2</v>
      </c>
      <c r="O16" s="1109">
        <f>'[6]InfMesPptoCDP.rpt'!$H$303/1000</f>
        <v>52000</v>
      </c>
      <c r="P16" s="1109">
        <f>J16</f>
        <v>52000</v>
      </c>
      <c r="Q16" s="1122">
        <f>P16/O16</f>
        <v>1</v>
      </c>
      <c r="R16" s="606" t="s">
        <v>833</v>
      </c>
      <c r="S16" s="630" t="s">
        <v>2234</v>
      </c>
    </row>
    <row r="17" spans="1:19" ht="47.25" customHeight="1">
      <c r="A17" s="104" t="s">
        <v>1156</v>
      </c>
      <c r="B17" s="28" t="s">
        <v>834</v>
      </c>
      <c r="C17" s="28" t="s">
        <v>835</v>
      </c>
      <c r="D17" s="246">
        <v>600</v>
      </c>
      <c r="E17" s="417">
        <v>13000</v>
      </c>
      <c r="F17" s="228">
        <v>1</v>
      </c>
      <c r="G17" s="1118"/>
      <c r="H17" s="901"/>
      <c r="I17" s="1111"/>
      <c r="J17" s="1111"/>
      <c r="K17" s="1116"/>
      <c r="L17" s="687"/>
      <c r="M17" s="28" t="s">
        <v>1929</v>
      </c>
      <c r="N17" s="743"/>
      <c r="O17" s="1111"/>
      <c r="P17" s="1111"/>
      <c r="Q17" s="1124"/>
      <c r="R17" s="612"/>
      <c r="S17" s="687"/>
    </row>
    <row r="18" spans="1:19" ht="161.25" customHeight="1">
      <c r="A18" s="104" t="s">
        <v>1157</v>
      </c>
      <c r="B18" s="28" t="s">
        <v>836</v>
      </c>
      <c r="C18" s="28" t="s">
        <v>837</v>
      </c>
      <c r="D18" s="418">
        <v>0.5</v>
      </c>
      <c r="E18" s="247">
        <v>1</v>
      </c>
      <c r="F18" s="228">
        <v>1</v>
      </c>
      <c r="G18" s="1108"/>
      <c r="H18" s="902"/>
      <c r="I18" s="1110"/>
      <c r="J18" s="1110"/>
      <c r="K18" s="1117"/>
      <c r="L18" s="688"/>
      <c r="M18" s="28" t="s">
        <v>1937</v>
      </c>
      <c r="N18" s="737"/>
      <c r="O18" s="1110"/>
      <c r="P18" s="1110"/>
      <c r="Q18" s="1123"/>
      <c r="R18" s="607"/>
      <c r="S18" s="688"/>
    </row>
    <row r="19" spans="1:19" ht="88.5" customHeight="1">
      <c r="A19" s="104" t="s">
        <v>1158</v>
      </c>
      <c r="B19" s="28" t="s">
        <v>838</v>
      </c>
      <c r="C19" s="28" t="s">
        <v>839</v>
      </c>
      <c r="D19" s="96">
        <v>3</v>
      </c>
      <c r="E19" s="96">
        <v>3</v>
      </c>
      <c r="F19" s="228">
        <v>1</v>
      </c>
      <c r="G19" s="1107" t="s">
        <v>1017</v>
      </c>
      <c r="H19" s="28" t="s">
        <v>1126</v>
      </c>
      <c r="I19" s="1109">
        <f>'[6]InfMesPptoCDP.rpt'!$F$307/1000</f>
        <v>66250.0008</v>
      </c>
      <c r="J19" s="1109">
        <f>'[6]InfMesPptoCDP.rpt'!$I$307/1000</f>
        <v>43247.7</v>
      </c>
      <c r="K19" s="1115">
        <f>J19/I19</f>
        <v>0.6527954638153001</v>
      </c>
      <c r="L19" s="630" t="s">
        <v>1128</v>
      </c>
      <c r="M19" s="28" t="s">
        <v>1935</v>
      </c>
      <c r="N19" s="736">
        <v>6</v>
      </c>
      <c r="O19" s="1109">
        <f>'[6]InfMesPptoCDP.rpt'!$H$307/1000</f>
        <v>43247.7</v>
      </c>
      <c r="P19" s="1109">
        <f>J19</f>
        <v>43247.7</v>
      </c>
      <c r="Q19" s="1122">
        <f>P19/O19</f>
        <v>1</v>
      </c>
      <c r="R19" s="606" t="s">
        <v>833</v>
      </c>
      <c r="S19" s="630" t="s">
        <v>2234</v>
      </c>
    </row>
    <row r="20" spans="1:19" ht="153" customHeight="1">
      <c r="A20" s="104" t="s">
        <v>1159</v>
      </c>
      <c r="B20" s="28" t="s">
        <v>840</v>
      </c>
      <c r="C20" s="28" t="s">
        <v>841</v>
      </c>
      <c r="D20" s="98">
        <v>0.5</v>
      </c>
      <c r="E20" s="98">
        <v>0.5</v>
      </c>
      <c r="F20" s="97">
        <v>1</v>
      </c>
      <c r="G20" s="1108"/>
      <c r="H20" s="28" t="s">
        <v>1127</v>
      </c>
      <c r="I20" s="1110"/>
      <c r="J20" s="1110"/>
      <c r="K20" s="1117"/>
      <c r="L20" s="688"/>
      <c r="M20" s="28" t="s">
        <v>1938</v>
      </c>
      <c r="N20" s="737"/>
      <c r="O20" s="1110"/>
      <c r="P20" s="1110"/>
      <c r="Q20" s="1123"/>
      <c r="R20" s="607"/>
      <c r="S20" s="688"/>
    </row>
    <row r="21" spans="1:19" ht="96" customHeight="1">
      <c r="A21" s="104" t="s">
        <v>1160</v>
      </c>
      <c r="B21" s="28" t="s">
        <v>842</v>
      </c>
      <c r="C21" s="28" t="s">
        <v>1933</v>
      </c>
      <c r="D21" s="153">
        <v>70</v>
      </c>
      <c r="E21" s="153">
        <v>121</v>
      </c>
      <c r="F21" s="154">
        <v>1</v>
      </c>
      <c r="G21" s="1107" t="s">
        <v>1018</v>
      </c>
      <c r="H21" s="630" t="s">
        <v>1129</v>
      </c>
      <c r="I21" s="1104">
        <f>'[6]InfMesPptoCDP.rpt'!$F$309/1000</f>
        <v>172034.75638</v>
      </c>
      <c r="J21" s="1104">
        <f>'[6]InfMesPptoCDP.rpt'!$I$309/1000</f>
        <v>146902.591</v>
      </c>
      <c r="K21" s="1115">
        <f>J21/I21</f>
        <v>0.8539122796530331</v>
      </c>
      <c r="L21" s="630" t="s">
        <v>1131</v>
      </c>
      <c r="M21" s="28" t="s">
        <v>1941</v>
      </c>
      <c r="N21" s="736">
        <v>16</v>
      </c>
      <c r="O21" s="1104">
        <f>'[6]InfMesPptoCDP.rpt'!$H$309/1000</f>
        <v>146902.591</v>
      </c>
      <c r="P21" s="1104">
        <f>J21</f>
        <v>146902.591</v>
      </c>
      <c r="Q21" s="1115">
        <f>P21/O21</f>
        <v>1</v>
      </c>
      <c r="R21" s="606" t="s">
        <v>833</v>
      </c>
      <c r="S21" s="630" t="s">
        <v>2234</v>
      </c>
    </row>
    <row r="22" spans="1:19" ht="64.5" customHeight="1">
      <c r="A22" s="104" t="s">
        <v>1161</v>
      </c>
      <c r="B22" s="28" t="s">
        <v>843</v>
      </c>
      <c r="C22" s="28" t="s">
        <v>486</v>
      </c>
      <c r="D22" s="153">
        <v>1</v>
      </c>
      <c r="E22" s="153">
        <v>1</v>
      </c>
      <c r="F22" s="154">
        <v>1</v>
      </c>
      <c r="G22" s="1118"/>
      <c r="H22" s="688"/>
      <c r="I22" s="1105"/>
      <c r="J22" s="1105"/>
      <c r="K22" s="1116"/>
      <c r="L22" s="687"/>
      <c r="M22" s="28" t="s">
        <v>1939</v>
      </c>
      <c r="N22" s="743"/>
      <c r="O22" s="1105"/>
      <c r="P22" s="1105"/>
      <c r="Q22" s="1116"/>
      <c r="R22" s="612"/>
      <c r="S22" s="687"/>
    </row>
    <row r="23" spans="1:19" ht="154.5" customHeight="1">
      <c r="A23" s="104" t="s">
        <v>1162</v>
      </c>
      <c r="B23" s="28" t="s">
        <v>1101</v>
      </c>
      <c r="C23" s="28" t="s">
        <v>844</v>
      </c>
      <c r="D23" s="416">
        <v>0.6</v>
      </c>
      <c r="E23" s="416">
        <v>0.6</v>
      </c>
      <c r="F23" s="154">
        <v>1</v>
      </c>
      <c r="G23" s="687"/>
      <c r="H23" s="630" t="s">
        <v>1130</v>
      </c>
      <c r="I23" s="1105"/>
      <c r="J23" s="1105"/>
      <c r="K23" s="1116"/>
      <c r="L23" s="687"/>
      <c r="M23" s="28" t="s">
        <v>1940</v>
      </c>
      <c r="N23" s="743"/>
      <c r="O23" s="1105"/>
      <c r="P23" s="1105"/>
      <c r="Q23" s="1116"/>
      <c r="R23" s="612"/>
      <c r="S23" s="687"/>
    </row>
    <row r="24" spans="1:19" ht="146.25" customHeight="1">
      <c r="A24" s="104" t="s">
        <v>1163</v>
      </c>
      <c r="B24" s="28" t="s">
        <v>1102</v>
      </c>
      <c r="C24" s="28" t="s">
        <v>845</v>
      </c>
      <c r="D24" s="153">
        <v>13</v>
      </c>
      <c r="E24" s="153">
        <v>13</v>
      </c>
      <c r="F24" s="154">
        <v>1</v>
      </c>
      <c r="G24" s="688"/>
      <c r="H24" s="688"/>
      <c r="I24" s="1106"/>
      <c r="J24" s="1106"/>
      <c r="K24" s="1117"/>
      <c r="L24" s="688"/>
      <c r="M24" s="28" t="s">
        <v>1942</v>
      </c>
      <c r="N24" s="737"/>
      <c r="O24" s="1106"/>
      <c r="P24" s="1106"/>
      <c r="Q24" s="1117"/>
      <c r="R24" s="607"/>
      <c r="S24" s="688"/>
    </row>
    <row r="25" spans="1:19" ht="60.75" customHeight="1">
      <c r="A25" s="1126" t="s">
        <v>1164</v>
      </c>
      <c r="B25" s="676" t="s">
        <v>846</v>
      </c>
      <c r="C25" s="676" t="s">
        <v>1920</v>
      </c>
      <c r="D25" s="1127">
        <v>0.5</v>
      </c>
      <c r="E25" s="1127">
        <v>0.5</v>
      </c>
      <c r="F25" s="1130">
        <v>1</v>
      </c>
      <c r="G25" s="630" t="s">
        <v>1019</v>
      </c>
      <c r="H25" s="28" t="s">
        <v>1132</v>
      </c>
      <c r="I25" s="1132">
        <f>'[6]InfMesPptoCDP.rpt'!$F$311/1000</f>
        <v>47850.212</v>
      </c>
      <c r="J25" s="1132">
        <f>'[6]InfMesPptoCDP.rpt'!$I$311/1000</f>
        <v>47370.82</v>
      </c>
      <c r="K25" s="1135">
        <v>0.214</v>
      </c>
      <c r="L25" s="630" t="s">
        <v>1138</v>
      </c>
      <c r="M25" s="676" t="s">
        <v>1943</v>
      </c>
      <c r="N25" s="736">
        <v>10</v>
      </c>
      <c r="O25" s="730">
        <f>'[6]InfMesPptoCDP.rpt'!$H$311/1000</f>
        <v>47370.82</v>
      </c>
      <c r="P25" s="730">
        <f>J25</f>
        <v>47370.82</v>
      </c>
      <c r="Q25" s="732">
        <f>P25/O25</f>
        <v>1</v>
      </c>
      <c r="R25" s="606" t="s">
        <v>833</v>
      </c>
      <c r="S25" s="630" t="s">
        <v>2234</v>
      </c>
    </row>
    <row r="26" spans="1:19" ht="75" customHeight="1">
      <c r="A26" s="1126"/>
      <c r="B26" s="1125"/>
      <c r="C26" s="1125"/>
      <c r="D26" s="1128">
        <v>13</v>
      </c>
      <c r="E26" s="1128">
        <v>4</v>
      </c>
      <c r="F26" s="1130">
        <v>0.3076923076923077</v>
      </c>
      <c r="G26" s="687"/>
      <c r="H26" s="28" t="s">
        <v>1133</v>
      </c>
      <c r="I26" s="1133"/>
      <c r="J26" s="1133"/>
      <c r="K26" s="1136"/>
      <c r="L26" s="687"/>
      <c r="M26" s="1125"/>
      <c r="N26" s="743"/>
      <c r="O26" s="743"/>
      <c r="P26" s="743"/>
      <c r="Q26" s="744"/>
      <c r="R26" s="612"/>
      <c r="S26" s="687"/>
    </row>
    <row r="27" spans="1:19" ht="70.5" customHeight="1">
      <c r="A27" s="1126"/>
      <c r="B27" s="1125"/>
      <c r="C27" s="1125"/>
      <c r="D27" s="1129">
        <v>0.5</v>
      </c>
      <c r="E27" s="1129">
        <v>0.5</v>
      </c>
      <c r="F27" s="1130">
        <v>1</v>
      </c>
      <c r="G27" s="687"/>
      <c r="H27" s="28" t="s">
        <v>1134</v>
      </c>
      <c r="I27" s="1133"/>
      <c r="J27" s="1133"/>
      <c r="K27" s="1136"/>
      <c r="L27" s="687"/>
      <c r="M27" s="1125"/>
      <c r="N27" s="743"/>
      <c r="O27" s="743"/>
      <c r="P27" s="743"/>
      <c r="Q27" s="744"/>
      <c r="R27" s="612"/>
      <c r="S27" s="687"/>
    </row>
    <row r="28" spans="1:19" ht="66" customHeight="1">
      <c r="A28" s="1126" t="s">
        <v>1165</v>
      </c>
      <c r="B28" s="676" t="s">
        <v>847</v>
      </c>
      <c r="C28" s="676" t="s">
        <v>848</v>
      </c>
      <c r="D28" s="1131">
        <v>13</v>
      </c>
      <c r="E28" s="1131">
        <v>4</v>
      </c>
      <c r="F28" s="1130">
        <v>0.3076923076923077</v>
      </c>
      <c r="G28" s="687"/>
      <c r="H28" s="28" t="s">
        <v>1135</v>
      </c>
      <c r="I28" s="1133"/>
      <c r="J28" s="1133"/>
      <c r="K28" s="1136"/>
      <c r="L28" s="687"/>
      <c r="M28" s="676" t="s">
        <v>1944</v>
      </c>
      <c r="N28" s="743"/>
      <c r="O28" s="743"/>
      <c r="P28" s="743"/>
      <c r="Q28" s="744"/>
      <c r="R28" s="612"/>
      <c r="S28" s="687"/>
    </row>
    <row r="29" spans="1:19" ht="66.75" customHeight="1">
      <c r="A29" s="1126"/>
      <c r="B29" s="1125"/>
      <c r="C29" s="1125"/>
      <c r="D29" s="1129">
        <v>0.5</v>
      </c>
      <c r="E29" s="1129">
        <v>0.5</v>
      </c>
      <c r="F29" s="1130">
        <v>1</v>
      </c>
      <c r="G29" s="687"/>
      <c r="H29" s="28" t="s">
        <v>1136</v>
      </c>
      <c r="I29" s="1133"/>
      <c r="J29" s="1133"/>
      <c r="K29" s="1136"/>
      <c r="L29" s="687"/>
      <c r="M29" s="1125"/>
      <c r="N29" s="743"/>
      <c r="O29" s="743"/>
      <c r="P29" s="743"/>
      <c r="Q29" s="744"/>
      <c r="R29" s="612"/>
      <c r="S29" s="687"/>
    </row>
    <row r="30" spans="1:19" ht="68.25" customHeight="1">
      <c r="A30" s="1126"/>
      <c r="B30" s="1125"/>
      <c r="C30" s="1125"/>
      <c r="D30" s="1128">
        <v>13</v>
      </c>
      <c r="E30" s="1128">
        <v>4</v>
      </c>
      <c r="F30" s="1130">
        <v>0.3076923076923077</v>
      </c>
      <c r="G30" s="688"/>
      <c r="H30" s="28" t="s">
        <v>1137</v>
      </c>
      <c r="I30" s="1134"/>
      <c r="J30" s="1134"/>
      <c r="K30" s="1137"/>
      <c r="L30" s="688"/>
      <c r="M30" s="1125"/>
      <c r="N30" s="737"/>
      <c r="O30" s="737"/>
      <c r="P30" s="737"/>
      <c r="Q30" s="733"/>
      <c r="R30" s="607"/>
      <c r="S30" s="688"/>
    </row>
    <row r="31" spans="1:19" ht="69" customHeight="1">
      <c r="A31" s="95" t="s">
        <v>1166</v>
      </c>
      <c r="B31" s="28" t="s">
        <v>849</v>
      </c>
      <c r="C31" s="28" t="s">
        <v>850</v>
      </c>
      <c r="D31" s="153">
        <v>1</v>
      </c>
      <c r="E31" s="153">
        <v>1</v>
      </c>
      <c r="F31" s="154">
        <v>1</v>
      </c>
      <c r="G31" s="630" t="s">
        <v>1020</v>
      </c>
      <c r="H31" s="28" t="s">
        <v>1139</v>
      </c>
      <c r="I31" s="1104">
        <f>'[6]InfMesPptoCDP.rpt'!$F$315/1000</f>
        <v>61666.666</v>
      </c>
      <c r="J31" s="1104">
        <f>'[6]InfMesPptoCDP.rpt'!$I$315/1000</f>
        <v>61568.399</v>
      </c>
      <c r="K31" s="1115">
        <f>J31/I31</f>
        <v>0.9984064810638539</v>
      </c>
      <c r="L31" s="630" t="s">
        <v>851</v>
      </c>
      <c r="M31" s="28" t="s">
        <v>1945</v>
      </c>
      <c r="N31" s="1112">
        <v>7</v>
      </c>
      <c r="O31" s="1104">
        <f>'[6]InfMesPptoCDP.rpt'!$H$315/1000</f>
        <v>61568.399</v>
      </c>
      <c r="P31" s="1104">
        <f>J31</f>
        <v>61568.399</v>
      </c>
      <c r="Q31" s="1115">
        <f>P31/O31</f>
        <v>1</v>
      </c>
      <c r="R31" s="606" t="s">
        <v>833</v>
      </c>
      <c r="S31" s="630" t="s">
        <v>2234</v>
      </c>
    </row>
    <row r="32" spans="1:19" ht="159" customHeight="1">
      <c r="A32" s="95" t="s">
        <v>1167</v>
      </c>
      <c r="B32" s="28" t="s">
        <v>852</v>
      </c>
      <c r="C32" s="28" t="s">
        <v>853</v>
      </c>
      <c r="D32" s="416">
        <v>0.8</v>
      </c>
      <c r="E32" s="416">
        <v>0.8</v>
      </c>
      <c r="F32" s="154">
        <v>1</v>
      </c>
      <c r="G32" s="1118"/>
      <c r="H32" s="99" t="s">
        <v>1140</v>
      </c>
      <c r="I32" s="1105"/>
      <c r="J32" s="1105"/>
      <c r="K32" s="1116"/>
      <c r="L32" s="687"/>
      <c r="M32" s="28" t="s">
        <v>1946</v>
      </c>
      <c r="N32" s="1113"/>
      <c r="O32" s="1105"/>
      <c r="P32" s="1105"/>
      <c r="Q32" s="1116"/>
      <c r="R32" s="612"/>
      <c r="S32" s="687"/>
    </row>
    <row r="33" spans="1:19" ht="90.75" customHeight="1">
      <c r="A33" s="95" t="s">
        <v>1168</v>
      </c>
      <c r="B33" s="28" t="s">
        <v>854</v>
      </c>
      <c r="C33" s="28" t="s">
        <v>855</v>
      </c>
      <c r="D33" s="416">
        <v>0.8</v>
      </c>
      <c r="E33" s="153">
        <v>0</v>
      </c>
      <c r="F33" s="154">
        <v>0</v>
      </c>
      <c r="G33" s="1108"/>
      <c r="H33" s="28" t="s">
        <v>1141</v>
      </c>
      <c r="I33" s="1106"/>
      <c r="J33" s="1106"/>
      <c r="K33" s="1117"/>
      <c r="L33" s="688"/>
      <c r="M33" s="28" t="s">
        <v>1947</v>
      </c>
      <c r="N33" s="1114"/>
      <c r="O33" s="1106"/>
      <c r="P33" s="1106"/>
      <c r="Q33" s="1117"/>
      <c r="R33" s="607"/>
      <c r="S33" s="688"/>
    </row>
    <row r="34" spans="1:19" ht="54.75" customHeight="1">
      <c r="A34" s="104" t="s">
        <v>1169</v>
      </c>
      <c r="B34" s="28" t="s">
        <v>856</v>
      </c>
      <c r="C34" s="28" t="s">
        <v>857</v>
      </c>
      <c r="D34" s="153">
        <v>25</v>
      </c>
      <c r="E34" s="153">
        <v>25</v>
      </c>
      <c r="F34" s="154">
        <v>1</v>
      </c>
      <c r="G34" s="630" t="s">
        <v>1021</v>
      </c>
      <c r="H34" s="28" t="s">
        <v>1142</v>
      </c>
      <c r="I34" s="1104">
        <f>'[6]InfMesPptoCDP.rpt'!$F$317/1000</f>
        <v>117560.457</v>
      </c>
      <c r="J34" s="1104">
        <f>'[6]InfMesPptoCDP.rpt'!$I$317/1000</f>
        <v>108560.457</v>
      </c>
      <c r="K34" s="1115">
        <f>J34/I34</f>
        <v>0.9234436456809623</v>
      </c>
      <c r="L34" s="630" t="s">
        <v>1147</v>
      </c>
      <c r="M34" s="28" t="s">
        <v>1948</v>
      </c>
      <c r="N34" s="736">
        <v>16</v>
      </c>
      <c r="O34" s="1104">
        <f>'[6]InfMesPptoCDP.rpt'!$H$317/1000</f>
        <v>112560.457</v>
      </c>
      <c r="P34" s="1104">
        <f>J34</f>
        <v>108560.457</v>
      </c>
      <c r="Q34" s="1115">
        <f>P34/O34</f>
        <v>0.96446354157926</v>
      </c>
      <c r="R34" s="606" t="s">
        <v>833</v>
      </c>
      <c r="S34" s="630" t="s">
        <v>2234</v>
      </c>
    </row>
    <row r="35" spans="1:19" ht="111" customHeight="1">
      <c r="A35" s="104" t="s">
        <v>1170</v>
      </c>
      <c r="B35" s="28" t="s">
        <v>858</v>
      </c>
      <c r="C35" s="28" t="s">
        <v>859</v>
      </c>
      <c r="D35" s="153">
        <v>1</v>
      </c>
      <c r="E35" s="153">
        <v>1</v>
      </c>
      <c r="F35" s="154">
        <v>1</v>
      </c>
      <c r="G35" s="687"/>
      <c r="H35" s="28" t="s">
        <v>1143</v>
      </c>
      <c r="I35" s="1105"/>
      <c r="J35" s="1105"/>
      <c r="K35" s="1116"/>
      <c r="L35" s="687"/>
      <c r="M35" s="28" t="s">
        <v>1949</v>
      </c>
      <c r="N35" s="743"/>
      <c r="O35" s="1105"/>
      <c r="P35" s="1105"/>
      <c r="Q35" s="1116"/>
      <c r="R35" s="612"/>
      <c r="S35" s="687"/>
    </row>
    <row r="36" spans="1:19" ht="99" customHeight="1">
      <c r="A36" s="104" t="s">
        <v>1171</v>
      </c>
      <c r="B36" s="28" t="s">
        <v>860</v>
      </c>
      <c r="C36" s="28" t="s">
        <v>861</v>
      </c>
      <c r="D36" s="153">
        <v>1</v>
      </c>
      <c r="E36" s="113">
        <v>1</v>
      </c>
      <c r="F36" s="154">
        <v>1</v>
      </c>
      <c r="G36" s="687"/>
      <c r="H36" s="28" t="s">
        <v>1144</v>
      </c>
      <c r="I36" s="1105"/>
      <c r="J36" s="1105"/>
      <c r="K36" s="1116"/>
      <c r="L36" s="687"/>
      <c r="M36" s="28" t="s">
        <v>1950</v>
      </c>
      <c r="N36" s="743"/>
      <c r="O36" s="1105"/>
      <c r="P36" s="1105"/>
      <c r="Q36" s="1116"/>
      <c r="R36" s="612"/>
      <c r="S36" s="687"/>
    </row>
    <row r="37" spans="1:19" ht="84.75" customHeight="1">
      <c r="A37" s="104" t="s">
        <v>1172</v>
      </c>
      <c r="B37" s="28" t="s">
        <v>862</v>
      </c>
      <c r="C37" s="28" t="s">
        <v>863</v>
      </c>
      <c r="D37" s="153">
        <v>3</v>
      </c>
      <c r="E37" s="153">
        <v>3</v>
      </c>
      <c r="F37" s="154">
        <v>1</v>
      </c>
      <c r="G37" s="687"/>
      <c r="H37" s="28" t="s">
        <v>1145</v>
      </c>
      <c r="I37" s="1105"/>
      <c r="J37" s="1105"/>
      <c r="K37" s="1116"/>
      <c r="L37" s="687"/>
      <c r="M37" s="28" t="s">
        <v>1951</v>
      </c>
      <c r="N37" s="743"/>
      <c r="O37" s="1105"/>
      <c r="P37" s="1105"/>
      <c r="Q37" s="1116"/>
      <c r="R37" s="612"/>
      <c r="S37" s="687"/>
    </row>
    <row r="38" spans="1:19" ht="183" customHeight="1">
      <c r="A38" s="104" t="s">
        <v>1173</v>
      </c>
      <c r="B38" s="28" t="s">
        <v>864</v>
      </c>
      <c r="C38" s="28" t="s">
        <v>865</v>
      </c>
      <c r="D38" s="416">
        <v>0.7</v>
      </c>
      <c r="E38" s="416">
        <v>0.7</v>
      </c>
      <c r="F38" s="154">
        <v>1</v>
      </c>
      <c r="G38" s="687"/>
      <c r="H38" s="630" t="s">
        <v>1146</v>
      </c>
      <c r="I38" s="1105"/>
      <c r="J38" s="1105"/>
      <c r="K38" s="1116"/>
      <c r="L38" s="687"/>
      <c r="M38" s="28" t="s">
        <v>1952</v>
      </c>
      <c r="N38" s="743"/>
      <c r="O38" s="1105"/>
      <c r="P38" s="1105"/>
      <c r="Q38" s="1116"/>
      <c r="R38" s="612"/>
      <c r="S38" s="687"/>
    </row>
    <row r="39" spans="1:19" ht="93" customHeight="1">
      <c r="A39" s="104" t="s">
        <v>1174</v>
      </c>
      <c r="B39" s="28" t="s">
        <v>866</v>
      </c>
      <c r="C39" s="28" t="s">
        <v>867</v>
      </c>
      <c r="D39" s="153">
        <v>1</v>
      </c>
      <c r="E39" s="153">
        <v>1</v>
      </c>
      <c r="F39" s="154">
        <v>1</v>
      </c>
      <c r="G39" s="688"/>
      <c r="H39" s="688"/>
      <c r="I39" s="1106"/>
      <c r="J39" s="1106"/>
      <c r="K39" s="1117"/>
      <c r="L39" s="688"/>
      <c r="M39" s="28" t="s">
        <v>1953</v>
      </c>
      <c r="N39" s="737"/>
      <c r="O39" s="1106"/>
      <c r="P39" s="1106"/>
      <c r="Q39" s="1117"/>
      <c r="R39" s="607"/>
      <c r="S39" s="688"/>
    </row>
    <row r="40" spans="1:19" ht="67.5" customHeight="1">
      <c r="A40" s="95" t="s">
        <v>1175</v>
      </c>
      <c r="B40" s="28" t="s">
        <v>868</v>
      </c>
      <c r="C40" s="28" t="s">
        <v>868</v>
      </c>
      <c r="D40" s="153">
        <v>672</v>
      </c>
      <c r="E40" s="153">
        <v>672</v>
      </c>
      <c r="F40" s="154">
        <v>1</v>
      </c>
      <c r="G40" s="1107" t="s">
        <v>1022</v>
      </c>
      <c r="H40" s="28" t="s">
        <v>1148</v>
      </c>
      <c r="I40" s="1104">
        <f>'[6]InfMesPptoCDP.rpt'!$F$321/1000</f>
        <v>294764.80001999997</v>
      </c>
      <c r="J40" s="1104">
        <f>'[6]InfMesPptoCDP.rpt'!$I$321/1000</f>
        <v>286062.225</v>
      </c>
      <c r="K40" s="1103">
        <f>J40/I40</f>
        <v>0.9704762067268224</v>
      </c>
      <c r="L40" s="630" t="s">
        <v>1151</v>
      </c>
      <c r="M40" s="28" t="s">
        <v>1954</v>
      </c>
      <c r="N40" s="736">
        <v>27</v>
      </c>
      <c r="O40" s="1104">
        <f>'[6]InfMesPptoCDP.rpt'!$H$321/1000</f>
        <v>293062.225</v>
      </c>
      <c r="P40" s="1104">
        <f>J40</f>
        <v>286062.225</v>
      </c>
      <c r="Q40" s="1115">
        <f>P40/O40</f>
        <v>0.9761142876738891</v>
      </c>
      <c r="R40" s="606" t="s">
        <v>833</v>
      </c>
      <c r="S40" s="630" t="s">
        <v>2234</v>
      </c>
    </row>
    <row r="41" spans="1:19" ht="143.25" customHeight="1">
      <c r="A41" s="95" t="s">
        <v>1176</v>
      </c>
      <c r="B41" s="28" t="s">
        <v>869</v>
      </c>
      <c r="C41" s="28" t="s">
        <v>869</v>
      </c>
      <c r="D41" s="416">
        <v>0.3</v>
      </c>
      <c r="E41" s="153">
        <v>1</v>
      </c>
      <c r="F41" s="154">
        <v>1</v>
      </c>
      <c r="G41" s="1118"/>
      <c r="H41" s="99" t="s">
        <v>1149</v>
      </c>
      <c r="I41" s="1105"/>
      <c r="J41" s="1105"/>
      <c r="K41" s="1103"/>
      <c r="L41" s="687"/>
      <c r="M41" s="28" t="s">
        <v>1955</v>
      </c>
      <c r="N41" s="743"/>
      <c r="O41" s="1105"/>
      <c r="P41" s="1105"/>
      <c r="Q41" s="1116"/>
      <c r="R41" s="612"/>
      <c r="S41" s="687"/>
    </row>
    <row r="42" spans="1:19" ht="147" customHeight="1">
      <c r="A42" s="95" t="s">
        <v>1177</v>
      </c>
      <c r="B42" s="28" t="s">
        <v>870</v>
      </c>
      <c r="C42" s="28" t="s">
        <v>870</v>
      </c>
      <c r="D42" s="153">
        <v>1</v>
      </c>
      <c r="E42" s="153">
        <v>0</v>
      </c>
      <c r="F42" s="154">
        <v>0</v>
      </c>
      <c r="G42" s="1118"/>
      <c r="H42" s="99" t="s">
        <v>1150</v>
      </c>
      <c r="I42" s="1105"/>
      <c r="J42" s="1105"/>
      <c r="K42" s="1103"/>
      <c r="L42" s="687"/>
      <c r="M42" s="28" t="s">
        <v>1956</v>
      </c>
      <c r="N42" s="743"/>
      <c r="O42" s="1105"/>
      <c r="P42" s="1105"/>
      <c r="Q42" s="1116"/>
      <c r="R42" s="612"/>
      <c r="S42" s="687"/>
    </row>
    <row r="43" spans="1:19" ht="51" customHeight="1">
      <c r="A43" s="95" t="s">
        <v>1178</v>
      </c>
      <c r="B43" s="28" t="s">
        <v>871</v>
      </c>
      <c r="C43" s="28" t="s">
        <v>871</v>
      </c>
      <c r="D43" s="153">
        <v>300</v>
      </c>
      <c r="E43" s="153">
        <v>373</v>
      </c>
      <c r="F43" s="154">
        <v>1</v>
      </c>
      <c r="G43" s="1118"/>
      <c r="H43" s="619" t="s">
        <v>1140</v>
      </c>
      <c r="I43" s="1105"/>
      <c r="J43" s="1105"/>
      <c r="K43" s="1103"/>
      <c r="L43" s="687"/>
      <c r="M43" s="28" t="s">
        <v>1957</v>
      </c>
      <c r="N43" s="743"/>
      <c r="O43" s="1105"/>
      <c r="P43" s="1105"/>
      <c r="Q43" s="1116"/>
      <c r="R43" s="612"/>
      <c r="S43" s="687"/>
    </row>
    <row r="44" spans="1:19" ht="75.75" customHeight="1">
      <c r="A44" s="95" t="s">
        <v>1179</v>
      </c>
      <c r="B44" s="28" t="s">
        <v>872</v>
      </c>
      <c r="C44" s="28" t="s">
        <v>872</v>
      </c>
      <c r="D44" s="153">
        <v>4</v>
      </c>
      <c r="E44" s="153">
        <v>3</v>
      </c>
      <c r="F44" s="154">
        <v>0.75</v>
      </c>
      <c r="G44" s="1108"/>
      <c r="H44" s="621"/>
      <c r="I44" s="1106"/>
      <c r="J44" s="1106"/>
      <c r="K44" s="1103"/>
      <c r="L44" s="688"/>
      <c r="M44" s="28" t="s">
        <v>1958</v>
      </c>
      <c r="N44" s="737"/>
      <c r="O44" s="1106"/>
      <c r="P44" s="1106"/>
      <c r="Q44" s="1117"/>
      <c r="R44" s="607"/>
      <c r="S44" s="688"/>
    </row>
    <row r="45" spans="1:19" ht="21" customHeight="1">
      <c r="A45" s="660" t="s">
        <v>1093</v>
      </c>
      <c r="B45" s="660"/>
      <c r="C45" s="268"/>
      <c r="D45" s="256"/>
      <c r="E45" s="93"/>
      <c r="F45" s="312">
        <v>0.88</v>
      </c>
      <c r="G45" s="107">
        <v>9</v>
      </c>
      <c r="H45" s="28"/>
      <c r="I45" s="251">
        <f>SUM(I8:I44)</f>
        <v>4467790.90365</v>
      </c>
      <c r="J45" s="251">
        <f>SUM(J8:J44)</f>
        <v>3735001.7754900004</v>
      </c>
      <c r="K45" s="311">
        <f>J45/I45</f>
        <v>0.8359840144798761</v>
      </c>
      <c r="L45" s="28"/>
      <c r="M45" s="23"/>
      <c r="N45" s="106">
        <f>SUM(N8:N44)</f>
        <v>135</v>
      </c>
      <c r="O45" s="251">
        <f>SUM(O8:O44)</f>
        <v>3754451.7754900004</v>
      </c>
      <c r="P45" s="251">
        <f>SUM(P8:P44)</f>
        <v>3735001.7754900004</v>
      </c>
      <c r="Q45" s="297">
        <f>P45/O45</f>
        <v>0.9948194833325669</v>
      </c>
      <c r="R45" s="30"/>
      <c r="S45" s="28"/>
    </row>
    <row r="46" spans="1:19" ht="21" customHeight="1">
      <c r="A46" s="660" t="s">
        <v>6</v>
      </c>
      <c r="B46" s="660"/>
      <c r="C46" s="276"/>
      <c r="D46" s="94"/>
      <c r="E46" s="94"/>
      <c r="F46" s="94"/>
      <c r="G46" s="55"/>
      <c r="H46" s="55"/>
      <c r="I46" s="90"/>
      <c r="J46" s="90"/>
      <c r="K46" s="314"/>
      <c r="L46" s="55"/>
      <c r="M46" s="55"/>
      <c r="N46" s="55"/>
      <c r="O46" s="55"/>
      <c r="P46" s="55"/>
      <c r="Q46" s="320"/>
      <c r="R46" s="19"/>
      <c r="S46" s="55"/>
    </row>
    <row r="47" spans="1:19" ht="22.5" customHeight="1">
      <c r="A47" s="549" t="s">
        <v>1713</v>
      </c>
      <c r="B47" s="550"/>
      <c r="C47" s="270"/>
      <c r="D47" s="255"/>
      <c r="E47" s="255"/>
      <c r="F47" s="255"/>
      <c r="G47" s="55"/>
      <c r="H47" s="55"/>
      <c r="I47" s="90"/>
      <c r="J47" s="90"/>
      <c r="K47" s="314"/>
      <c r="L47" s="55"/>
      <c r="M47" s="55"/>
      <c r="N47" s="55"/>
      <c r="O47" s="55"/>
      <c r="P47" s="55"/>
      <c r="Q47" s="320"/>
      <c r="R47" s="167"/>
      <c r="S47" s="55"/>
    </row>
    <row r="48" spans="1:19" ht="18.75" customHeight="1">
      <c r="A48" s="661"/>
      <c r="B48" s="661"/>
      <c r="C48" s="16"/>
      <c r="D48" s="273"/>
      <c r="E48" s="16"/>
      <c r="F48" s="16"/>
      <c r="G48" s="55"/>
      <c r="H48" s="55"/>
      <c r="I48" s="90"/>
      <c r="J48" s="90"/>
      <c r="K48" s="314"/>
      <c r="L48" s="55"/>
      <c r="M48" s="55"/>
      <c r="N48" s="55"/>
      <c r="O48" s="55"/>
      <c r="P48" s="55"/>
      <c r="Q48" s="320"/>
      <c r="R48" s="19"/>
      <c r="S48" s="55"/>
    </row>
    <row r="49" spans="1:19" ht="21" customHeight="1">
      <c r="A49" s="661" t="s">
        <v>7</v>
      </c>
      <c r="B49" s="661"/>
      <c r="C49" s="1138" t="s">
        <v>2230</v>
      </c>
      <c r="D49" s="1139"/>
      <c r="E49" s="92"/>
      <c r="F49" s="92"/>
      <c r="G49" s="1119"/>
      <c r="H49" s="1120"/>
      <c r="I49" s="1121"/>
      <c r="J49" s="91"/>
      <c r="K49" s="318"/>
      <c r="L49" s="55"/>
      <c r="M49" s="55"/>
      <c r="N49" s="55"/>
      <c r="O49" s="55"/>
      <c r="P49" s="55"/>
      <c r="Q49" s="320"/>
      <c r="R49" s="19"/>
      <c r="S49" s="55"/>
    </row>
    <row r="55" ht="15">
      <c r="I55" s="105"/>
    </row>
  </sheetData>
  <sheetProtection/>
  <mergeCells count="155">
    <mergeCell ref="F28:F30"/>
    <mergeCell ref="C49:D49"/>
    <mergeCell ref="M28:M30"/>
    <mergeCell ref="H8:H9"/>
    <mergeCell ref="H11:H12"/>
    <mergeCell ref="H16:H18"/>
    <mergeCell ref="H21:H22"/>
    <mergeCell ref="H23:H24"/>
    <mergeCell ref="L19:L20"/>
    <mergeCell ref="I25:I30"/>
    <mergeCell ref="K25:K30"/>
    <mergeCell ref="H38:H39"/>
    <mergeCell ref="A48:B48"/>
    <mergeCell ref="J40:J44"/>
    <mergeCell ref="J34:J39"/>
    <mergeCell ref="G21:G24"/>
    <mergeCell ref="I31:I33"/>
    <mergeCell ref="I21:I24"/>
    <mergeCell ref="A49:B49"/>
    <mergeCell ref="A28:A30"/>
    <mergeCell ref="B28:B30"/>
    <mergeCell ref="C28:C30"/>
    <mergeCell ref="D28:D30"/>
    <mergeCell ref="E28:E30"/>
    <mergeCell ref="O16:O18"/>
    <mergeCell ref="K31:K33"/>
    <mergeCell ref="A25:A27"/>
    <mergeCell ref="B25:B27"/>
    <mergeCell ref="C25:C27"/>
    <mergeCell ref="D25:D27"/>
    <mergeCell ref="E25:E27"/>
    <mergeCell ref="F25:F27"/>
    <mergeCell ref="G25:G30"/>
    <mergeCell ref="K21:K24"/>
    <mergeCell ref="R13:R15"/>
    <mergeCell ref="P6:P7"/>
    <mergeCell ref="P16:P18"/>
    <mergeCell ref="L16:L18"/>
    <mergeCell ref="J19:J20"/>
    <mergeCell ref="N25:N30"/>
    <mergeCell ref="O25:O30"/>
    <mergeCell ref="P25:P30"/>
    <mergeCell ref="L21:L24"/>
    <mergeCell ref="N16:N18"/>
    <mergeCell ref="A2:S2"/>
    <mergeCell ref="A3:S3"/>
    <mergeCell ref="G5:M5"/>
    <mergeCell ref="C6:C7"/>
    <mergeCell ref="N5:R5"/>
    <mergeCell ref="F6:F7"/>
    <mergeCell ref="K6:K7"/>
    <mergeCell ref="B6:B7"/>
    <mergeCell ref="L6:L7"/>
    <mergeCell ref="P4:S4"/>
    <mergeCell ref="Q13:Q15"/>
    <mergeCell ref="D6:D7"/>
    <mergeCell ref="M6:M7"/>
    <mergeCell ref="P13:P15"/>
    <mergeCell ref="K13:K15"/>
    <mergeCell ref="O13:O15"/>
    <mergeCell ref="Q6:Q7"/>
    <mergeCell ref="S13:S15"/>
    <mergeCell ref="G8:G12"/>
    <mergeCell ref="I8:I12"/>
    <mergeCell ref="L8:L12"/>
    <mergeCell ref="G13:G15"/>
    <mergeCell ref="I13:I15"/>
    <mergeCell ref="R8:R12"/>
    <mergeCell ref="P8:P12"/>
    <mergeCell ref="Q8:Q12"/>
    <mergeCell ref="O8:O12"/>
    <mergeCell ref="S16:S18"/>
    <mergeCell ref="G16:G18"/>
    <mergeCell ref="Q16:Q18"/>
    <mergeCell ref="K8:K12"/>
    <mergeCell ref="I16:I18"/>
    <mergeCell ref="J16:J18"/>
    <mergeCell ref="R16:R18"/>
    <mergeCell ref="S8:S12"/>
    <mergeCell ref="J8:J12"/>
    <mergeCell ref="K16:K18"/>
    <mergeCell ref="Q19:Q20"/>
    <mergeCell ref="N19:N20"/>
    <mergeCell ref="O19:O20"/>
    <mergeCell ref="P19:P20"/>
    <mergeCell ref="Q21:Q24"/>
    <mergeCell ref="P21:P24"/>
    <mergeCell ref="R31:R33"/>
    <mergeCell ref="G49:I49"/>
    <mergeCell ref="R21:R24"/>
    <mergeCell ref="J21:J24"/>
    <mergeCell ref="L31:L33"/>
    <mergeCell ref="G31:G33"/>
    <mergeCell ref="L25:L30"/>
    <mergeCell ref="G34:G39"/>
    <mergeCell ref="M25:M27"/>
    <mergeCell ref="J25:J30"/>
    <mergeCell ref="S40:S44"/>
    <mergeCell ref="O40:O44"/>
    <mergeCell ref="P40:P44"/>
    <mergeCell ref="A47:B47"/>
    <mergeCell ref="A45:B45"/>
    <mergeCell ref="A46:B46"/>
    <mergeCell ref="G40:G44"/>
    <mergeCell ref="I40:I44"/>
    <mergeCell ref="L40:L44"/>
    <mergeCell ref="H43:H44"/>
    <mergeCell ref="R40:R44"/>
    <mergeCell ref="Q40:Q44"/>
    <mergeCell ref="R34:R39"/>
    <mergeCell ref="L34:L39"/>
    <mergeCell ref="K34:K39"/>
    <mergeCell ref="N34:N39"/>
    <mergeCell ref="O34:O39"/>
    <mergeCell ref="P34:P39"/>
    <mergeCell ref="O31:O33"/>
    <mergeCell ref="Q34:Q39"/>
    <mergeCell ref="S31:S33"/>
    <mergeCell ref="N21:N24"/>
    <mergeCell ref="Q31:Q33"/>
    <mergeCell ref="P31:P33"/>
    <mergeCell ref="S34:S39"/>
    <mergeCell ref="O21:O24"/>
    <mergeCell ref="R25:R30"/>
    <mergeCell ref="Q25:Q30"/>
    <mergeCell ref="S5:S7"/>
    <mergeCell ref="R6:R7"/>
    <mergeCell ref="O6:O7"/>
    <mergeCell ref="N6:N7"/>
    <mergeCell ref="I6:I7"/>
    <mergeCell ref="S25:S30"/>
    <mergeCell ref="S21:S24"/>
    <mergeCell ref="K19:K20"/>
    <mergeCell ref="R19:R20"/>
    <mergeCell ref="S19:S20"/>
    <mergeCell ref="K40:K44"/>
    <mergeCell ref="N40:N44"/>
    <mergeCell ref="N8:N12"/>
    <mergeCell ref="N13:N15"/>
    <mergeCell ref="G19:G20"/>
    <mergeCell ref="I19:I20"/>
    <mergeCell ref="J13:J15"/>
    <mergeCell ref="I34:I39"/>
    <mergeCell ref="J31:J33"/>
    <mergeCell ref="N31:N33"/>
    <mergeCell ref="A4:G4"/>
    <mergeCell ref="H4:L4"/>
    <mergeCell ref="L13:L15"/>
    <mergeCell ref="E6:E7"/>
    <mergeCell ref="J6:J7"/>
    <mergeCell ref="M4:O4"/>
    <mergeCell ref="A6:A7"/>
    <mergeCell ref="G6:G7"/>
    <mergeCell ref="H6:H7"/>
    <mergeCell ref="A5:F5"/>
  </mergeCells>
  <printOptions/>
  <pageMargins left="0.9055118110236221" right="0.7086614173228347" top="0.7480314960629921" bottom="0.7480314960629921" header="0.31496062992125984" footer="0.31496062992125984"/>
  <pageSetup horizontalDpi="600" verticalDpi="600" orientation="landscape" paperSize="5" scale="70" r:id="rId3"/>
  <headerFooter>
    <oddFooter>&amp;CPágina &amp;P</oddFooter>
  </headerFooter>
  <legacyDrawing r:id="rId2"/>
</worksheet>
</file>

<file path=xl/worksheets/sheet2.xml><?xml version="1.0" encoding="utf-8"?>
<worksheet xmlns="http://schemas.openxmlformats.org/spreadsheetml/2006/main" xmlns:r="http://schemas.openxmlformats.org/officeDocument/2006/relationships">
  <dimension ref="A1:S42"/>
  <sheetViews>
    <sheetView zoomScale="60" zoomScaleNormal="60" zoomScalePageLayoutView="0" workbookViewId="0" topLeftCell="A29">
      <selection activeCell="F8" sqref="F8:F37"/>
    </sheetView>
  </sheetViews>
  <sheetFormatPr defaultColWidth="11.421875" defaultRowHeight="15"/>
  <cols>
    <col min="1" max="1" width="23.7109375" style="1" customWidth="1"/>
    <col min="2" max="2" width="36.140625" style="5" customWidth="1"/>
    <col min="3" max="3" width="33.57421875" style="5" customWidth="1"/>
    <col min="4" max="4" width="21.7109375" style="5" customWidth="1"/>
    <col min="5" max="5" width="20.140625" style="5" customWidth="1"/>
    <col min="6" max="6" width="19.8515625" style="5" customWidth="1"/>
    <col min="7" max="7" width="35.421875" style="5" customWidth="1"/>
    <col min="8" max="8" width="34.00390625" style="5" customWidth="1"/>
    <col min="9" max="9" width="22.00390625" style="5" customWidth="1"/>
    <col min="10" max="10" width="20.28125" style="5" customWidth="1"/>
    <col min="11" max="11" width="18.28125" style="317" customWidth="1"/>
    <col min="12" max="12" width="35.7109375" style="5" customWidth="1"/>
    <col min="13" max="13" width="34.140625" style="5" customWidth="1"/>
    <col min="14" max="14" width="20.140625" style="5" customWidth="1"/>
    <col min="15" max="15" width="21.57421875" style="5" customWidth="1"/>
    <col min="16" max="16" width="22.140625" style="5" customWidth="1"/>
    <col min="17" max="17" width="20.140625" style="327" customWidth="1"/>
    <col min="18" max="18" width="22.421875" style="1" customWidth="1"/>
    <col min="19" max="19" width="23.7109375" style="5" customWidth="1"/>
    <col min="20" max="16384" width="11.421875" style="5" customWidth="1"/>
  </cols>
  <sheetData>
    <row r="1" spans="1:18" s="46" customFormat="1" ht="26.25" customHeight="1" thickBot="1">
      <c r="A1" s="62"/>
      <c r="K1" s="313"/>
      <c r="Q1" s="313"/>
      <c r="R1" s="62"/>
    </row>
    <row r="2" spans="1:19" s="253" customFormat="1" ht="24" customHeight="1" thickBot="1">
      <c r="A2" s="505" t="s">
        <v>8</v>
      </c>
      <c r="B2" s="506"/>
      <c r="C2" s="506"/>
      <c r="D2" s="506"/>
      <c r="E2" s="506"/>
      <c r="F2" s="506"/>
      <c r="G2" s="506"/>
      <c r="H2" s="506"/>
      <c r="I2" s="506"/>
      <c r="J2" s="506"/>
      <c r="K2" s="506"/>
      <c r="L2" s="506"/>
      <c r="M2" s="506"/>
      <c r="N2" s="506"/>
      <c r="O2" s="506"/>
      <c r="P2" s="506"/>
      <c r="Q2" s="506"/>
      <c r="R2" s="506"/>
      <c r="S2" s="507"/>
    </row>
    <row r="3" spans="1:19" s="253" customFormat="1" ht="29.25" customHeight="1" thickBot="1">
      <c r="A3" s="508" t="s">
        <v>1683</v>
      </c>
      <c r="B3" s="509"/>
      <c r="C3" s="509"/>
      <c r="D3" s="509"/>
      <c r="E3" s="509"/>
      <c r="F3" s="509"/>
      <c r="G3" s="509"/>
      <c r="H3" s="509"/>
      <c r="I3" s="509"/>
      <c r="J3" s="509"/>
      <c r="K3" s="509"/>
      <c r="L3" s="509"/>
      <c r="M3" s="509"/>
      <c r="N3" s="509"/>
      <c r="O3" s="509"/>
      <c r="P3" s="509"/>
      <c r="Q3" s="509"/>
      <c r="R3" s="509"/>
      <c r="S3" s="510"/>
    </row>
    <row r="4" spans="1:19" s="20" customFormat="1" ht="35.25" customHeight="1" thickBot="1">
      <c r="A4" s="588" t="s">
        <v>341</v>
      </c>
      <c r="B4" s="588"/>
      <c r="C4" s="588"/>
      <c r="D4" s="588"/>
      <c r="E4" s="588"/>
      <c r="F4" s="588"/>
      <c r="G4" s="588"/>
      <c r="H4" s="553" t="s">
        <v>1721</v>
      </c>
      <c r="I4" s="553"/>
      <c r="J4" s="553"/>
      <c r="K4" s="553"/>
      <c r="L4" s="553"/>
      <c r="M4" s="589" t="s">
        <v>1183</v>
      </c>
      <c r="N4" s="589"/>
      <c r="O4" s="590"/>
      <c r="P4" s="591" t="s">
        <v>1659</v>
      </c>
      <c r="Q4" s="589"/>
      <c r="R4" s="589"/>
      <c r="S4" s="590"/>
    </row>
    <row r="5" spans="1:19" s="21" customFormat="1" ht="30" customHeight="1">
      <c r="A5" s="592" t="s">
        <v>0</v>
      </c>
      <c r="B5" s="592"/>
      <c r="C5" s="592"/>
      <c r="D5" s="592"/>
      <c r="E5" s="592"/>
      <c r="F5" s="592"/>
      <c r="G5" s="592" t="s">
        <v>1</v>
      </c>
      <c r="H5" s="592"/>
      <c r="I5" s="592"/>
      <c r="J5" s="592"/>
      <c r="K5" s="592"/>
      <c r="L5" s="592"/>
      <c r="M5" s="593" t="s">
        <v>9</v>
      </c>
      <c r="N5" s="594"/>
      <c r="O5" s="594"/>
      <c r="P5" s="594"/>
      <c r="Q5" s="594"/>
      <c r="R5" s="595"/>
      <c r="S5" s="596"/>
    </row>
    <row r="6" spans="1:19" s="21" customFormat="1" ht="18.75" customHeight="1">
      <c r="A6" s="502" t="s">
        <v>2</v>
      </c>
      <c r="B6" s="502" t="s">
        <v>4</v>
      </c>
      <c r="C6" s="502" t="s">
        <v>3</v>
      </c>
      <c r="D6" s="502" t="s">
        <v>1116</v>
      </c>
      <c r="E6" s="502" t="s">
        <v>1117</v>
      </c>
      <c r="F6" s="502" t="s">
        <v>1118</v>
      </c>
      <c r="G6" s="502" t="s">
        <v>1186</v>
      </c>
      <c r="H6" s="502" t="s">
        <v>9</v>
      </c>
      <c r="I6" s="516" t="s">
        <v>1180</v>
      </c>
      <c r="J6" s="516" t="s">
        <v>1181</v>
      </c>
      <c r="K6" s="558" t="s">
        <v>1103</v>
      </c>
      <c r="L6" s="544" t="s">
        <v>1637</v>
      </c>
      <c r="M6" s="502" t="s">
        <v>1914</v>
      </c>
      <c r="N6" s="502" t="s">
        <v>1115</v>
      </c>
      <c r="O6" s="502" t="s">
        <v>1119</v>
      </c>
      <c r="P6" s="502" t="s">
        <v>1120</v>
      </c>
      <c r="Q6" s="502" t="s">
        <v>1185</v>
      </c>
      <c r="R6" s="502" t="s">
        <v>924</v>
      </c>
      <c r="S6" s="502" t="s">
        <v>1685</v>
      </c>
    </row>
    <row r="7" spans="1:19" s="21" customFormat="1" ht="35.25" customHeight="1">
      <c r="A7" s="503"/>
      <c r="B7" s="503"/>
      <c r="C7" s="503"/>
      <c r="D7" s="503"/>
      <c r="E7" s="503"/>
      <c r="F7" s="503"/>
      <c r="G7" s="503"/>
      <c r="H7" s="503"/>
      <c r="I7" s="517"/>
      <c r="J7" s="517"/>
      <c r="K7" s="559"/>
      <c r="L7" s="545"/>
      <c r="M7" s="503"/>
      <c r="N7" s="503"/>
      <c r="O7" s="503"/>
      <c r="P7" s="503"/>
      <c r="Q7" s="503"/>
      <c r="R7" s="503"/>
      <c r="S7" s="566"/>
    </row>
    <row r="8" spans="1:19" ht="72" customHeight="1">
      <c r="A8" s="88" t="s">
        <v>273</v>
      </c>
      <c r="B8" s="2" t="s">
        <v>274</v>
      </c>
      <c r="C8" s="22" t="s">
        <v>275</v>
      </c>
      <c r="D8" s="230">
        <v>12</v>
      </c>
      <c r="E8" s="419">
        <v>11</v>
      </c>
      <c r="F8" s="196">
        <v>0.9166666666666666</v>
      </c>
      <c r="G8" s="571" t="s">
        <v>879</v>
      </c>
      <c r="H8" s="22" t="s">
        <v>1660</v>
      </c>
      <c r="I8" s="578">
        <f>320866170/1000</f>
        <v>320866.17</v>
      </c>
      <c r="J8" s="597">
        <f>318296170/1000</f>
        <v>318296.17</v>
      </c>
      <c r="K8" s="533">
        <f>J8/I8</f>
        <v>0.9919904301534811</v>
      </c>
      <c r="L8" s="577" t="s">
        <v>892</v>
      </c>
      <c r="M8" s="83" t="s">
        <v>1959</v>
      </c>
      <c r="N8" s="587">
        <v>32</v>
      </c>
      <c r="O8" s="581">
        <f>318296170/1000</f>
        <v>318296.17</v>
      </c>
      <c r="P8" s="581">
        <f>J8</f>
        <v>318296.17</v>
      </c>
      <c r="Q8" s="583">
        <f>P8/O8</f>
        <v>1</v>
      </c>
      <c r="R8" s="572" t="s">
        <v>1663</v>
      </c>
      <c r="S8" s="527" t="s">
        <v>1657</v>
      </c>
    </row>
    <row r="9" spans="1:19" ht="75" customHeight="1">
      <c r="A9" s="88" t="s">
        <v>276</v>
      </c>
      <c r="B9" s="2" t="s">
        <v>277</v>
      </c>
      <c r="C9" s="22" t="s">
        <v>103</v>
      </c>
      <c r="D9" s="230">
        <v>12</v>
      </c>
      <c r="E9" s="419">
        <v>4</v>
      </c>
      <c r="F9" s="196">
        <v>0.3333333333333333</v>
      </c>
      <c r="G9" s="571"/>
      <c r="H9" s="22" t="s">
        <v>1661</v>
      </c>
      <c r="I9" s="578"/>
      <c r="J9" s="598"/>
      <c r="K9" s="535"/>
      <c r="L9" s="569"/>
      <c r="M9" s="83" t="s">
        <v>1960</v>
      </c>
      <c r="N9" s="585"/>
      <c r="O9" s="602"/>
      <c r="P9" s="585"/>
      <c r="Q9" s="586"/>
      <c r="R9" s="573"/>
      <c r="S9" s="569"/>
    </row>
    <row r="10" spans="1:19" ht="57.75" customHeight="1">
      <c r="A10" s="88" t="s">
        <v>278</v>
      </c>
      <c r="B10" s="2" t="s">
        <v>279</v>
      </c>
      <c r="C10" s="22" t="s">
        <v>280</v>
      </c>
      <c r="D10" s="230">
        <v>1</v>
      </c>
      <c r="E10" s="419">
        <v>1</v>
      </c>
      <c r="F10" s="196">
        <v>1</v>
      </c>
      <c r="G10" s="571"/>
      <c r="H10" s="617" t="s">
        <v>1662</v>
      </c>
      <c r="I10" s="578"/>
      <c r="J10" s="598"/>
      <c r="K10" s="535"/>
      <c r="L10" s="600"/>
      <c r="M10" s="83" t="s">
        <v>1961</v>
      </c>
      <c r="N10" s="585"/>
      <c r="O10" s="602"/>
      <c r="P10" s="585"/>
      <c r="Q10" s="586"/>
      <c r="R10" s="573"/>
      <c r="S10" s="569"/>
    </row>
    <row r="11" spans="1:19" ht="57.75" customHeight="1">
      <c r="A11" s="88" t="s">
        <v>281</v>
      </c>
      <c r="B11" s="2" t="s">
        <v>282</v>
      </c>
      <c r="C11" s="22" t="s">
        <v>283</v>
      </c>
      <c r="D11" s="230">
        <v>12</v>
      </c>
      <c r="E11" s="419">
        <v>12</v>
      </c>
      <c r="F11" s="196">
        <v>1</v>
      </c>
      <c r="G11" s="571"/>
      <c r="H11" s="618"/>
      <c r="I11" s="578"/>
      <c r="J11" s="598"/>
      <c r="K11" s="535"/>
      <c r="L11" s="600"/>
      <c r="M11" s="83" t="s">
        <v>1962</v>
      </c>
      <c r="N11" s="585"/>
      <c r="O11" s="602"/>
      <c r="P11" s="585"/>
      <c r="Q11" s="586"/>
      <c r="R11" s="573"/>
      <c r="S11" s="569"/>
    </row>
    <row r="12" spans="1:19" ht="57.75" customHeight="1">
      <c r="A12" s="88" t="s">
        <v>284</v>
      </c>
      <c r="B12" s="3" t="s">
        <v>285</v>
      </c>
      <c r="C12" s="22" t="s">
        <v>286</v>
      </c>
      <c r="D12" s="230"/>
      <c r="E12" s="419"/>
      <c r="F12" s="196"/>
      <c r="G12" s="571"/>
      <c r="H12" s="617" t="s">
        <v>1343</v>
      </c>
      <c r="I12" s="578"/>
      <c r="J12" s="598"/>
      <c r="K12" s="535"/>
      <c r="L12" s="600"/>
      <c r="M12" s="83" t="s">
        <v>1963</v>
      </c>
      <c r="N12" s="585"/>
      <c r="O12" s="602"/>
      <c r="P12" s="585"/>
      <c r="Q12" s="586"/>
      <c r="R12" s="573"/>
      <c r="S12" s="569"/>
    </row>
    <row r="13" spans="1:19" ht="57" customHeight="1">
      <c r="A13" s="88" t="s">
        <v>287</v>
      </c>
      <c r="B13" s="2" t="s">
        <v>288</v>
      </c>
      <c r="C13" s="22" t="s">
        <v>289</v>
      </c>
      <c r="D13" s="230">
        <v>1</v>
      </c>
      <c r="E13" s="230">
        <v>1</v>
      </c>
      <c r="F13" s="199">
        <v>1</v>
      </c>
      <c r="G13" s="571"/>
      <c r="H13" s="618"/>
      <c r="I13" s="578"/>
      <c r="J13" s="599"/>
      <c r="K13" s="534"/>
      <c r="L13" s="601"/>
      <c r="M13" s="83" t="s">
        <v>1965</v>
      </c>
      <c r="N13" s="582"/>
      <c r="O13" s="603"/>
      <c r="P13" s="582"/>
      <c r="Q13" s="584"/>
      <c r="R13" s="573"/>
      <c r="S13" s="570"/>
    </row>
    <row r="14" spans="1:19" ht="95.25" customHeight="1">
      <c r="A14" s="88" t="s">
        <v>290</v>
      </c>
      <c r="B14" s="2" t="s">
        <v>291</v>
      </c>
      <c r="C14" s="22" t="s">
        <v>292</v>
      </c>
      <c r="D14" s="230">
        <v>2</v>
      </c>
      <c r="E14" s="220">
        <v>3</v>
      </c>
      <c r="F14" s="199">
        <v>1</v>
      </c>
      <c r="G14" s="571" t="s">
        <v>880</v>
      </c>
      <c r="H14" s="237" t="s">
        <v>1669</v>
      </c>
      <c r="I14" s="578">
        <f>71690179/1000</f>
        <v>71690.179</v>
      </c>
      <c r="J14" s="578">
        <f>71690179/1000</f>
        <v>71690.179</v>
      </c>
      <c r="K14" s="579">
        <f>J14/I14</f>
        <v>1</v>
      </c>
      <c r="L14" s="2" t="s">
        <v>893</v>
      </c>
      <c r="M14" s="83" t="s">
        <v>1964</v>
      </c>
      <c r="N14" s="587">
        <v>11</v>
      </c>
      <c r="O14" s="581">
        <f>71690179/1000</f>
        <v>71690.179</v>
      </c>
      <c r="P14" s="581">
        <f>J14</f>
        <v>71690.179</v>
      </c>
      <c r="Q14" s="583">
        <f>P14/O14</f>
        <v>1</v>
      </c>
      <c r="R14" s="572" t="s">
        <v>1325</v>
      </c>
      <c r="S14" s="577" t="s">
        <v>1657</v>
      </c>
    </row>
    <row r="15" spans="1:19" ht="113.25" customHeight="1">
      <c r="A15" s="88" t="s">
        <v>293</v>
      </c>
      <c r="B15" s="2" t="s">
        <v>294</v>
      </c>
      <c r="C15" s="22" t="s">
        <v>295</v>
      </c>
      <c r="D15" s="420">
        <v>0.5</v>
      </c>
      <c r="E15" s="233">
        <v>3</v>
      </c>
      <c r="F15" s="199">
        <v>1</v>
      </c>
      <c r="G15" s="571"/>
      <c r="H15" s="168" t="s">
        <v>1670</v>
      </c>
      <c r="I15" s="578"/>
      <c r="J15" s="578"/>
      <c r="K15" s="580"/>
      <c r="L15" s="2" t="s">
        <v>894</v>
      </c>
      <c r="M15" s="83" t="s">
        <v>2212</v>
      </c>
      <c r="N15" s="582"/>
      <c r="O15" s="582"/>
      <c r="P15" s="582"/>
      <c r="Q15" s="584"/>
      <c r="R15" s="573"/>
      <c r="S15" s="570"/>
    </row>
    <row r="16" spans="1:19" ht="126" customHeight="1">
      <c r="A16" s="88" t="s">
        <v>296</v>
      </c>
      <c r="B16" s="2" t="s">
        <v>297</v>
      </c>
      <c r="C16" s="3" t="s">
        <v>298</v>
      </c>
      <c r="D16" s="230">
        <v>11</v>
      </c>
      <c r="E16" s="233">
        <v>11</v>
      </c>
      <c r="F16" s="199">
        <f>E16/D16</f>
        <v>1</v>
      </c>
      <c r="G16" s="2" t="s">
        <v>881</v>
      </c>
      <c r="H16" s="168" t="s">
        <v>1343</v>
      </c>
      <c r="I16" s="30">
        <f>41506830/1000</f>
        <v>41506.83</v>
      </c>
      <c r="J16" s="30">
        <f>I16</f>
        <v>41506.83</v>
      </c>
      <c r="K16" s="288">
        <f>J16/I16</f>
        <v>1</v>
      </c>
      <c r="L16" s="2" t="s">
        <v>895</v>
      </c>
      <c r="M16" s="28" t="s">
        <v>2213</v>
      </c>
      <c r="N16" s="17">
        <v>2</v>
      </c>
      <c r="O16" s="18">
        <f>'[4]F3 INV. MPIOS X PTO. ENTREGADO'!$F$76/1000</f>
        <v>41506.83</v>
      </c>
      <c r="P16" s="18">
        <f>J16</f>
        <v>41506.83</v>
      </c>
      <c r="Q16" s="13">
        <f>P16/O16</f>
        <v>1</v>
      </c>
      <c r="R16" s="41" t="s">
        <v>1325</v>
      </c>
      <c r="S16" s="43" t="s">
        <v>1657</v>
      </c>
    </row>
    <row r="17" spans="1:19" ht="99" customHeight="1">
      <c r="A17" s="88" t="s">
        <v>299</v>
      </c>
      <c r="B17" s="2" t="s">
        <v>300</v>
      </c>
      <c r="C17" s="3" t="s">
        <v>301</v>
      </c>
      <c r="D17" s="230">
        <v>12</v>
      </c>
      <c r="E17" s="231">
        <v>12</v>
      </c>
      <c r="F17" s="196">
        <v>1</v>
      </c>
      <c r="G17" s="2" t="s">
        <v>882</v>
      </c>
      <c r="H17" s="168" t="s">
        <v>1343</v>
      </c>
      <c r="I17" s="44">
        <f>5081598/1000</f>
        <v>5081.598</v>
      </c>
      <c r="J17" s="44">
        <f>I17</f>
        <v>5081.598</v>
      </c>
      <c r="K17" s="291">
        <f>J17/I17</f>
        <v>1</v>
      </c>
      <c r="L17" s="2" t="s">
        <v>896</v>
      </c>
      <c r="M17" s="28" t="s">
        <v>2214</v>
      </c>
      <c r="N17" s="17">
        <v>2</v>
      </c>
      <c r="O17" s="18">
        <f>I17</f>
        <v>5081.598</v>
      </c>
      <c r="P17" s="18">
        <f>J17</f>
        <v>5081.598</v>
      </c>
      <c r="Q17" s="13">
        <f>P17/O17</f>
        <v>1</v>
      </c>
      <c r="R17" s="41" t="s">
        <v>1325</v>
      </c>
      <c r="S17" s="43" t="s">
        <v>1657</v>
      </c>
    </row>
    <row r="18" spans="1:19" ht="68.25" customHeight="1">
      <c r="A18" s="88" t="s">
        <v>302</v>
      </c>
      <c r="B18" s="2" t="s">
        <v>303</v>
      </c>
      <c r="C18" s="3" t="s">
        <v>304</v>
      </c>
      <c r="D18" s="230">
        <v>1</v>
      </c>
      <c r="E18" s="234">
        <v>0.55</v>
      </c>
      <c r="F18" s="199">
        <v>0.55</v>
      </c>
      <c r="G18" s="574" t="s">
        <v>883</v>
      </c>
      <c r="H18" s="168" t="s">
        <v>1671</v>
      </c>
      <c r="I18" s="500">
        <f>58533300/1000</f>
        <v>58533.3</v>
      </c>
      <c r="J18" s="500">
        <f>58533300/1000</f>
        <v>58533.3</v>
      </c>
      <c r="K18" s="533">
        <f>J18/I18</f>
        <v>1</v>
      </c>
      <c r="L18" s="43" t="s">
        <v>1813</v>
      </c>
      <c r="M18" s="28" t="s">
        <v>2215</v>
      </c>
      <c r="N18" s="587">
        <v>9</v>
      </c>
      <c r="O18" s="581">
        <f>I18</f>
        <v>58533.3</v>
      </c>
      <c r="P18" s="581">
        <f>J18</f>
        <v>58533.3</v>
      </c>
      <c r="Q18" s="583">
        <f>P18/O18</f>
        <v>1</v>
      </c>
      <c r="R18" s="573" t="s">
        <v>1325</v>
      </c>
      <c r="S18" s="577" t="s">
        <v>1657</v>
      </c>
    </row>
    <row r="19" spans="1:19" ht="104.25" customHeight="1">
      <c r="A19" s="88" t="s">
        <v>305</v>
      </c>
      <c r="B19" s="2" t="s">
        <v>306</v>
      </c>
      <c r="C19" s="3" t="s">
        <v>307</v>
      </c>
      <c r="D19" s="230">
        <v>1</v>
      </c>
      <c r="E19" s="421">
        <v>0.55</v>
      </c>
      <c r="F19" s="199">
        <v>0.55</v>
      </c>
      <c r="G19" s="575"/>
      <c r="H19" s="237" t="s">
        <v>1672</v>
      </c>
      <c r="I19" s="501"/>
      <c r="J19" s="501"/>
      <c r="K19" s="534"/>
      <c r="L19" s="43" t="s">
        <v>1814</v>
      </c>
      <c r="M19" s="28" t="s">
        <v>2216</v>
      </c>
      <c r="N19" s="582"/>
      <c r="O19" s="582"/>
      <c r="P19" s="582"/>
      <c r="Q19" s="584"/>
      <c r="R19" s="573"/>
      <c r="S19" s="570"/>
    </row>
    <row r="20" spans="1:19" ht="81.75" customHeight="1">
      <c r="A20" s="88" t="s">
        <v>308</v>
      </c>
      <c r="B20" s="2" t="s">
        <v>309</v>
      </c>
      <c r="C20" s="3" t="s">
        <v>310</v>
      </c>
      <c r="D20" s="235">
        <v>3</v>
      </c>
      <c r="E20" s="422">
        <v>4</v>
      </c>
      <c r="F20" s="196">
        <v>1</v>
      </c>
      <c r="G20" s="574" t="s">
        <v>884</v>
      </c>
      <c r="H20" s="574" t="s">
        <v>1673</v>
      </c>
      <c r="I20" s="500">
        <f>49000000/1000</f>
        <v>49000</v>
      </c>
      <c r="J20" s="500">
        <f>49000000/1000</f>
        <v>49000</v>
      </c>
      <c r="K20" s="533">
        <f>J20/I20</f>
        <v>1</v>
      </c>
      <c r="L20" s="2" t="s">
        <v>342</v>
      </c>
      <c r="M20" s="28" t="s">
        <v>2217</v>
      </c>
      <c r="N20" s="587">
        <v>7</v>
      </c>
      <c r="O20" s="500">
        <f>I20</f>
        <v>49000</v>
      </c>
      <c r="P20" s="581">
        <f>J20</f>
        <v>49000</v>
      </c>
      <c r="Q20" s="583">
        <f>P20/O20</f>
        <v>1</v>
      </c>
      <c r="R20" s="573" t="s">
        <v>1325</v>
      </c>
      <c r="S20" s="577" t="s">
        <v>1657</v>
      </c>
    </row>
    <row r="21" spans="1:19" ht="57" customHeight="1">
      <c r="A21" s="88" t="s">
        <v>311</v>
      </c>
      <c r="B21" s="2" t="s">
        <v>312</v>
      </c>
      <c r="C21" s="3" t="s">
        <v>313</v>
      </c>
      <c r="D21" s="230">
        <v>1</v>
      </c>
      <c r="E21" s="422">
        <v>1</v>
      </c>
      <c r="F21" s="196">
        <v>1</v>
      </c>
      <c r="G21" s="576"/>
      <c r="H21" s="576"/>
      <c r="I21" s="518"/>
      <c r="J21" s="518"/>
      <c r="K21" s="535"/>
      <c r="L21" s="2" t="s">
        <v>343</v>
      </c>
      <c r="M21" s="28" t="s">
        <v>2218</v>
      </c>
      <c r="N21" s="585"/>
      <c r="O21" s="518"/>
      <c r="P21" s="585"/>
      <c r="Q21" s="586"/>
      <c r="R21" s="573"/>
      <c r="S21" s="569"/>
    </row>
    <row r="22" spans="1:19" ht="154.5" customHeight="1">
      <c r="A22" s="88" t="s">
        <v>314</v>
      </c>
      <c r="B22" s="2" t="s">
        <v>315</v>
      </c>
      <c r="C22" s="3" t="s">
        <v>316</v>
      </c>
      <c r="D22" s="236">
        <v>5</v>
      </c>
      <c r="E22" s="422">
        <v>76</v>
      </c>
      <c r="F22" s="196">
        <v>1</v>
      </c>
      <c r="G22" s="575"/>
      <c r="H22" s="575"/>
      <c r="I22" s="501"/>
      <c r="J22" s="501"/>
      <c r="K22" s="534"/>
      <c r="L22" s="46" t="s">
        <v>1967</v>
      </c>
      <c r="M22" s="43" t="s">
        <v>1966</v>
      </c>
      <c r="N22" s="582"/>
      <c r="O22" s="501"/>
      <c r="P22" s="582"/>
      <c r="Q22" s="584"/>
      <c r="R22" s="573"/>
      <c r="S22" s="570"/>
    </row>
    <row r="23" spans="1:19" ht="213" customHeight="1">
      <c r="A23" s="88" t="s">
        <v>317</v>
      </c>
      <c r="B23" s="2" t="s">
        <v>318</v>
      </c>
      <c r="C23" s="3" t="s">
        <v>319</v>
      </c>
      <c r="D23" s="230">
        <v>1</v>
      </c>
      <c r="E23" s="230">
        <v>0.65</v>
      </c>
      <c r="F23" s="196">
        <v>0.65</v>
      </c>
      <c r="G23" s="2" t="s">
        <v>885</v>
      </c>
      <c r="H23" s="168" t="s">
        <v>1674</v>
      </c>
      <c r="I23" s="384">
        <f>206604589.04/1000</f>
        <v>206604.58904</v>
      </c>
      <c r="J23" s="384">
        <f>179683589/1000</f>
        <v>179683.589</v>
      </c>
      <c r="K23" s="291">
        <f>J23/I23</f>
        <v>0.8696979570246239</v>
      </c>
      <c r="L23" s="43" t="s">
        <v>344</v>
      </c>
      <c r="M23" s="28" t="s">
        <v>1968</v>
      </c>
      <c r="N23" s="17">
        <v>6</v>
      </c>
      <c r="O23" s="44">
        <f>179683589/1000</f>
        <v>179683.589</v>
      </c>
      <c r="P23" s="18">
        <f>J23</f>
        <v>179683.589</v>
      </c>
      <c r="Q23" s="13">
        <f>P23/O23</f>
        <v>1</v>
      </c>
      <c r="R23" s="41" t="s">
        <v>1325</v>
      </c>
      <c r="S23" s="43" t="s">
        <v>1657</v>
      </c>
    </row>
    <row r="24" spans="1:19" ht="108.75" customHeight="1">
      <c r="A24" s="88" t="s">
        <v>320</v>
      </c>
      <c r="B24" s="2" t="s">
        <v>321</v>
      </c>
      <c r="C24" s="3" t="s">
        <v>322</v>
      </c>
      <c r="D24" s="230">
        <v>12</v>
      </c>
      <c r="E24" s="421">
        <v>12</v>
      </c>
      <c r="F24" s="196">
        <v>1</v>
      </c>
      <c r="G24" s="2" t="s">
        <v>886</v>
      </c>
      <c r="H24" s="168" t="s">
        <v>1675</v>
      </c>
      <c r="I24" s="44">
        <f>41500000/1000</f>
        <v>41500</v>
      </c>
      <c r="J24" s="44">
        <f>40500000/1000</f>
        <v>40500</v>
      </c>
      <c r="K24" s="291">
        <f>J24/I24</f>
        <v>0.9759036144578314</v>
      </c>
      <c r="L24" s="43" t="s">
        <v>897</v>
      </c>
      <c r="M24" s="28" t="s">
        <v>1969</v>
      </c>
      <c r="N24" s="17">
        <v>9</v>
      </c>
      <c r="O24" s="18">
        <f>41500000/1000</f>
        <v>41500</v>
      </c>
      <c r="P24" s="18">
        <f>J24</f>
        <v>40500</v>
      </c>
      <c r="Q24" s="13">
        <f>P24/O24</f>
        <v>0.9759036144578314</v>
      </c>
      <c r="R24" s="41" t="s">
        <v>1325</v>
      </c>
      <c r="S24" s="43" t="s">
        <v>1657</v>
      </c>
    </row>
    <row r="25" spans="1:19" ht="146.25" customHeight="1">
      <c r="A25" s="88" t="s">
        <v>323</v>
      </c>
      <c r="B25" s="2" t="s">
        <v>324</v>
      </c>
      <c r="C25" s="3" t="s">
        <v>325</v>
      </c>
      <c r="D25" s="230">
        <v>0.48</v>
      </c>
      <c r="E25" s="423">
        <v>0.1</v>
      </c>
      <c r="F25" s="196">
        <v>0.20833333333333334</v>
      </c>
      <c r="G25" s="2" t="s">
        <v>887</v>
      </c>
      <c r="H25" s="168" t="s">
        <v>1676</v>
      </c>
      <c r="I25" s="44">
        <f>42149942/1000</f>
        <v>42149.942</v>
      </c>
      <c r="J25" s="44">
        <v>0</v>
      </c>
      <c r="K25" s="291">
        <f>J25/I25</f>
        <v>0</v>
      </c>
      <c r="L25" s="43" t="s">
        <v>1815</v>
      </c>
      <c r="M25" s="28" t="s">
        <v>1970</v>
      </c>
      <c r="N25" s="17">
        <v>1</v>
      </c>
      <c r="O25" s="18">
        <f>6750000/1000</f>
        <v>6750</v>
      </c>
      <c r="P25" s="18">
        <f>J25</f>
        <v>0</v>
      </c>
      <c r="Q25" s="13">
        <v>0</v>
      </c>
      <c r="R25" s="41" t="s">
        <v>1325</v>
      </c>
      <c r="S25" s="43" t="s">
        <v>1657</v>
      </c>
    </row>
    <row r="26" spans="1:19" ht="213.75" customHeight="1">
      <c r="A26" s="88" t="s">
        <v>326</v>
      </c>
      <c r="B26" s="43" t="s">
        <v>327</v>
      </c>
      <c r="C26" s="3" t="s">
        <v>328</v>
      </c>
      <c r="D26" s="230">
        <v>1</v>
      </c>
      <c r="E26" s="230">
        <v>1</v>
      </c>
      <c r="F26" s="196">
        <v>1</v>
      </c>
      <c r="G26" s="577" t="s">
        <v>888</v>
      </c>
      <c r="H26" s="619" t="s">
        <v>1677</v>
      </c>
      <c r="I26" s="500">
        <f>84300000/1000</f>
        <v>84300</v>
      </c>
      <c r="J26" s="500">
        <f>69466500/1000</f>
        <v>69466.5</v>
      </c>
      <c r="K26" s="533">
        <f>J26/I26</f>
        <v>0.8240391459074733</v>
      </c>
      <c r="L26" s="577" t="s">
        <v>345</v>
      </c>
      <c r="M26" s="46" t="s">
        <v>1974</v>
      </c>
      <c r="N26" s="587">
        <v>11</v>
      </c>
      <c r="O26" s="500">
        <f>69466500/1000</f>
        <v>69466.5</v>
      </c>
      <c r="P26" s="581">
        <f>J26</f>
        <v>69466.5</v>
      </c>
      <c r="Q26" s="583">
        <f>P26/O26</f>
        <v>1</v>
      </c>
      <c r="R26" s="587" t="s">
        <v>1325</v>
      </c>
      <c r="S26" s="577" t="s">
        <v>1657</v>
      </c>
    </row>
    <row r="27" spans="1:19" ht="137.25" customHeight="1">
      <c r="A27" s="88" t="s">
        <v>329</v>
      </c>
      <c r="B27" s="2" t="s">
        <v>330</v>
      </c>
      <c r="C27" s="3" t="s">
        <v>331</v>
      </c>
      <c r="D27" s="230">
        <v>6</v>
      </c>
      <c r="E27" s="230">
        <v>3</v>
      </c>
      <c r="F27" s="196">
        <v>0.5</v>
      </c>
      <c r="G27" s="569"/>
      <c r="H27" s="620"/>
      <c r="I27" s="518"/>
      <c r="J27" s="518"/>
      <c r="K27" s="535"/>
      <c r="L27" s="569"/>
      <c r="M27" s="28" t="s">
        <v>1971</v>
      </c>
      <c r="N27" s="585"/>
      <c r="O27" s="518"/>
      <c r="P27" s="585"/>
      <c r="Q27" s="586"/>
      <c r="R27" s="585"/>
      <c r="S27" s="570"/>
    </row>
    <row r="28" spans="1:19" ht="95.25" customHeight="1">
      <c r="A28" s="88" t="s">
        <v>1665</v>
      </c>
      <c r="B28" s="43" t="s">
        <v>1973</v>
      </c>
      <c r="C28" s="3" t="s">
        <v>1664</v>
      </c>
      <c r="D28" s="230">
        <v>1</v>
      </c>
      <c r="E28" s="230">
        <v>1</v>
      </c>
      <c r="F28" s="196">
        <v>1</v>
      </c>
      <c r="G28" s="570"/>
      <c r="H28" s="621"/>
      <c r="I28" s="501"/>
      <c r="J28" s="501"/>
      <c r="K28" s="534"/>
      <c r="L28" s="570"/>
      <c r="M28" s="28" t="s">
        <v>1972</v>
      </c>
      <c r="N28" s="582"/>
      <c r="O28" s="501"/>
      <c r="P28" s="582"/>
      <c r="Q28" s="584"/>
      <c r="R28" s="582"/>
      <c r="S28" s="148"/>
    </row>
    <row r="29" spans="1:19" ht="43.5" customHeight="1">
      <c r="A29" s="525" t="s">
        <v>332</v>
      </c>
      <c r="B29" s="527" t="s">
        <v>333</v>
      </c>
      <c r="C29" s="527" t="s">
        <v>334</v>
      </c>
      <c r="D29" s="624">
        <v>12</v>
      </c>
      <c r="E29" s="626">
        <v>12</v>
      </c>
      <c r="F29" s="628">
        <f>E29/D29</f>
        <v>1</v>
      </c>
      <c r="G29" s="527" t="s">
        <v>889</v>
      </c>
      <c r="H29" s="325" t="s">
        <v>1738</v>
      </c>
      <c r="I29" s="597">
        <f>134678996.76/1000</f>
        <v>134678.99675999998</v>
      </c>
      <c r="J29" s="597">
        <f>110514614/1000</f>
        <v>110514.614</v>
      </c>
      <c r="K29" s="579">
        <f>J29/I29</f>
        <v>0.8205779420598055</v>
      </c>
      <c r="L29" s="527" t="s">
        <v>346</v>
      </c>
      <c r="M29" s="527" t="s">
        <v>1975</v>
      </c>
      <c r="N29" s="608">
        <v>22</v>
      </c>
      <c r="O29" s="606">
        <f>112514614/1000</f>
        <v>112514.614</v>
      </c>
      <c r="P29" s="610">
        <f>110514614/1000</f>
        <v>110514.614</v>
      </c>
      <c r="Q29" s="583">
        <f>P29/O29</f>
        <v>0.982224531295108</v>
      </c>
      <c r="R29" s="604" t="s">
        <v>1325</v>
      </c>
      <c r="S29" s="527" t="s">
        <v>1657</v>
      </c>
    </row>
    <row r="30" spans="1:19" ht="30" customHeight="1">
      <c r="A30" s="561"/>
      <c r="B30" s="538"/>
      <c r="C30" s="538"/>
      <c r="D30" s="631"/>
      <c r="E30" s="632"/>
      <c r="F30" s="633"/>
      <c r="G30" s="538"/>
      <c r="H30" s="325" t="s">
        <v>1739</v>
      </c>
      <c r="I30" s="598"/>
      <c r="J30" s="598"/>
      <c r="K30" s="635"/>
      <c r="L30" s="538"/>
      <c r="M30" s="538"/>
      <c r="N30" s="636"/>
      <c r="O30" s="612"/>
      <c r="P30" s="613"/>
      <c r="Q30" s="586"/>
      <c r="R30" s="634"/>
      <c r="S30" s="538"/>
    </row>
    <row r="31" spans="1:19" ht="27" customHeight="1">
      <c r="A31" s="561"/>
      <c r="B31" s="538"/>
      <c r="C31" s="538"/>
      <c r="D31" s="631"/>
      <c r="E31" s="632"/>
      <c r="F31" s="633"/>
      <c r="G31" s="538"/>
      <c r="H31" s="325" t="s">
        <v>1740</v>
      </c>
      <c r="I31" s="598"/>
      <c r="J31" s="598"/>
      <c r="K31" s="635"/>
      <c r="L31" s="538"/>
      <c r="M31" s="538"/>
      <c r="N31" s="636"/>
      <c r="O31" s="612"/>
      <c r="P31" s="613"/>
      <c r="Q31" s="586"/>
      <c r="R31" s="634"/>
      <c r="S31" s="538"/>
    </row>
    <row r="32" spans="1:19" ht="28.5" customHeight="1">
      <c r="A32" s="561"/>
      <c r="B32" s="538"/>
      <c r="C32" s="538"/>
      <c r="D32" s="631"/>
      <c r="E32" s="632"/>
      <c r="F32" s="633"/>
      <c r="G32" s="538"/>
      <c r="H32" s="325" t="s">
        <v>1741</v>
      </c>
      <c r="I32" s="598"/>
      <c r="J32" s="598"/>
      <c r="K32" s="635"/>
      <c r="L32" s="538"/>
      <c r="M32" s="538"/>
      <c r="N32" s="636"/>
      <c r="O32" s="612"/>
      <c r="P32" s="613"/>
      <c r="Q32" s="586"/>
      <c r="R32" s="634"/>
      <c r="S32" s="538"/>
    </row>
    <row r="33" spans="1:19" ht="51" customHeight="1">
      <c r="A33" s="526"/>
      <c r="B33" s="528"/>
      <c r="C33" s="528"/>
      <c r="D33" s="625"/>
      <c r="E33" s="627"/>
      <c r="F33" s="629"/>
      <c r="G33" s="528"/>
      <c r="H33" s="168" t="s">
        <v>1742</v>
      </c>
      <c r="I33" s="599"/>
      <c r="J33" s="599"/>
      <c r="K33" s="580"/>
      <c r="L33" s="528"/>
      <c r="M33" s="528"/>
      <c r="N33" s="609"/>
      <c r="O33" s="607"/>
      <c r="P33" s="611"/>
      <c r="Q33" s="584"/>
      <c r="R33" s="605"/>
      <c r="S33" s="528"/>
    </row>
    <row r="34" spans="1:19" ht="49.5" customHeight="1">
      <c r="A34" s="525" t="s">
        <v>335</v>
      </c>
      <c r="B34" s="622" t="s">
        <v>336</v>
      </c>
      <c r="C34" s="622" t="s">
        <v>337</v>
      </c>
      <c r="D34" s="624">
        <v>1</v>
      </c>
      <c r="E34" s="626">
        <v>16</v>
      </c>
      <c r="F34" s="628">
        <v>1</v>
      </c>
      <c r="G34" s="622" t="s">
        <v>890</v>
      </c>
      <c r="H34" s="168" t="s">
        <v>1737</v>
      </c>
      <c r="I34" s="597">
        <f>126550000/1000</f>
        <v>126550</v>
      </c>
      <c r="J34" s="597">
        <f>107916600/1000</f>
        <v>107916.6</v>
      </c>
      <c r="K34" s="579">
        <f>J34/I34</f>
        <v>0.8527585934413275</v>
      </c>
      <c r="L34" s="622" t="s">
        <v>347</v>
      </c>
      <c r="M34" s="630" t="s">
        <v>1976</v>
      </c>
      <c r="N34" s="622">
        <v>19</v>
      </c>
      <c r="O34" s="606">
        <f>109916600/1000</f>
        <v>109916.6</v>
      </c>
      <c r="P34" s="610">
        <f>J34</f>
        <v>107916.6</v>
      </c>
      <c r="Q34" s="583">
        <f>P34/O34</f>
        <v>0.9818043862346543</v>
      </c>
      <c r="R34" s="604" t="s">
        <v>1325</v>
      </c>
      <c r="S34" s="622" t="s">
        <v>1657</v>
      </c>
    </row>
    <row r="35" spans="1:19" ht="93.75" customHeight="1">
      <c r="A35" s="526"/>
      <c r="B35" s="623"/>
      <c r="C35" s="623"/>
      <c r="D35" s="625"/>
      <c r="E35" s="627"/>
      <c r="F35" s="629"/>
      <c r="G35" s="623"/>
      <c r="H35" s="168" t="s">
        <v>1662</v>
      </c>
      <c r="I35" s="599"/>
      <c r="J35" s="599"/>
      <c r="K35" s="580"/>
      <c r="L35" s="623"/>
      <c r="M35" s="623"/>
      <c r="N35" s="623"/>
      <c r="O35" s="607"/>
      <c r="P35" s="611"/>
      <c r="Q35" s="584"/>
      <c r="R35" s="605"/>
      <c r="S35" s="623"/>
    </row>
    <row r="36" spans="1:19" ht="77.25" customHeight="1">
      <c r="A36" s="88" t="s">
        <v>338</v>
      </c>
      <c r="B36" s="3" t="s">
        <v>339</v>
      </c>
      <c r="C36" s="3" t="s">
        <v>340</v>
      </c>
      <c r="D36" s="230">
        <v>1</v>
      </c>
      <c r="E36" s="233">
        <v>1</v>
      </c>
      <c r="F36" s="199">
        <f>E36/D36</f>
        <v>1</v>
      </c>
      <c r="G36" s="567" t="s">
        <v>891</v>
      </c>
      <c r="H36" s="567" t="s">
        <v>1678</v>
      </c>
      <c r="I36" s="606">
        <f>35000000/1000</f>
        <v>35000</v>
      </c>
      <c r="J36" s="606">
        <f>29429177/1000</f>
        <v>29429.177</v>
      </c>
      <c r="K36" s="579">
        <f>J36/I36</f>
        <v>0.8408336285714285</v>
      </c>
      <c r="L36" s="577" t="s">
        <v>348</v>
      </c>
      <c r="M36" s="28" t="s">
        <v>1977</v>
      </c>
      <c r="N36" s="608">
        <v>5</v>
      </c>
      <c r="O36" s="606">
        <f>29429177/1000</f>
        <v>29429.177</v>
      </c>
      <c r="P36" s="610">
        <f>J36</f>
        <v>29429.177</v>
      </c>
      <c r="Q36" s="583">
        <f>P36/O36</f>
        <v>1</v>
      </c>
      <c r="R36" s="604" t="s">
        <v>1325</v>
      </c>
      <c r="S36" s="622" t="s">
        <v>1657</v>
      </c>
    </row>
    <row r="37" spans="1:19" ht="186" customHeight="1">
      <c r="A37" s="88" t="s">
        <v>1668</v>
      </c>
      <c r="B37" s="3" t="s">
        <v>1666</v>
      </c>
      <c r="C37" s="3" t="s">
        <v>1667</v>
      </c>
      <c r="D37" s="230"/>
      <c r="E37" s="233"/>
      <c r="F37" s="199"/>
      <c r="G37" s="568"/>
      <c r="H37" s="568"/>
      <c r="I37" s="607"/>
      <c r="J37" s="607"/>
      <c r="K37" s="580"/>
      <c r="L37" s="570"/>
      <c r="M37" s="28" t="s">
        <v>1978</v>
      </c>
      <c r="N37" s="609"/>
      <c r="O37" s="607"/>
      <c r="P37" s="609"/>
      <c r="Q37" s="584"/>
      <c r="R37" s="605"/>
      <c r="S37" s="623"/>
    </row>
    <row r="38" spans="1:19" s="45" customFormat="1" ht="24" customHeight="1">
      <c r="A38" s="519" t="s">
        <v>1093</v>
      </c>
      <c r="B38" s="521"/>
      <c r="C38" s="268"/>
      <c r="D38" s="146"/>
      <c r="E38" s="146"/>
      <c r="F38" s="312">
        <v>0.86</v>
      </c>
      <c r="G38" s="107">
        <v>13</v>
      </c>
      <c r="H38" s="232"/>
      <c r="I38" s="328">
        <f>SUM(I8:I37)</f>
        <v>1217461.6048</v>
      </c>
      <c r="J38" s="251">
        <f>SUM(J8:J37)</f>
        <v>1081618.557</v>
      </c>
      <c r="K38" s="311">
        <f>J38/I38</f>
        <v>0.8884210826325682</v>
      </c>
      <c r="L38" s="28"/>
      <c r="M38" s="23"/>
      <c r="N38" s="251">
        <f>SUM(N8:N37)</f>
        <v>136</v>
      </c>
      <c r="O38" s="251">
        <f>SUM(O8:O37)</f>
        <v>1093368.557</v>
      </c>
      <c r="P38" s="251">
        <f>SUM(P8:P37)</f>
        <v>1081618.557</v>
      </c>
      <c r="Q38" s="297">
        <f>P38/O38</f>
        <v>0.989253395001371</v>
      </c>
      <c r="R38" s="167"/>
      <c r="S38" s="28"/>
    </row>
    <row r="39" spans="1:19" s="45" customFormat="1" ht="24" customHeight="1">
      <c r="A39" s="519" t="s">
        <v>6</v>
      </c>
      <c r="B39" s="521"/>
      <c r="C39" s="269"/>
      <c r="D39" s="147"/>
      <c r="E39" s="147"/>
      <c r="F39" s="147"/>
      <c r="G39" s="55"/>
      <c r="H39" s="55"/>
      <c r="I39" s="90"/>
      <c r="J39" s="90"/>
      <c r="K39" s="314"/>
      <c r="L39" s="55"/>
      <c r="M39" s="55"/>
      <c r="N39" s="55"/>
      <c r="O39" s="238"/>
      <c r="P39" s="55"/>
      <c r="Q39" s="320"/>
      <c r="R39" s="167"/>
      <c r="S39" s="55"/>
    </row>
    <row r="40" spans="1:19" s="45" customFormat="1" ht="22.5" customHeight="1">
      <c r="A40" s="549" t="s">
        <v>1713</v>
      </c>
      <c r="B40" s="550"/>
      <c r="C40" s="270"/>
      <c r="D40" s="255"/>
      <c r="E40" s="255"/>
      <c r="F40" s="255"/>
      <c r="G40" s="55"/>
      <c r="H40" s="55"/>
      <c r="I40" s="90"/>
      <c r="J40" s="90"/>
      <c r="K40" s="314"/>
      <c r="L40" s="55"/>
      <c r="M40" s="55"/>
      <c r="N40" s="55"/>
      <c r="O40" s="55"/>
      <c r="P40" s="55"/>
      <c r="Q40" s="320"/>
      <c r="R40" s="167"/>
      <c r="S40" s="55"/>
    </row>
    <row r="41" spans="1:19" ht="15">
      <c r="A41" s="519"/>
      <c r="B41" s="521"/>
      <c r="C41" s="271"/>
      <c r="D41" s="16"/>
      <c r="E41" s="16"/>
      <c r="F41" s="16"/>
      <c r="G41" s="15"/>
      <c r="H41" s="15"/>
      <c r="I41" s="15"/>
      <c r="J41" s="15"/>
      <c r="K41" s="315"/>
      <c r="L41" s="15"/>
      <c r="M41" s="15"/>
      <c r="N41" s="15"/>
      <c r="O41" s="15"/>
      <c r="P41" s="15"/>
      <c r="Q41" s="326"/>
      <c r="R41" s="10"/>
      <c r="S41" s="15"/>
    </row>
    <row r="42" spans="1:19" ht="28.5" customHeight="1">
      <c r="A42" s="549" t="s">
        <v>7</v>
      </c>
      <c r="B42" s="614"/>
      <c r="C42" s="272" t="s">
        <v>1658</v>
      </c>
      <c r="D42" s="15"/>
      <c r="E42" s="145"/>
      <c r="F42" s="145"/>
      <c r="G42" s="615"/>
      <c r="H42" s="616"/>
      <c r="I42" s="133"/>
      <c r="J42" s="133"/>
      <c r="K42" s="316"/>
      <c r="L42" s="15"/>
      <c r="M42" s="15"/>
      <c r="N42" s="15"/>
      <c r="O42" s="15"/>
      <c r="P42" s="15"/>
      <c r="Q42" s="326"/>
      <c r="R42" s="10"/>
      <c r="S42" s="15"/>
    </row>
  </sheetData>
  <sheetProtection/>
  <mergeCells count="138">
    <mergeCell ref="Q29:Q33"/>
    <mergeCell ref="R29:R33"/>
    <mergeCell ref="S29:S33"/>
    <mergeCell ref="S36:S37"/>
    <mergeCell ref="I29:I33"/>
    <mergeCell ref="J29:J33"/>
    <mergeCell ref="K29:K33"/>
    <mergeCell ref="L29:L33"/>
    <mergeCell ref="M29:M33"/>
    <mergeCell ref="N29:N33"/>
    <mergeCell ref="Q34:Q35"/>
    <mergeCell ref="R34:R35"/>
    <mergeCell ref="S34:S35"/>
    <mergeCell ref="A29:A33"/>
    <mergeCell ref="B29:B33"/>
    <mergeCell ref="C29:C33"/>
    <mergeCell ref="D29:D33"/>
    <mergeCell ref="E29:E33"/>
    <mergeCell ref="F29:F33"/>
    <mergeCell ref="G29:G33"/>
    <mergeCell ref="I34:I35"/>
    <mergeCell ref="J34:J35"/>
    <mergeCell ref="K34:K35"/>
    <mergeCell ref="L34:L35"/>
    <mergeCell ref="M34:M35"/>
    <mergeCell ref="N34:N35"/>
    <mergeCell ref="H12:H13"/>
    <mergeCell ref="H10:H11"/>
    <mergeCell ref="H26:H28"/>
    <mergeCell ref="A34:A35"/>
    <mergeCell ref="B34:B35"/>
    <mergeCell ref="C34:C35"/>
    <mergeCell ref="D34:D35"/>
    <mergeCell ref="E34:E35"/>
    <mergeCell ref="F34:F35"/>
    <mergeCell ref="G34:G35"/>
    <mergeCell ref="A41:B41"/>
    <mergeCell ref="A42:B42"/>
    <mergeCell ref="H36:H37"/>
    <mergeCell ref="I36:I37"/>
    <mergeCell ref="J36:J37"/>
    <mergeCell ref="K36:K37"/>
    <mergeCell ref="A38:B38"/>
    <mergeCell ref="A39:B39"/>
    <mergeCell ref="A40:B40"/>
    <mergeCell ref="G42:H42"/>
    <mergeCell ref="P36:P37"/>
    <mergeCell ref="L36:L37"/>
    <mergeCell ref="L26:L28"/>
    <mergeCell ref="K26:K28"/>
    <mergeCell ref="O34:O35"/>
    <mergeCell ref="P34:P35"/>
    <mergeCell ref="O29:O33"/>
    <mergeCell ref="P29:P33"/>
    <mergeCell ref="H20:H22"/>
    <mergeCell ref="N26:N28"/>
    <mergeCell ref="K20:K22"/>
    <mergeCell ref="R36:R37"/>
    <mergeCell ref="R26:R28"/>
    <mergeCell ref="O36:O37"/>
    <mergeCell ref="I26:I28"/>
    <mergeCell ref="J26:J28"/>
    <mergeCell ref="Q36:Q37"/>
    <mergeCell ref="N36:N37"/>
    <mergeCell ref="L8:L13"/>
    <mergeCell ref="H6:H7"/>
    <mergeCell ref="I6:I7"/>
    <mergeCell ref="J6:J7"/>
    <mergeCell ref="K6:K7"/>
    <mergeCell ref="O6:O7"/>
    <mergeCell ref="L6:L7"/>
    <mergeCell ref="M6:M7"/>
    <mergeCell ref="N6:N7"/>
    <mergeCell ref="O8:O13"/>
    <mergeCell ref="A5:F5"/>
    <mergeCell ref="S26:S27"/>
    <mergeCell ref="A2:S2"/>
    <mergeCell ref="G5:L5"/>
    <mergeCell ref="M5:S5"/>
    <mergeCell ref="D6:D7"/>
    <mergeCell ref="F6:F7"/>
    <mergeCell ref="I8:I13"/>
    <mergeCell ref="J8:J13"/>
    <mergeCell ref="K8:K13"/>
    <mergeCell ref="R6:R7"/>
    <mergeCell ref="A4:G4"/>
    <mergeCell ref="H4:L4"/>
    <mergeCell ref="M4:O4"/>
    <mergeCell ref="P4:S4"/>
    <mergeCell ref="A6:A7"/>
    <mergeCell ref="B6:B7"/>
    <mergeCell ref="C6:C7"/>
    <mergeCell ref="G6:G7"/>
    <mergeCell ref="E6:E7"/>
    <mergeCell ref="Q8:Q13"/>
    <mergeCell ref="N14:N15"/>
    <mergeCell ref="O14:O15"/>
    <mergeCell ref="Q20:Q22"/>
    <mergeCell ref="Q6:Q7"/>
    <mergeCell ref="P6:P7"/>
    <mergeCell ref="N8:N13"/>
    <mergeCell ref="N18:N19"/>
    <mergeCell ref="N20:N22"/>
    <mergeCell ref="P8:P13"/>
    <mergeCell ref="S14:S15"/>
    <mergeCell ref="S18:S19"/>
    <mergeCell ref="R18:R19"/>
    <mergeCell ref="P14:P15"/>
    <mergeCell ref="Q14:Q15"/>
    <mergeCell ref="P18:P19"/>
    <mergeCell ref="S20:S22"/>
    <mergeCell ref="O18:O19"/>
    <mergeCell ref="Q18:Q19"/>
    <mergeCell ref="P26:P28"/>
    <mergeCell ref="Q26:Q28"/>
    <mergeCell ref="O26:O28"/>
    <mergeCell ref="O20:O22"/>
    <mergeCell ref="P20:P22"/>
    <mergeCell ref="R8:R13"/>
    <mergeCell ref="R14:R15"/>
    <mergeCell ref="G18:G19"/>
    <mergeCell ref="G20:G22"/>
    <mergeCell ref="R20:R22"/>
    <mergeCell ref="G26:G28"/>
    <mergeCell ref="I14:I15"/>
    <mergeCell ref="J14:J15"/>
    <mergeCell ref="K14:K15"/>
    <mergeCell ref="I18:I19"/>
    <mergeCell ref="S6:S7"/>
    <mergeCell ref="A3:S3"/>
    <mergeCell ref="G36:G37"/>
    <mergeCell ref="J20:J22"/>
    <mergeCell ref="S8:S13"/>
    <mergeCell ref="J18:J19"/>
    <mergeCell ref="K18:K19"/>
    <mergeCell ref="I20:I22"/>
    <mergeCell ref="G8:G13"/>
    <mergeCell ref="G14:G15"/>
  </mergeCells>
  <printOptions/>
  <pageMargins left="1.299212598425197" right="0.31496062992125984" top="0.7480314960629921" bottom="0.7480314960629921" header="0.31496062992125984" footer="0.31496062992125984"/>
  <pageSetup horizontalDpi="600" verticalDpi="600" orientation="landscape" paperSize="5" scale="60" r:id="rId3"/>
  <headerFooter>
    <oddFooter>&amp;CPágina &amp;P</oddFooter>
  </headerFooter>
  <legacyDrawing r:id="rId2"/>
</worksheet>
</file>

<file path=xl/worksheets/sheet3.xml><?xml version="1.0" encoding="utf-8"?>
<worksheet xmlns="http://schemas.openxmlformats.org/spreadsheetml/2006/main" xmlns:r="http://schemas.openxmlformats.org/officeDocument/2006/relationships">
  <dimension ref="A1:CA1415"/>
  <sheetViews>
    <sheetView zoomScale="60" zoomScaleNormal="60" zoomScalePageLayoutView="0" workbookViewId="0" topLeftCell="A10">
      <selection activeCell="G18" sqref="G18"/>
    </sheetView>
  </sheetViews>
  <sheetFormatPr defaultColWidth="11.421875" defaultRowHeight="15"/>
  <cols>
    <col min="1" max="1" width="22.57421875" style="10" customWidth="1"/>
    <col min="2" max="2" width="35.140625" style="15" customWidth="1"/>
    <col min="3" max="3" width="27.00390625" style="15" customWidth="1"/>
    <col min="4" max="4" width="21.00390625" style="15" customWidth="1"/>
    <col min="5" max="6" width="20.7109375" style="15" customWidth="1"/>
    <col min="7" max="7" width="30.140625" style="15" customWidth="1"/>
    <col min="8" max="8" width="28.7109375" style="15" customWidth="1"/>
    <col min="9" max="10" width="25.140625" style="15" customWidth="1"/>
    <col min="11" max="11" width="17.7109375" style="315" customWidth="1"/>
    <col min="12" max="12" width="32.8515625" style="15" customWidth="1"/>
    <col min="13" max="13" width="36.57421875" style="15" customWidth="1"/>
    <col min="14" max="16" width="25.140625" style="15" customWidth="1"/>
    <col min="17" max="17" width="18.7109375" style="15" customWidth="1"/>
    <col min="18" max="18" width="25.00390625" style="10" customWidth="1"/>
    <col min="19" max="19" width="22.57421875" style="24" customWidth="1"/>
    <col min="20" max="79" width="11.421875" style="9" customWidth="1"/>
    <col min="80" max="16384" width="11.421875" style="15" customWidth="1"/>
  </cols>
  <sheetData>
    <row r="1" spans="1:18" s="46" customFormat="1" ht="26.25" customHeight="1" thickBot="1">
      <c r="A1" s="62"/>
      <c r="K1" s="313"/>
      <c r="R1" s="62"/>
    </row>
    <row r="2" spans="1:19" s="253" customFormat="1" ht="24" customHeight="1" thickBot="1">
      <c r="A2" s="505" t="s">
        <v>8</v>
      </c>
      <c r="B2" s="506"/>
      <c r="C2" s="506"/>
      <c r="D2" s="506"/>
      <c r="E2" s="506"/>
      <c r="F2" s="506"/>
      <c r="G2" s="506"/>
      <c r="H2" s="506"/>
      <c r="I2" s="506"/>
      <c r="J2" s="506"/>
      <c r="K2" s="506"/>
      <c r="L2" s="506"/>
      <c r="M2" s="506"/>
      <c r="N2" s="506"/>
      <c r="O2" s="506"/>
      <c r="P2" s="506"/>
      <c r="Q2" s="506"/>
      <c r="R2" s="506"/>
      <c r="S2" s="507"/>
    </row>
    <row r="3" spans="1:19" s="253" customFormat="1" ht="29.25" customHeight="1" thickBot="1">
      <c r="A3" s="508" t="s">
        <v>1683</v>
      </c>
      <c r="B3" s="509"/>
      <c r="C3" s="509"/>
      <c r="D3" s="509"/>
      <c r="E3" s="509"/>
      <c r="F3" s="509"/>
      <c r="G3" s="509"/>
      <c r="H3" s="509"/>
      <c r="I3" s="509"/>
      <c r="J3" s="509"/>
      <c r="K3" s="509"/>
      <c r="L3" s="509"/>
      <c r="M3" s="509"/>
      <c r="N3" s="509"/>
      <c r="O3" s="509"/>
      <c r="P3" s="509"/>
      <c r="Q3" s="509"/>
      <c r="R3" s="509"/>
      <c r="S3" s="510"/>
    </row>
    <row r="4" spans="1:79" s="10" customFormat="1" ht="27" customHeight="1">
      <c r="A4" s="655" t="s">
        <v>384</v>
      </c>
      <c r="B4" s="656"/>
      <c r="C4" s="656"/>
      <c r="D4" s="656"/>
      <c r="E4" s="656"/>
      <c r="F4" s="656"/>
      <c r="G4" s="656"/>
      <c r="H4" s="553" t="s">
        <v>1721</v>
      </c>
      <c r="I4" s="553"/>
      <c r="J4" s="553"/>
      <c r="K4" s="553"/>
      <c r="L4" s="553"/>
      <c r="M4" s="591" t="s">
        <v>1183</v>
      </c>
      <c r="N4" s="589"/>
      <c r="O4" s="590"/>
      <c r="P4" s="591" t="s">
        <v>1650</v>
      </c>
      <c r="Q4" s="589"/>
      <c r="R4" s="589"/>
      <c r="S4" s="590"/>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row>
    <row r="5" spans="1:79" s="10" customFormat="1" ht="27" customHeight="1">
      <c r="A5" s="657" t="s">
        <v>0</v>
      </c>
      <c r="B5" s="658"/>
      <c r="C5" s="658"/>
      <c r="D5" s="658"/>
      <c r="E5" s="658"/>
      <c r="F5" s="659"/>
      <c r="G5" s="657" t="s">
        <v>1</v>
      </c>
      <c r="H5" s="658"/>
      <c r="I5" s="658"/>
      <c r="J5" s="658"/>
      <c r="K5" s="658"/>
      <c r="L5" s="658"/>
      <c r="M5" s="658"/>
      <c r="N5" s="543" t="s">
        <v>1299</v>
      </c>
      <c r="O5" s="658"/>
      <c r="P5" s="658"/>
      <c r="Q5" s="658"/>
      <c r="R5" s="354"/>
      <c r="S5" s="355"/>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row>
    <row r="6" spans="1:79" s="10" customFormat="1" ht="26.25" customHeight="1">
      <c r="A6" s="502" t="s">
        <v>2</v>
      </c>
      <c r="B6" s="502" t="s">
        <v>4</v>
      </c>
      <c r="C6" s="502" t="s">
        <v>3</v>
      </c>
      <c r="D6" s="502" t="s">
        <v>1116</v>
      </c>
      <c r="E6" s="502" t="s">
        <v>1117</v>
      </c>
      <c r="F6" s="502" t="s">
        <v>1118</v>
      </c>
      <c r="G6" s="502" t="s">
        <v>1186</v>
      </c>
      <c r="H6" s="502" t="s">
        <v>9</v>
      </c>
      <c r="I6" s="516" t="s">
        <v>1180</v>
      </c>
      <c r="J6" s="516" t="s">
        <v>1181</v>
      </c>
      <c r="K6" s="558" t="s">
        <v>1103</v>
      </c>
      <c r="L6" s="544" t="s">
        <v>1637</v>
      </c>
      <c r="M6" s="502" t="s">
        <v>1914</v>
      </c>
      <c r="N6" s="502" t="s">
        <v>1115</v>
      </c>
      <c r="O6" s="502" t="s">
        <v>1119</v>
      </c>
      <c r="P6" s="502" t="s">
        <v>1120</v>
      </c>
      <c r="Q6" s="502" t="s">
        <v>1185</v>
      </c>
      <c r="R6" s="502" t="s">
        <v>924</v>
      </c>
      <c r="S6" s="502" t="s">
        <v>1685</v>
      </c>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row>
    <row r="7" spans="1:79" s="10" customFormat="1" ht="26.25" customHeight="1">
      <c r="A7" s="503"/>
      <c r="B7" s="503"/>
      <c r="C7" s="503"/>
      <c r="D7" s="503"/>
      <c r="E7" s="503"/>
      <c r="F7" s="503"/>
      <c r="G7" s="503"/>
      <c r="H7" s="503"/>
      <c r="I7" s="517"/>
      <c r="J7" s="517"/>
      <c r="K7" s="559"/>
      <c r="L7" s="545"/>
      <c r="M7" s="503"/>
      <c r="N7" s="503"/>
      <c r="O7" s="503"/>
      <c r="P7" s="503"/>
      <c r="Q7" s="503"/>
      <c r="R7" s="503"/>
      <c r="S7" s="56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row>
    <row r="8" spans="1:19" ht="152.25" customHeight="1">
      <c r="A8" s="353" t="s">
        <v>349</v>
      </c>
      <c r="B8" s="3" t="s">
        <v>350</v>
      </c>
      <c r="C8" s="3" t="s">
        <v>351</v>
      </c>
      <c r="D8" s="441">
        <v>0.3</v>
      </c>
      <c r="E8" s="442">
        <v>0.3</v>
      </c>
      <c r="F8" s="228">
        <v>1</v>
      </c>
      <c r="G8" s="3" t="s">
        <v>898</v>
      </c>
      <c r="H8" s="2" t="s">
        <v>1651</v>
      </c>
      <c r="I8" s="38">
        <f>9694143242.39/1000</f>
        <v>9694143.24239</v>
      </c>
      <c r="J8" s="38">
        <f>7717318721/1000</f>
        <v>7717318.721</v>
      </c>
      <c r="K8" s="356">
        <f>J8/I8</f>
        <v>0.7960805331670927</v>
      </c>
      <c r="L8" s="4" t="s">
        <v>1985</v>
      </c>
      <c r="M8" s="28" t="s">
        <v>2221</v>
      </c>
      <c r="N8" s="12">
        <v>26</v>
      </c>
      <c r="O8" s="229">
        <f>7717318721/1000</f>
        <v>7717318.721</v>
      </c>
      <c r="P8" s="229">
        <f>J8</f>
        <v>7717318.721</v>
      </c>
      <c r="Q8" s="180">
        <f>P8/O8</f>
        <v>1</v>
      </c>
      <c r="R8" s="41" t="s">
        <v>1656</v>
      </c>
      <c r="S8" s="12" t="s">
        <v>904</v>
      </c>
    </row>
    <row r="9" spans="1:19" ht="123.75" customHeight="1">
      <c r="A9" s="85" t="s">
        <v>352</v>
      </c>
      <c r="B9" s="3" t="s">
        <v>353</v>
      </c>
      <c r="C9" s="3" t="s">
        <v>354</v>
      </c>
      <c r="D9" s="227">
        <v>1</v>
      </c>
      <c r="E9" s="116">
        <v>4</v>
      </c>
      <c r="F9" s="228">
        <v>1</v>
      </c>
      <c r="G9" s="638" t="s">
        <v>899</v>
      </c>
      <c r="H9" s="2" t="s">
        <v>1652</v>
      </c>
      <c r="I9" s="639">
        <f>840594200/1000</f>
        <v>840594.2</v>
      </c>
      <c r="J9" s="639">
        <f>839594200/1000</f>
        <v>839594.2</v>
      </c>
      <c r="K9" s="642">
        <f>J9/I9</f>
        <v>0.9988103653344266</v>
      </c>
      <c r="L9" s="648"/>
      <c r="M9" s="28" t="s">
        <v>2219</v>
      </c>
      <c r="N9" s="645">
        <v>105</v>
      </c>
      <c r="O9" s="639">
        <f>840594200/1000</f>
        <v>840594.2</v>
      </c>
      <c r="P9" s="652">
        <f>J9</f>
        <v>839594.2</v>
      </c>
      <c r="Q9" s="649">
        <f>P9/O9</f>
        <v>0.9988103653344266</v>
      </c>
      <c r="R9" s="572" t="s">
        <v>1325</v>
      </c>
      <c r="S9" s="637" t="s">
        <v>904</v>
      </c>
    </row>
    <row r="10" spans="1:19" ht="76.5" customHeight="1">
      <c r="A10" s="85" t="s">
        <v>355</v>
      </c>
      <c r="B10" s="3" t="s">
        <v>356</v>
      </c>
      <c r="C10" s="3" t="s">
        <v>357</v>
      </c>
      <c r="D10" s="227">
        <v>2304</v>
      </c>
      <c r="E10" s="227">
        <v>2070</v>
      </c>
      <c r="F10" s="228">
        <f>E10/D10</f>
        <v>0.8984375</v>
      </c>
      <c r="G10" s="638"/>
      <c r="H10" s="2" t="s">
        <v>1653</v>
      </c>
      <c r="I10" s="640"/>
      <c r="J10" s="640"/>
      <c r="K10" s="643"/>
      <c r="L10" s="648"/>
      <c r="M10" s="28" t="s">
        <v>2220</v>
      </c>
      <c r="N10" s="646"/>
      <c r="O10" s="640"/>
      <c r="P10" s="653"/>
      <c r="Q10" s="650"/>
      <c r="R10" s="573"/>
      <c r="S10" s="637"/>
    </row>
    <row r="11" spans="1:19" ht="159.75" customHeight="1">
      <c r="A11" s="85" t="s">
        <v>358</v>
      </c>
      <c r="B11" s="3" t="s">
        <v>359</v>
      </c>
      <c r="C11" s="3" t="s">
        <v>360</v>
      </c>
      <c r="D11" s="227">
        <v>3</v>
      </c>
      <c r="E11" s="116">
        <v>2</v>
      </c>
      <c r="F11" s="228">
        <f>E11/D11</f>
        <v>0.6666666666666666</v>
      </c>
      <c r="G11" s="638"/>
      <c r="H11" s="2" t="s">
        <v>1654</v>
      </c>
      <c r="I11" s="641"/>
      <c r="J11" s="641"/>
      <c r="K11" s="644"/>
      <c r="L11" s="648"/>
      <c r="M11" s="28" t="s">
        <v>2222</v>
      </c>
      <c r="N11" s="647"/>
      <c r="O11" s="641"/>
      <c r="P11" s="654"/>
      <c r="Q11" s="651"/>
      <c r="R11" s="573"/>
      <c r="S11" s="637"/>
    </row>
    <row r="12" spans="1:19" ht="115.5" customHeight="1">
      <c r="A12" s="353" t="s">
        <v>361</v>
      </c>
      <c r="B12" s="2" t="s">
        <v>362</v>
      </c>
      <c r="C12" s="3" t="s">
        <v>363</v>
      </c>
      <c r="D12" s="116">
        <v>3</v>
      </c>
      <c r="E12" s="116">
        <v>3</v>
      </c>
      <c r="F12" s="228">
        <v>1</v>
      </c>
      <c r="G12" s="638" t="s">
        <v>900</v>
      </c>
      <c r="H12" s="638" t="s">
        <v>1655</v>
      </c>
      <c r="I12" s="639">
        <f>223580000/1000</f>
        <v>223580</v>
      </c>
      <c r="J12" s="639">
        <f>206580000/1000</f>
        <v>206580</v>
      </c>
      <c r="K12" s="642">
        <f>J12/I12</f>
        <v>0.923964576437964</v>
      </c>
      <c r="L12" s="2" t="s">
        <v>901</v>
      </c>
      <c r="M12" s="28" t="s">
        <v>2223</v>
      </c>
      <c r="N12" s="645">
        <v>13</v>
      </c>
      <c r="O12" s="652">
        <f>206580000/1000</f>
        <v>206580</v>
      </c>
      <c r="P12" s="652">
        <f>J12</f>
        <v>206580</v>
      </c>
      <c r="Q12" s="649">
        <f>P12/O12</f>
        <v>1</v>
      </c>
      <c r="R12" s="572" t="s">
        <v>1325</v>
      </c>
      <c r="S12" s="637" t="s">
        <v>904</v>
      </c>
    </row>
    <row r="13" spans="1:19" ht="111" customHeight="1">
      <c r="A13" s="353" t="s">
        <v>364</v>
      </c>
      <c r="B13" s="2" t="s">
        <v>365</v>
      </c>
      <c r="C13" s="3" t="s">
        <v>366</v>
      </c>
      <c r="D13" s="227">
        <v>12</v>
      </c>
      <c r="E13" s="116">
        <v>24</v>
      </c>
      <c r="F13" s="228">
        <v>1</v>
      </c>
      <c r="G13" s="638"/>
      <c r="H13" s="638"/>
      <c r="I13" s="640"/>
      <c r="J13" s="640"/>
      <c r="K13" s="643"/>
      <c r="L13" s="2" t="s">
        <v>902</v>
      </c>
      <c r="M13" s="28" t="s">
        <v>2224</v>
      </c>
      <c r="N13" s="646"/>
      <c r="O13" s="653"/>
      <c r="P13" s="653"/>
      <c r="Q13" s="650"/>
      <c r="R13" s="573"/>
      <c r="S13" s="637"/>
    </row>
    <row r="14" spans="1:19" ht="131.25" customHeight="1">
      <c r="A14" s="353" t="s">
        <v>367</v>
      </c>
      <c r="B14" s="2" t="s">
        <v>368</v>
      </c>
      <c r="C14" s="3" t="s">
        <v>369</v>
      </c>
      <c r="D14" s="38">
        <v>5000</v>
      </c>
      <c r="E14" s="38">
        <v>93498</v>
      </c>
      <c r="F14" s="228">
        <v>1</v>
      </c>
      <c r="G14" s="638"/>
      <c r="H14" s="638"/>
      <c r="I14" s="641"/>
      <c r="J14" s="641"/>
      <c r="K14" s="644"/>
      <c r="L14" s="2" t="s">
        <v>903</v>
      </c>
      <c r="M14" s="28" t="s">
        <v>2225</v>
      </c>
      <c r="N14" s="647"/>
      <c r="O14" s="654"/>
      <c r="P14" s="654"/>
      <c r="Q14" s="651"/>
      <c r="R14" s="573"/>
      <c r="S14" s="637"/>
    </row>
    <row r="15" spans="1:19" s="45" customFormat="1" ht="24" customHeight="1">
      <c r="A15" s="660" t="s">
        <v>1093</v>
      </c>
      <c r="B15" s="660"/>
      <c r="C15" s="265"/>
      <c r="D15" s="146"/>
      <c r="E15" s="146"/>
      <c r="F15" s="312">
        <v>0.94</v>
      </c>
      <c r="G15" s="107">
        <v>3</v>
      </c>
      <c r="H15" s="28"/>
      <c r="I15" s="251">
        <f>SUM(I8:I14)</f>
        <v>10758317.442389999</v>
      </c>
      <c r="J15" s="251">
        <f>SUM(J8:J14)</f>
        <v>8763492.921</v>
      </c>
      <c r="K15" s="311">
        <f>J15/I15</f>
        <v>0.8145783918282633</v>
      </c>
      <c r="L15" s="28"/>
      <c r="M15" s="23"/>
      <c r="N15" s="251">
        <f>SUM(N8:N14)</f>
        <v>144</v>
      </c>
      <c r="O15" s="251">
        <f>SUM(O8:O14)</f>
        <v>8764492.921</v>
      </c>
      <c r="P15" s="251">
        <f>SUM(P8:P14)</f>
        <v>8763492.921</v>
      </c>
      <c r="Q15" s="108">
        <f>P15/O15</f>
        <v>0.9998859032679912</v>
      </c>
      <c r="R15" s="167"/>
      <c r="S15" s="28"/>
    </row>
    <row r="16" spans="1:19" s="45" customFormat="1" ht="24" customHeight="1">
      <c r="A16" s="660" t="s">
        <v>6</v>
      </c>
      <c r="B16" s="660"/>
      <c r="C16" s="266"/>
      <c r="D16" s="147"/>
      <c r="E16" s="147"/>
      <c r="F16" s="147"/>
      <c r="G16" s="55"/>
      <c r="H16" s="55"/>
      <c r="I16" s="90"/>
      <c r="J16" s="90"/>
      <c r="K16" s="314"/>
      <c r="L16" s="55"/>
      <c r="M16" s="55"/>
      <c r="N16" s="55"/>
      <c r="O16" s="55"/>
      <c r="P16" s="55"/>
      <c r="Q16" s="55"/>
      <c r="R16" s="167"/>
      <c r="S16" s="55"/>
    </row>
    <row r="17" spans="1:19" s="45" customFormat="1" ht="22.5" customHeight="1">
      <c r="A17" s="549" t="s">
        <v>1713</v>
      </c>
      <c r="B17" s="550"/>
      <c r="C17" s="270"/>
      <c r="D17" s="255"/>
      <c r="E17" s="255"/>
      <c r="F17" s="255"/>
      <c r="G17" s="55"/>
      <c r="H17" s="55"/>
      <c r="I17" s="90"/>
      <c r="J17" s="90"/>
      <c r="K17" s="314"/>
      <c r="L17" s="55"/>
      <c r="M17" s="55"/>
      <c r="N17" s="55"/>
      <c r="O17" s="55"/>
      <c r="P17" s="55"/>
      <c r="Q17" s="55"/>
      <c r="R17" s="167"/>
      <c r="S17" s="55"/>
    </row>
    <row r="18" spans="1:19" ht="18" customHeight="1">
      <c r="A18" s="660"/>
      <c r="B18" s="660"/>
      <c r="C18" s="273"/>
      <c r="D18" s="16"/>
      <c r="E18" s="16"/>
      <c r="F18" s="16"/>
      <c r="S18" s="10"/>
    </row>
    <row r="19" spans="1:19" ht="31.5" customHeight="1">
      <c r="A19" s="661" t="s">
        <v>7</v>
      </c>
      <c r="B19" s="661"/>
      <c r="C19" s="274" t="s">
        <v>1095</v>
      </c>
      <c r="D19" s="145"/>
      <c r="E19" s="145"/>
      <c r="F19" s="145"/>
      <c r="G19" s="133"/>
      <c r="H19" s="133"/>
      <c r="I19" s="133"/>
      <c r="J19" s="133"/>
      <c r="K19" s="316"/>
      <c r="S19" s="10"/>
    </row>
    <row r="20" spans="1:19" ht="14.25">
      <c r="A20" s="14"/>
      <c r="B20" s="9"/>
      <c r="C20" s="9"/>
      <c r="D20" s="9"/>
      <c r="E20" s="9"/>
      <c r="F20" s="9"/>
      <c r="G20" s="9"/>
      <c r="H20" s="9"/>
      <c r="I20" s="9"/>
      <c r="J20" s="9"/>
      <c r="K20" s="357"/>
      <c r="L20" s="9"/>
      <c r="M20" s="9"/>
      <c r="N20" s="9"/>
      <c r="O20" s="9"/>
      <c r="P20" s="9"/>
      <c r="Q20" s="9"/>
      <c r="R20" s="14"/>
      <c r="S20" s="14"/>
    </row>
    <row r="21" spans="1:19" ht="14.25">
      <c r="A21" s="14"/>
      <c r="B21" s="9"/>
      <c r="C21" s="9"/>
      <c r="D21" s="9"/>
      <c r="E21" s="9"/>
      <c r="F21" s="9"/>
      <c r="G21" s="9"/>
      <c r="H21" s="9"/>
      <c r="I21" s="9"/>
      <c r="J21" s="9"/>
      <c r="K21" s="357"/>
      <c r="L21" s="9"/>
      <c r="M21" s="9"/>
      <c r="N21" s="9"/>
      <c r="O21" s="9"/>
      <c r="P21" s="9"/>
      <c r="Q21" s="9"/>
      <c r="R21" s="14"/>
      <c r="S21" s="14"/>
    </row>
    <row r="22" spans="1:19" ht="14.25">
      <c r="A22" s="14"/>
      <c r="B22" s="9"/>
      <c r="C22" s="9"/>
      <c r="D22" s="9"/>
      <c r="E22" s="9"/>
      <c r="F22" s="9"/>
      <c r="G22" s="9"/>
      <c r="H22" s="9"/>
      <c r="I22" s="9"/>
      <c r="J22" s="9"/>
      <c r="K22" s="357"/>
      <c r="L22" s="9"/>
      <c r="M22" s="9"/>
      <c r="N22" s="9"/>
      <c r="O22" s="9"/>
      <c r="P22" s="9"/>
      <c r="Q22" s="9"/>
      <c r="R22" s="14"/>
      <c r="S22" s="14"/>
    </row>
    <row r="23" spans="1:19" ht="14.25">
      <c r="A23" s="14"/>
      <c r="B23" s="9"/>
      <c r="C23" s="9"/>
      <c r="D23" s="9"/>
      <c r="E23" s="9"/>
      <c r="F23" s="9"/>
      <c r="G23" s="9"/>
      <c r="H23" s="9"/>
      <c r="I23" s="9"/>
      <c r="J23" s="9"/>
      <c r="K23" s="357"/>
      <c r="L23" s="9"/>
      <c r="M23" s="9"/>
      <c r="N23" s="9"/>
      <c r="O23" s="9"/>
      <c r="P23" s="9"/>
      <c r="Q23" s="9"/>
      <c r="R23" s="14"/>
      <c r="S23" s="14"/>
    </row>
    <row r="24" spans="1:19" ht="14.25">
      <c r="A24" s="14"/>
      <c r="B24" s="9"/>
      <c r="C24" s="9"/>
      <c r="D24" s="9"/>
      <c r="E24" s="9"/>
      <c r="F24" s="358"/>
      <c r="G24" s="9"/>
      <c r="H24" s="9"/>
      <c r="I24" s="9"/>
      <c r="J24" s="9"/>
      <c r="K24" s="357"/>
      <c r="L24" s="9"/>
      <c r="M24" s="9"/>
      <c r="N24" s="9"/>
      <c r="O24" s="9"/>
      <c r="P24" s="9"/>
      <c r="Q24" s="9"/>
      <c r="R24" s="14"/>
      <c r="S24" s="14"/>
    </row>
    <row r="25" spans="1:19" ht="14.25">
      <c r="A25" s="14"/>
      <c r="B25" s="9"/>
      <c r="C25" s="9"/>
      <c r="D25" s="9"/>
      <c r="E25" s="9"/>
      <c r="F25" s="9"/>
      <c r="G25" s="9"/>
      <c r="H25" s="9"/>
      <c r="I25" s="9"/>
      <c r="J25" s="9"/>
      <c r="K25" s="357"/>
      <c r="L25" s="9"/>
      <c r="M25" s="9"/>
      <c r="N25" s="9"/>
      <c r="O25" s="9"/>
      <c r="P25" s="9"/>
      <c r="Q25" s="9"/>
      <c r="R25" s="14"/>
      <c r="S25" s="14"/>
    </row>
    <row r="26" spans="1:19" ht="14.25">
      <c r="A26" s="14"/>
      <c r="B26" s="9"/>
      <c r="C26" s="9"/>
      <c r="D26" s="9"/>
      <c r="E26" s="9"/>
      <c r="F26" s="9"/>
      <c r="G26" s="9"/>
      <c r="H26" s="9"/>
      <c r="I26" s="9"/>
      <c r="J26" s="9"/>
      <c r="K26" s="357"/>
      <c r="L26" s="9"/>
      <c r="M26" s="9"/>
      <c r="N26" s="9"/>
      <c r="O26" s="9"/>
      <c r="P26" s="9"/>
      <c r="Q26" s="9"/>
      <c r="R26" s="14"/>
      <c r="S26" s="14"/>
    </row>
    <row r="27" spans="1:19" ht="14.25">
      <c r="A27" s="14"/>
      <c r="B27" s="9"/>
      <c r="C27" s="9"/>
      <c r="D27" s="9"/>
      <c r="E27" s="9"/>
      <c r="F27" s="9"/>
      <c r="G27" s="9"/>
      <c r="H27" s="9"/>
      <c r="I27" s="9"/>
      <c r="J27" s="9"/>
      <c r="K27" s="357"/>
      <c r="L27" s="9"/>
      <c r="M27" s="9"/>
      <c r="N27" s="9"/>
      <c r="O27" s="9"/>
      <c r="P27" s="9"/>
      <c r="Q27" s="9"/>
      <c r="R27" s="14"/>
      <c r="S27" s="14"/>
    </row>
    <row r="28" spans="1:19" ht="14.25">
      <c r="A28" s="14"/>
      <c r="B28" s="9"/>
      <c r="C28" s="9"/>
      <c r="D28" s="9"/>
      <c r="E28" s="9"/>
      <c r="F28" s="9"/>
      <c r="G28" s="9"/>
      <c r="H28" s="9"/>
      <c r="I28" s="9"/>
      <c r="J28" s="9"/>
      <c r="K28" s="357"/>
      <c r="L28" s="9"/>
      <c r="M28" s="9"/>
      <c r="N28" s="9"/>
      <c r="O28" s="9"/>
      <c r="P28" s="9"/>
      <c r="Q28" s="9"/>
      <c r="R28" s="14"/>
      <c r="S28" s="14"/>
    </row>
    <row r="29" spans="1:19" ht="14.25">
      <c r="A29" s="14"/>
      <c r="B29" s="9"/>
      <c r="C29" s="9"/>
      <c r="D29" s="9"/>
      <c r="E29" s="9"/>
      <c r="F29" s="9"/>
      <c r="G29" s="9"/>
      <c r="H29" s="9"/>
      <c r="I29" s="9"/>
      <c r="J29" s="9"/>
      <c r="K29" s="357"/>
      <c r="L29" s="9"/>
      <c r="M29" s="9"/>
      <c r="N29" s="9"/>
      <c r="O29" s="9"/>
      <c r="P29" s="9"/>
      <c r="Q29" s="9"/>
      <c r="R29" s="14"/>
      <c r="S29" s="14"/>
    </row>
    <row r="30" spans="1:19" ht="14.25">
      <c r="A30" s="14"/>
      <c r="B30" s="9"/>
      <c r="C30" s="9"/>
      <c r="D30" s="9"/>
      <c r="E30" s="9"/>
      <c r="F30" s="9"/>
      <c r="G30" s="9"/>
      <c r="H30" s="9"/>
      <c r="I30" s="9"/>
      <c r="J30" s="9"/>
      <c r="K30" s="357"/>
      <c r="L30" s="9"/>
      <c r="M30" s="394"/>
      <c r="N30" s="9"/>
      <c r="O30" s="9"/>
      <c r="P30" s="9"/>
      <c r="Q30" s="9"/>
      <c r="R30" s="14"/>
      <c r="S30" s="14"/>
    </row>
    <row r="31" spans="1:19" ht="14.25">
      <c r="A31" s="14"/>
      <c r="B31" s="9"/>
      <c r="C31" s="9"/>
      <c r="D31" s="9"/>
      <c r="E31" s="9"/>
      <c r="F31" s="9"/>
      <c r="G31" s="9"/>
      <c r="H31" s="9"/>
      <c r="I31" s="9"/>
      <c r="J31" s="9"/>
      <c r="K31" s="357"/>
      <c r="L31" s="9"/>
      <c r="M31" s="394"/>
      <c r="N31" s="9"/>
      <c r="O31" s="9"/>
      <c r="P31" s="9"/>
      <c r="Q31" s="9"/>
      <c r="R31" s="14"/>
      <c r="S31" s="14"/>
    </row>
    <row r="32" spans="1:19" ht="14.25">
      <c r="A32" s="14"/>
      <c r="B32" s="9"/>
      <c r="C32" s="9"/>
      <c r="D32" s="9"/>
      <c r="E32" s="9"/>
      <c r="F32" s="9"/>
      <c r="G32" s="9"/>
      <c r="H32" s="9"/>
      <c r="I32" s="9"/>
      <c r="J32" s="9"/>
      <c r="K32" s="357"/>
      <c r="L32" s="9"/>
      <c r="M32" s="394"/>
      <c r="N32" s="9"/>
      <c r="O32" s="9"/>
      <c r="P32" s="9"/>
      <c r="Q32" s="9"/>
      <c r="R32" s="14"/>
      <c r="S32" s="14"/>
    </row>
    <row r="33" spans="1:19" ht="14.25">
      <c r="A33" s="14"/>
      <c r="B33" s="9"/>
      <c r="C33" s="9"/>
      <c r="D33" s="9"/>
      <c r="E33" s="9"/>
      <c r="F33" s="9"/>
      <c r="G33" s="9"/>
      <c r="H33" s="9"/>
      <c r="I33" s="9"/>
      <c r="J33" s="9"/>
      <c r="K33" s="357"/>
      <c r="L33" s="9"/>
      <c r="M33" s="395"/>
      <c r="N33" s="9"/>
      <c r="O33" s="9"/>
      <c r="P33" s="9"/>
      <c r="Q33" s="9"/>
      <c r="R33" s="14"/>
      <c r="S33" s="14"/>
    </row>
    <row r="34" spans="1:19" ht="14.25">
      <c r="A34" s="14"/>
      <c r="B34" s="9"/>
      <c r="C34" s="9"/>
      <c r="D34" s="9"/>
      <c r="E34" s="9"/>
      <c r="F34" s="9"/>
      <c r="G34" s="9"/>
      <c r="H34" s="9"/>
      <c r="I34" s="9"/>
      <c r="J34" s="9"/>
      <c r="K34" s="357"/>
      <c r="L34" s="9"/>
      <c r="M34" s="395"/>
      <c r="N34" s="9"/>
      <c r="O34" s="9"/>
      <c r="P34" s="9"/>
      <c r="Q34" s="9"/>
      <c r="R34" s="14"/>
      <c r="S34" s="14"/>
    </row>
    <row r="35" spans="1:19" ht="14.25">
      <c r="A35" s="14"/>
      <c r="B35" s="9"/>
      <c r="C35" s="9"/>
      <c r="D35" s="9"/>
      <c r="E35" s="9"/>
      <c r="F35" s="9"/>
      <c r="G35" s="9"/>
      <c r="H35" s="9"/>
      <c r="I35" s="9"/>
      <c r="J35" s="9"/>
      <c r="K35" s="357"/>
      <c r="L35" s="9"/>
      <c r="M35" s="395"/>
      <c r="N35" s="9"/>
      <c r="O35" s="9"/>
      <c r="P35" s="9"/>
      <c r="Q35" s="9"/>
      <c r="R35" s="14"/>
      <c r="S35" s="14"/>
    </row>
    <row r="36" spans="1:19" ht="14.25">
      <c r="A36" s="14"/>
      <c r="B36" s="9"/>
      <c r="C36" s="9"/>
      <c r="D36" s="9"/>
      <c r="E36" s="9"/>
      <c r="F36" s="9"/>
      <c r="G36" s="9"/>
      <c r="H36" s="9"/>
      <c r="I36" s="9"/>
      <c r="J36" s="9"/>
      <c r="K36" s="357"/>
      <c r="L36" s="9"/>
      <c r="M36" s="9"/>
      <c r="N36" s="9"/>
      <c r="O36" s="9"/>
      <c r="P36" s="9"/>
      <c r="Q36" s="9"/>
      <c r="R36" s="14"/>
      <c r="S36" s="14"/>
    </row>
    <row r="37" spans="1:19" ht="14.25">
      <c r="A37" s="14"/>
      <c r="B37" s="9"/>
      <c r="C37" s="9"/>
      <c r="D37" s="9"/>
      <c r="E37" s="9"/>
      <c r="F37" s="9"/>
      <c r="G37" s="9"/>
      <c r="H37" s="9"/>
      <c r="I37" s="9"/>
      <c r="J37" s="9"/>
      <c r="K37" s="357"/>
      <c r="L37" s="9"/>
      <c r="M37" s="9"/>
      <c r="N37" s="9"/>
      <c r="O37" s="9"/>
      <c r="P37" s="9"/>
      <c r="Q37" s="9"/>
      <c r="R37" s="14"/>
      <c r="S37" s="14"/>
    </row>
    <row r="38" spans="1:19" ht="14.25">
      <c r="A38" s="14"/>
      <c r="B38" s="9"/>
      <c r="C38" s="9"/>
      <c r="D38" s="9"/>
      <c r="E38" s="9"/>
      <c r="F38" s="9"/>
      <c r="G38" s="9"/>
      <c r="H38" s="9"/>
      <c r="I38" s="9"/>
      <c r="J38" s="9"/>
      <c r="K38" s="357"/>
      <c r="L38" s="9"/>
      <c r="M38" s="9"/>
      <c r="N38" s="9"/>
      <c r="O38" s="9"/>
      <c r="P38" s="9"/>
      <c r="Q38" s="9"/>
      <c r="R38" s="14"/>
      <c r="S38" s="14"/>
    </row>
    <row r="39" spans="1:19" ht="14.25">
      <c r="A39" s="14"/>
      <c r="B39" s="9"/>
      <c r="C39" s="9"/>
      <c r="D39" s="9"/>
      <c r="E39" s="9"/>
      <c r="F39" s="9"/>
      <c r="G39" s="9"/>
      <c r="H39" s="9"/>
      <c r="I39" s="9"/>
      <c r="J39" s="9"/>
      <c r="K39" s="357"/>
      <c r="L39" s="9"/>
      <c r="M39" s="9"/>
      <c r="N39" s="9"/>
      <c r="O39" s="9"/>
      <c r="P39" s="9"/>
      <c r="Q39" s="9"/>
      <c r="R39" s="14"/>
      <c r="S39" s="14"/>
    </row>
    <row r="40" spans="1:19" ht="14.25">
      <c r="A40" s="14"/>
      <c r="B40" s="9"/>
      <c r="C40" s="9"/>
      <c r="D40" s="9"/>
      <c r="E40" s="9"/>
      <c r="F40" s="9"/>
      <c r="G40" s="9"/>
      <c r="H40" s="9"/>
      <c r="I40" s="9"/>
      <c r="J40" s="9"/>
      <c r="K40" s="357"/>
      <c r="L40" s="9"/>
      <c r="M40" s="9"/>
      <c r="N40" s="9"/>
      <c r="O40" s="9"/>
      <c r="P40" s="9"/>
      <c r="Q40" s="9"/>
      <c r="R40" s="14"/>
      <c r="S40" s="14"/>
    </row>
    <row r="41" spans="1:19" ht="14.25">
      <c r="A41" s="14"/>
      <c r="B41" s="9"/>
      <c r="C41" s="9"/>
      <c r="D41" s="9"/>
      <c r="E41" s="9"/>
      <c r="F41" s="9"/>
      <c r="G41" s="9"/>
      <c r="H41" s="9"/>
      <c r="I41" s="9"/>
      <c r="J41" s="9"/>
      <c r="K41" s="357"/>
      <c r="L41" s="9"/>
      <c r="M41" s="9"/>
      <c r="N41" s="9"/>
      <c r="O41" s="9"/>
      <c r="P41" s="9"/>
      <c r="Q41" s="9"/>
      <c r="R41" s="14"/>
      <c r="S41" s="14"/>
    </row>
    <row r="42" spans="1:19" ht="14.25">
      <c r="A42" s="14"/>
      <c r="B42" s="9"/>
      <c r="C42" s="9"/>
      <c r="D42" s="9"/>
      <c r="E42" s="9"/>
      <c r="F42" s="9"/>
      <c r="G42" s="9"/>
      <c r="H42" s="9"/>
      <c r="I42" s="9"/>
      <c r="J42" s="9"/>
      <c r="K42" s="357"/>
      <c r="L42" s="9"/>
      <c r="M42" s="9"/>
      <c r="N42" s="9"/>
      <c r="O42" s="9"/>
      <c r="P42" s="9"/>
      <c r="Q42" s="9"/>
      <c r="R42" s="14"/>
      <c r="S42" s="14"/>
    </row>
    <row r="43" spans="1:19" ht="14.25">
      <c r="A43" s="14"/>
      <c r="B43" s="9"/>
      <c r="C43" s="9"/>
      <c r="D43" s="9"/>
      <c r="E43" s="9"/>
      <c r="F43" s="9"/>
      <c r="G43" s="9"/>
      <c r="H43" s="9"/>
      <c r="I43" s="9"/>
      <c r="J43" s="9"/>
      <c r="K43" s="357"/>
      <c r="L43" s="9"/>
      <c r="M43" s="9"/>
      <c r="N43" s="9"/>
      <c r="O43" s="9"/>
      <c r="P43" s="9"/>
      <c r="Q43" s="9"/>
      <c r="R43" s="14"/>
      <c r="S43" s="14"/>
    </row>
    <row r="44" spans="1:19" ht="14.25">
      <c r="A44" s="14"/>
      <c r="B44" s="9"/>
      <c r="C44" s="9"/>
      <c r="D44" s="9"/>
      <c r="E44" s="9"/>
      <c r="F44" s="9"/>
      <c r="G44" s="9"/>
      <c r="H44" s="9"/>
      <c r="I44" s="9"/>
      <c r="J44" s="9"/>
      <c r="K44" s="357"/>
      <c r="L44" s="9"/>
      <c r="M44" s="9"/>
      <c r="N44" s="9"/>
      <c r="O44" s="9"/>
      <c r="P44" s="9"/>
      <c r="Q44" s="9"/>
      <c r="R44" s="14"/>
      <c r="S44" s="14"/>
    </row>
    <row r="45" spans="1:19" ht="14.25">
      <c r="A45" s="14"/>
      <c r="B45" s="9"/>
      <c r="C45" s="9"/>
      <c r="D45" s="9"/>
      <c r="E45" s="9"/>
      <c r="F45" s="9"/>
      <c r="G45" s="9"/>
      <c r="H45" s="9"/>
      <c r="I45" s="9"/>
      <c r="J45" s="9"/>
      <c r="K45" s="357"/>
      <c r="L45" s="9"/>
      <c r="M45" s="9"/>
      <c r="N45" s="9"/>
      <c r="O45" s="9"/>
      <c r="P45" s="9"/>
      <c r="Q45" s="9"/>
      <c r="R45" s="14"/>
      <c r="S45" s="14"/>
    </row>
    <row r="46" spans="1:19" ht="14.25">
      <c r="A46" s="14"/>
      <c r="B46" s="9"/>
      <c r="C46" s="9"/>
      <c r="D46" s="9"/>
      <c r="E46" s="9"/>
      <c r="F46" s="9"/>
      <c r="G46" s="9"/>
      <c r="H46" s="9"/>
      <c r="I46" s="9"/>
      <c r="J46" s="9"/>
      <c r="K46" s="357"/>
      <c r="L46" s="9"/>
      <c r="M46" s="9"/>
      <c r="N46" s="9"/>
      <c r="O46" s="9"/>
      <c r="P46" s="9"/>
      <c r="Q46" s="9"/>
      <c r="R46" s="14"/>
      <c r="S46" s="14"/>
    </row>
    <row r="47" spans="1:19" ht="14.25">
      <c r="A47" s="14"/>
      <c r="B47" s="9"/>
      <c r="C47" s="9"/>
      <c r="D47" s="9"/>
      <c r="E47" s="9"/>
      <c r="F47" s="9"/>
      <c r="G47" s="9"/>
      <c r="H47" s="9"/>
      <c r="I47" s="9"/>
      <c r="J47" s="9"/>
      <c r="K47" s="357"/>
      <c r="L47" s="9"/>
      <c r="M47" s="9"/>
      <c r="N47" s="9"/>
      <c r="O47" s="9"/>
      <c r="P47" s="9"/>
      <c r="Q47" s="9"/>
      <c r="R47" s="14"/>
      <c r="S47" s="14"/>
    </row>
    <row r="48" spans="1:19" ht="14.25">
      <c r="A48" s="14"/>
      <c r="B48" s="9"/>
      <c r="C48" s="9"/>
      <c r="D48" s="9"/>
      <c r="E48" s="9"/>
      <c r="F48" s="9"/>
      <c r="G48" s="9"/>
      <c r="H48" s="9"/>
      <c r="I48" s="9"/>
      <c r="J48" s="9"/>
      <c r="K48" s="357"/>
      <c r="L48" s="9"/>
      <c r="M48" s="9"/>
      <c r="N48" s="9"/>
      <c r="O48" s="9"/>
      <c r="P48" s="9"/>
      <c r="Q48" s="9"/>
      <c r="R48" s="14"/>
      <c r="S48" s="14"/>
    </row>
    <row r="49" spans="1:19" ht="14.25">
      <c r="A49" s="14"/>
      <c r="B49" s="9"/>
      <c r="C49" s="9"/>
      <c r="D49" s="9"/>
      <c r="E49" s="9"/>
      <c r="F49" s="9"/>
      <c r="G49" s="9"/>
      <c r="H49" s="9"/>
      <c r="I49" s="9"/>
      <c r="J49" s="9"/>
      <c r="K49" s="357"/>
      <c r="L49" s="9"/>
      <c r="M49" s="9"/>
      <c r="N49" s="9"/>
      <c r="O49" s="9"/>
      <c r="P49" s="9"/>
      <c r="Q49" s="9"/>
      <c r="R49" s="14"/>
      <c r="S49" s="14"/>
    </row>
    <row r="50" spans="1:19" ht="14.25">
      <c r="A50" s="14"/>
      <c r="B50" s="9"/>
      <c r="C50" s="9"/>
      <c r="D50" s="9"/>
      <c r="E50" s="9"/>
      <c r="F50" s="9"/>
      <c r="G50" s="9"/>
      <c r="H50" s="9"/>
      <c r="I50" s="9"/>
      <c r="J50" s="9"/>
      <c r="K50" s="357"/>
      <c r="L50" s="9"/>
      <c r="M50" s="9"/>
      <c r="N50" s="9"/>
      <c r="O50" s="9"/>
      <c r="P50" s="9"/>
      <c r="Q50" s="9"/>
      <c r="R50" s="14"/>
      <c r="S50" s="14"/>
    </row>
    <row r="51" spans="1:19" ht="14.25">
      <c r="A51" s="14"/>
      <c r="B51" s="9"/>
      <c r="C51" s="9"/>
      <c r="D51" s="9"/>
      <c r="E51" s="9"/>
      <c r="F51" s="9"/>
      <c r="G51" s="9"/>
      <c r="H51" s="9"/>
      <c r="I51" s="9"/>
      <c r="J51" s="9"/>
      <c r="K51" s="357"/>
      <c r="L51" s="9"/>
      <c r="M51" s="9"/>
      <c r="N51" s="9"/>
      <c r="O51" s="9"/>
      <c r="P51" s="9"/>
      <c r="Q51" s="9"/>
      <c r="R51" s="14"/>
      <c r="S51" s="14"/>
    </row>
    <row r="52" spans="1:19" ht="14.25">
      <c r="A52" s="14"/>
      <c r="B52" s="9"/>
      <c r="C52" s="9"/>
      <c r="D52" s="9"/>
      <c r="E52" s="9"/>
      <c r="F52" s="9"/>
      <c r="G52" s="9"/>
      <c r="H52" s="9"/>
      <c r="I52" s="9"/>
      <c r="J52" s="9"/>
      <c r="K52" s="357"/>
      <c r="L52" s="9"/>
      <c r="M52" s="9"/>
      <c r="N52" s="9"/>
      <c r="O52" s="9"/>
      <c r="P52" s="9"/>
      <c r="Q52" s="9"/>
      <c r="R52" s="14"/>
      <c r="S52" s="14"/>
    </row>
    <row r="53" spans="1:19" ht="14.25">
      <c r="A53" s="14"/>
      <c r="B53" s="9"/>
      <c r="C53" s="9"/>
      <c r="D53" s="9"/>
      <c r="E53" s="9"/>
      <c r="F53" s="9"/>
      <c r="G53" s="9"/>
      <c r="H53" s="9"/>
      <c r="I53" s="9"/>
      <c r="J53" s="9"/>
      <c r="K53" s="357"/>
      <c r="L53" s="9"/>
      <c r="M53" s="9"/>
      <c r="N53" s="9"/>
      <c r="O53" s="9"/>
      <c r="P53" s="9"/>
      <c r="Q53" s="9"/>
      <c r="R53" s="14"/>
      <c r="S53" s="14"/>
    </row>
    <row r="54" spans="1:19" ht="14.25">
      <c r="A54" s="14"/>
      <c r="B54" s="9"/>
      <c r="C54" s="9"/>
      <c r="D54" s="9"/>
      <c r="E54" s="9"/>
      <c r="F54" s="9"/>
      <c r="G54" s="9"/>
      <c r="H54" s="9"/>
      <c r="I54" s="9"/>
      <c r="J54" s="9"/>
      <c r="K54" s="357"/>
      <c r="L54" s="9"/>
      <c r="M54" s="9"/>
      <c r="N54" s="9"/>
      <c r="O54" s="9"/>
      <c r="P54" s="9"/>
      <c r="Q54" s="9"/>
      <c r="R54" s="14"/>
      <c r="S54" s="14"/>
    </row>
    <row r="55" spans="1:19" ht="14.25">
      <c r="A55" s="14"/>
      <c r="B55" s="9"/>
      <c r="C55" s="9"/>
      <c r="D55" s="9"/>
      <c r="E55" s="9"/>
      <c r="F55" s="9"/>
      <c r="G55" s="9"/>
      <c r="H55" s="9"/>
      <c r="I55" s="9"/>
      <c r="J55" s="9"/>
      <c r="K55" s="357"/>
      <c r="L55" s="9"/>
      <c r="M55" s="9"/>
      <c r="N55" s="9"/>
      <c r="O55" s="9"/>
      <c r="P55" s="9"/>
      <c r="Q55" s="9"/>
      <c r="R55" s="14"/>
      <c r="S55" s="14"/>
    </row>
    <row r="56" spans="1:19" ht="14.25">
      <c r="A56" s="14"/>
      <c r="B56" s="9"/>
      <c r="C56" s="9"/>
      <c r="D56" s="9"/>
      <c r="E56" s="9"/>
      <c r="F56" s="9"/>
      <c r="G56" s="9"/>
      <c r="H56" s="9"/>
      <c r="I56" s="9"/>
      <c r="J56" s="9"/>
      <c r="K56" s="357"/>
      <c r="L56" s="9"/>
      <c r="M56" s="9"/>
      <c r="N56" s="9"/>
      <c r="O56" s="9"/>
      <c r="P56" s="9"/>
      <c r="Q56" s="9"/>
      <c r="R56" s="14"/>
      <c r="S56" s="14"/>
    </row>
    <row r="57" spans="1:19" ht="14.25">
      <c r="A57" s="14"/>
      <c r="B57" s="9"/>
      <c r="C57" s="9"/>
      <c r="D57" s="9"/>
      <c r="E57" s="9"/>
      <c r="F57" s="9"/>
      <c r="G57" s="9"/>
      <c r="H57" s="9"/>
      <c r="I57" s="9"/>
      <c r="J57" s="9"/>
      <c r="K57" s="357"/>
      <c r="L57" s="9"/>
      <c r="M57" s="9"/>
      <c r="N57" s="9"/>
      <c r="O57" s="9"/>
      <c r="P57" s="9"/>
      <c r="Q57" s="9"/>
      <c r="R57" s="14"/>
      <c r="S57" s="14"/>
    </row>
    <row r="58" spans="1:19" ht="14.25">
      <c r="A58" s="14"/>
      <c r="B58" s="9"/>
      <c r="C58" s="9"/>
      <c r="D58" s="9"/>
      <c r="E58" s="9"/>
      <c r="F58" s="9"/>
      <c r="G58" s="9"/>
      <c r="H58" s="9"/>
      <c r="I58" s="9"/>
      <c r="J58" s="9"/>
      <c r="K58" s="357"/>
      <c r="L58" s="9"/>
      <c r="M58" s="9"/>
      <c r="N58" s="9"/>
      <c r="O58" s="9"/>
      <c r="P58" s="9"/>
      <c r="Q58" s="9"/>
      <c r="R58" s="14"/>
      <c r="S58" s="14"/>
    </row>
    <row r="59" spans="1:19" ht="14.25">
      <c r="A59" s="14"/>
      <c r="B59" s="9"/>
      <c r="C59" s="9"/>
      <c r="D59" s="9"/>
      <c r="E59" s="9"/>
      <c r="F59" s="9"/>
      <c r="G59" s="9"/>
      <c r="H59" s="9"/>
      <c r="I59" s="9"/>
      <c r="J59" s="9"/>
      <c r="K59" s="357"/>
      <c r="L59" s="9"/>
      <c r="M59" s="9"/>
      <c r="N59" s="9"/>
      <c r="O59" s="9"/>
      <c r="P59" s="9"/>
      <c r="Q59" s="9"/>
      <c r="R59" s="14"/>
      <c r="S59" s="14"/>
    </row>
    <row r="60" spans="1:19" ht="14.25">
      <c r="A60" s="14"/>
      <c r="B60" s="9"/>
      <c r="C60" s="9"/>
      <c r="D60" s="9"/>
      <c r="E60" s="9"/>
      <c r="F60" s="9"/>
      <c r="G60" s="9"/>
      <c r="H60" s="9"/>
      <c r="I60" s="9"/>
      <c r="J60" s="9"/>
      <c r="K60" s="357"/>
      <c r="L60" s="9"/>
      <c r="M60" s="9"/>
      <c r="N60" s="9"/>
      <c r="O60" s="9"/>
      <c r="P60" s="9"/>
      <c r="Q60" s="9"/>
      <c r="R60" s="14"/>
      <c r="S60" s="14"/>
    </row>
    <row r="61" spans="1:19" ht="14.25">
      <c r="A61" s="14"/>
      <c r="B61" s="9"/>
      <c r="C61" s="9"/>
      <c r="D61" s="9"/>
      <c r="E61" s="9"/>
      <c r="F61" s="9"/>
      <c r="G61" s="9"/>
      <c r="H61" s="9"/>
      <c r="I61" s="9"/>
      <c r="J61" s="9"/>
      <c r="K61" s="357"/>
      <c r="L61" s="9"/>
      <c r="M61" s="9"/>
      <c r="N61" s="9"/>
      <c r="O61" s="9"/>
      <c r="P61" s="9"/>
      <c r="Q61" s="9"/>
      <c r="R61" s="14"/>
      <c r="S61" s="14"/>
    </row>
    <row r="62" spans="1:19" ht="14.25">
      <c r="A62" s="14"/>
      <c r="B62" s="9"/>
      <c r="C62" s="9"/>
      <c r="D62" s="9"/>
      <c r="E62" s="9"/>
      <c r="F62" s="9"/>
      <c r="G62" s="9"/>
      <c r="H62" s="9"/>
      <c r="I62" s="9"/>
      <c r="J62" s="9"/>
      <c r="K62" s="357"/>
      <c r="L62" s="9"/>
      <c r="M62" s="9"/>
      <c r="N62" s="9"/>
      <c r="O62" s="9"/>
      <c r="P62" s="9"/>
      <c r="Q62" s="9"/>
      <c r="R62" s="14"/>
      <c r="S62" s="14"/>
    </row>
    <row r="63" spans="1:19" ht="14.25">
      <c r="A63" s="14"/>
      <c r="B63" s="9"/>
      <c r="C63" s="9"/>
      <c r="D63" s="9"/>
      <c r="E63" s="9"/>
      <c r="F63" s="9"/>
      <c r="G63" s="9"/>
      <c r="H63" s="9"/>
      <c r="I63" s="9"/>
      <c r="J63" s="9"/>
      <c r="K63" s="357"/>
      <c r="L63" s="9"/>
      <c r="M63" s="9"/>
      <c r="N63" s="9"/>
      <c r="O63" s="9"/>
      <c r="P63" s="9"/>
      <c r="Q63" s="9"/>
      <c r="R63" s="14"/>
      <c r="S63" s="14"/>
    </row>
    <row r="64" spans="1:19" ht="14.25">
      <c r="A64" s="14"/>
      <c r="B64" s="9"/>
      <c r="C64" s="9"/>
      <c r="D64" s="9"/>
      <c r="E64" s="9"/>
      <c r="F64" s="9"/>
      <c r="G64" s="9"/>
      <c r="H64" s="9"/>
      <c r="I64" s="9"/>
      <c r="J64" s="9"/>
      <c r="K64" s="357"/>
      <c r="L64" s="9"/>
      <c r="M64" s="9"/>
      <c r="N64" s="9"/>
      <c r="O64" s="9"/>
      <c r="P64" s="9"/>
      <c r="Q64" s="9"/>
      <c r="R64" s="14"/>
      <c r="S64" s="14"/>
    </row>
    <row r="65" spans="1:19" ht="14.25">
      <c r="A65" s="14"/>
      <c r="B65" s="9"/>
      <c r="C65" s="9"/>
      <c r="D65" s="9"/>
      <c r="E65" s="9"/>
      <c r="F65" s="9"/>
      <c r="G65" s="9"/>
      <c r="H65" s="9"/>
      <c r="I65" s="9"/>
      <c r="J65" s="9"/>
      <c r="K65" s="357"/>
      <c r="L65" s="9"/>
      <c r="M65" s="9"/>
      <c r="N65" s="9"/>
      <c r="O65" s="9"/>
      <c r="P65" s="9"/>
      <c r="Q65" s="9"/>
      <c r="R65" s="14"/>
      <c r="S65" s="14"/>
    </row>
    <row r="66" spans="1:19" ht="14.25">
      <c r="A66" s="14"/>
      <c r="B66" s="9"/>
      <c r="C66" s="9"/>
      <c r="D66" s="9"/>
      <c r="E66" s="9"/>
      <c r="F66" s="9"/>
      <c r="G66" s="9"/>
      <c r="H66" s="9"/>
      <c r="I66" s="9"/>
      <c r="J66" s="9"/>
      <c r="K66" s="357"/>
      <c r="L66" s="9"/>
      <c r="M66" s="9"/>
      <c r="N66" s="9"/>
      <c r="O66" s="9"/>
      <c r="P66" s="9"/>
      <c r="Q66" s="9"/>
      <c r="R66" s="14"/>
      <c r="S66" s="14"/>
    </row>
    <row r="67" spans="1:19" ht="14.25">
      <c r="A67" s="14"/>
      <c r="B67" s="9"/>
      <c r="C67" s="9"/>
      <c r="D67" s="9"/>
      <c r="E67" s="9"/>
      <c r="F67" s="9"/>
      <c r="G67" s="9"/>
      <c r="H67" s="9"/>
      <c r="I67" s="9"/>
      <c r="J67" s="9"/>
      <c r="K67" s="357"/>
      <c r="L67" s="9"/>
      <c r="M67" s="9"/>
      <c r="N67" s="9"/>
      <c r="O67" s="9"/>
      <c r="P67" s="9"/>
      <c r="Q67" s="9"/>
      <c r="R67" s="14"/>
      <c r="S67" s="14"/>
    </row>
    <row r="68" spans="1:19" ht="14.25">
      <c r="A68" s="14"/>
      <c r="B68" s="9"/>
      <c r="C68" s="9"/>
      <c r="D68" s="9"/>
      <c r="E68" s="9"/>
      <c r="F68" s="9"/>
      <c r="G68" s="9"/>
      <c r="H68" s="9"/>
      <c r="I68" s="9"/>
      <c r="J68" s="9"/>
      <c r="K68" s="357"/>
      <c r="L68" s="9"/>
      <c r="M68" s="9"/>
      <c r="N68" s="9"/>
      <c r="O68" s="9"/>
      <c r="P68" s="9"/>
      <c r="Q68" s="9"/>
      <c r="R68" s="14"/>
      <c r="S68" s="14"/>
    </row>
    <row r="69" spans="1:19" ht="14.25">
      <c r="A69" s="14"/>
      <c r="B69" s="9"/>
      <c r="C69" s="9"/>
      <c r="D69" s="9"/>
      <c r="E69" s="9"/>
      <c r="F69" s="9"/>
      <c r="G69" s="9"/>
      <c r="H69" s="9"/>
      <c r="I69" s="9"/>
      <c r="J69" s="9"/>
      <c r="K69" s="357"/>
      <c r="L69" s="9"/>
      <c r="M69" s="9"/>
      <c r="N69" s="9"/>
      <c r="O69" s="9"/>
      <c r="P69" s="9"/>
      <c r="Q69" s="9"/>
      <c r="R69" s="14"/>
      <c r="S69" s="14"/>
    </row>
    <row r="70" spans="1:19" ht="14.25">
      <c r="A70" s="14"/>
      <c r="B70" s="9"/>
      <c r="C70" s="9"/>
      <c r="D70" s="9"/>
      <c r="E70" s="9"/>
      <c r="F70" s="9"/>
      <c r="G70" s="9"/>
      <c r="H70" s="9"/>
      <c r="I70" s="9"/>
      <c r="J70" s="9"/>
      <c r="K70" s="357"/>
      <c r="L70" s="9"/>
      <c r="M70" s="9"/>
      <c r="N70" s="9"/>
      <c r="O70" s="9"/>
      <c r="P70" s="9"/>
      <c r="Q70" s="9"/>
      <c r="R70" s="14"/>
      <c r="S70" s="14"/>
    </row>
    <row r="71" spans="1:19" ht="14.25">
      <c r="A71" s="14"/>
      <c r="B71" s="9"/>
      <c r="C71" s="9"/>
      <c r="D71" s="9"/>
      <c r="E71" s="9"/>
      <c r="F71" s="9"/>
      <c r="G71" s="9"/>
      <c r="H71" s="9"/>
      <c r="I71" s="9"/>
      <c r="J71" s="9"/>
      <c r="K71" s="357"/>
      <c r="L71" s="9"/>
      <c r="M71" s="9"/>
      <c r="N71" s="9"/>
      <c r="O71" s="9"/>
      <c r="P71" s="9"/>
      <c r="Q71" s="9"/>
      <c r="R71" s="14"/>
      <c r="S71" s="14"/>
    </row>
    <row r="72" spans="1:19" ht="14.25">
      <c r="A72" s="14"/>
      <c r="B72" s="9"/>
      <c r="C72" s="9"/>
      <c r="D72" s="9"/>
      <c r="E72" s="9"/>
      <c r="F72" s="9"/>
      <c r="G72" s="9"/>
      <c r="H72" s="9"/>
      <c r="I72" s="9"/>
      <c r="J72" s="9"/>
      <c r="K72" s="357"/>
      <c r="L72" s="9"/>
      <c r="M72" s="9"/>
      <c r="N72" s="9"/>
      <c r="O72" s="9"/>
      <c r="P72" s="9"/>
      <c r="Q72" s="9"/>
      <c r="R72" s="14"/>
      <c r="S72" s="14"/>
    </row>
    <row r="73" spans="1:19" ht="14.25">
      <c r="A73" s="14"/>
      <c r="B73" s="9"/>
      <c r="C73" s="9"/>
      <c r="D73" s="9"/>
      <c r="E73" s="9"/>
      <c r="F73" s="9"/>
      <c r="G73" s="9"/>
      <c r="H73" s="9"/>
      <c r="I73" s="9"/>
      <c r="J73" s="9"/>
      <c r="K73" s="357"/>
      <c r="L73" s="9"/>
      <c r="M73" s="9"/>
      <c r="N73" s="9"/>
      <c r="O73" s="9"/>
      <c r="P73" s="9"/>
      <c r="Q73" s="9"/>
      <c r="R73" s="14"/>
      <c r="S73" s="14"/>
    </row>
    <row r="74" spans="1:19" ht="14.25">
      <c r="A74" s="14"/>
      <c r="B74" s="9"/>
      <c r="C74" s="9"/>
      <c r="D74" s="9"/>
      <c r="E74" s="9"/>
      <c r="F74" s="9"/>
      <c r="G74" s="9"/>
      <c r="H74" s="9"/>
      <c r="I74" s="9"/>
      <c r="J74" s="9"/>
      <c r="K74" s="357"/>
      <c r="L74" s="9"/>
      <c r="M74" s="9"/>
      <c r="N74" s="9"/>
      <c r="O74" s="9"/>
      <c r="P74" s="9"/>
      <c r="Q74" s="9"/>
      <c r="R74" s="14"/>
      <c r="S74" s="14"/>
    </row>
    <row r="75" spans="1:19" ht="14.25">
      <c r="A75" s="14"/>
      <c r="B75" s="9"/>
      <c r="C75" s="9"/>
      <c r="D75" s="9"/>
      <c r="E75" s="9"/>
      <c r="F75" s="9"/>
      <c r="G75" s="9"/>
      <c r="H75" s="9"/>
      <c r="I75" s="9"/>
      <c r="J75" s="9"/>
      <c r="K75" s="357"/>
      <c r="L75" s="9"/>
      <c r="M75" s="9"/>
      <c r="N75" s="9"/>
      <c r="O75" s="9"/>
      <c r="P75" s="9"/>
      <c r="Q75" s="9"/>
      <c r="R75" s="14"/>
      <c r="S75" s="14"/>
    </row>
    <row r="76" spans="1:19" ht="14.25">
      <c r="A76" s="14"/>
      <c r="B76" s="9"/>
      <c r="C76" s="9"/>
      <c r="D76" s="9"/>
      <c r="E76" s="9"/>
      <c r="F76" s="9"/>
      <c r="G76" s="9"/>
      <c r="H76" s="9"/>
      <c r="I76" s="9"/>
      <c r="J76" s="9"/>
      <c r="K76" s="357"/>
      <c r="L76" s="9"/>
      <c r="M76" s="9"/>
      <c r="N76" s="9"/>
      <c r="O76" s="9"/>
      <c r="P76" s="9"/>
      <c r="Q76" s="9"/>
      <c r="R76" s="14"/>
      <c r="S76" s="14"/>
    </row>
    <row r="77" spans="1:19" ht="14.25">
      <c r="A77" s="14"/>
      <c r="B77" s="9"/>
      <c r="C77" s="9"/>
      <c r="D77" s="9"/>
      <c r="E77" s="9"/>
      <c r="F77" s="9"/>
      <c r="G77" s="9"/>
      <c r="H77" s="9"/>
      <c r="I77" s="9"/>
      <c r="J77" s="9"/>
      <c r="K77" s="357"/>
      <c r="L77" s="9"/>
      <c r="M77" s="9"/>
      <c r="N77" s="9"/>
      <c r="O77" s="9"/>
      <c r="P77" s="9"/>
      <c r="Q77" s="9"/>
      <c r="R77" s="14"/>
      <c r="S77" s="14"/>
    </row>
    <row r="78" spans="1:19" ht="14.25">
      <c r="A78" s="14"/>
      <c r="B78" s="9"/>
      <c r="C78" s="9"/>
      <c r="D78" s="9"/>
      <c r="E78" s="9"/>
      <c r="F78" s="9"/>
      <c r="G78" s="9"/>
      <c r="H78" s="9"/>
      <c r="I78" s="9"/>
      <c r="J78" s="9"/>
      <c r="K78" s="357"/>
      <c r="L78" s="9"/>
      <c r="M78" s="9"/>
      <c r="N78" s="9"/>
      <c r="O78" s="9"/>
      <c r="P78" s="9"/>
      <c r="Q78" s="9"/>
      <c r="R78" s="14"/>
      <c r="S78" s="14"/>
    </row>
    <row r="79" spans="1:19" ht="14.25">
      <c r="A79" s="14"/>
      <c r="B79" s="9"/>
      <c r="C79" s="9"/>
      <c r="D79" s="9"/>
      <c r="E79" s="9"/>
      <c r="F79" s="9"/>
      <c r="G79" s="9"/>
      <c r="H79" s="9"/>
      <c r="I79" s="9"/>
      <c r="J79" s="9"/>
      <c r="K79" s="357"/>
      <c r="L79" s="9"/>
      <c r="M79" s="9"/>
      <c r="N79" s="9"/>
      <c r="O79" s="9"/>
      <c r="P79" s="9"/>
      <c r="Q79" s="9"/>
      <c r="R79" s="14"/>
      <c r="S79" s="14"/>
    </row>
    <row r="80" spans="1:19" ht="14.25">
      <c r="A80" s="14"/>
      <c r="B80" s="9"/>
      <c r="C80" s="9"/>
      <c r="D80" s="9"/>
      <c r="E80" s="9"/>
      <c r="F80" s="9"/>
      <c r="G80" s="9"/>
      <c r="H80" s="9"/>
      <c r="I80" s="9"/>
      <c r="J80" s="9"/>
      <c r="K80" s="357"/>
      <c r="L80" s="9"/>
      <c r="M80" s="9"/>
      <c r="N80" s="9"/>
      <c r="O80" s="9"/>
      <c r="P80" s="9"/>
      <c r="Q80" s="9"/>
      <c r="R80" s="14"/>
      <c r="S80" s="14"/>
    </row>
    <row r="81" spans="1:19" ht="14.25">
      <c r="A81" s="14"/>
      <c r="B81" s="9"/>
      <c r="C81" s="9"/>
      <c r="D81" s="9"/>
      <c r="E81" s="9"/>
      <c r="F81" s="9"/>
      <c r="G81" s="9"/>
      <c r="H81" s="9"/>
      <c r="I81" s="9"/>
      <c r="J81" s="9"/>
      <c r="K81" s="357"/>
      <c r="L81" s="9"/>
      <c r="M81" s="9"/>
      <c r="N81" s="9"/>
      <c r="O81" s="9"/>
      <c r="P81" s="9"/>
      <c r="Q81" s="9"/>
      <c r="R81" s="14"/>
      <c r="S81" s="14"/>
    </row>
    <row r="82" spans="1:19" ht="14.25">
      <c r="A82" s="14"/>
      <c r="B82" s="9"/>
      <c r="C82" s="9"/>
      <c r="D82" s="9"/>
      <c r="E82" s="9"/>
      <c r="F82" s="9"/>
      <c r="G82" s="9"/>
      <c r="H82" s="9"/>
      <c r="I82" s="9"/>
      <c r="J82" s="9"/>
      <c r="K82" s="357"/>
      <c r="L82" s="9"/>
      <c r="M82" s="9"/>
      <c r="N82" s="9"/>
      <c r="O82" s="9"/>
      <c r="P82" s="9"/>
      <c r="Q82" s="9"/>
      <c r="R82" s="14"/>
      <c r="S82" s="14"/>
    </row>
    <row r="83" spans="1:19" ht="14.25">
      <c r="A83" s="14"/>
      <c r="B83" s="9"/>
      <c r="C83" s="9"/>
      <c r="D83" s="9"/>
      <c r="E83" s="9"/>
      <c r="F83" s="9"/>
      <c r="G83" s="9"/>
      <c r="H83" s="9"/>
      <c r="I83" s="9"/>
      <c r="J83" s="9"/>
      <c r="K83" s="357"/>
      <c r="L83" s="9"/>
      <c r="M83" s="9"/>
      <c r="N83" s="9"/>
      <c r="O83" s="9"/>
      <c r="P83" s="9"/>
      <c r="Q83" s="9"/>
      <c r="R83" s="14"/>
      <c r="S83" s="14"/>
    </row>
    <row r="84" spans="1:19" ht="14.25">
      <c r="A84" s="14"/>
      <c r="B84" s="9"/>
      <c r="C84" s="9"/>
      <c r="D84" s="9"/>
      <c r="E84" s="9"/>
      <c r="F84" s="9"/>
      <c r="G84" s="9"/>
      <c r="H84" s="9"/>
      <c r="I84" s="9"/>
      <c r="J84" s="9"/>
      <c r="K84" s="357"/>
      <c r="L84" s="9"/>
      <c r="M84" s="9"/>
      <c r="N84" s="9"/>
      <c r="O84" s="9"/>
      <c r="P84" s="9"/>
      <c r="Q84" s="9"/>
      <c r="R84" s="14"/>
      <c r="S84" s="14"/>
    </row>
    <row r="85" spans="1:19" ht="14.25">
      <c r="A85" s="14"/>
      <c r="B85" s="9"/>
      <c r="C85" s="9"/>
      <c r="D85" s="9"/>
      <c r="E85" s="9"/>
      <c r="F85" s="9"/>
      <c r="G85" s="9"/>
      <c r="H85" s="9"/>
      <c r="I85" s="9"/>
      <c r="J85" s="9"/>
      <c r="K85" s="357"/>
      <c r="L85" s="9"/>
      <c r="M85" s="9"/>
      <c r="N85" s="9"/>
      <c r="O85" s="9"/>
      <c r="P85" s="9"/>
      <c r="Q85" s="9"/>
      <c r="R85" s="14"/>
      <c r="S85" s="14"/>
    </row>
    <row r="86" spans="1:19" ht="14.25">
      <c r="A86" s="14"/>
      <c r="B86" s="9"/>
      <c r="C86" s="9"/>
      <c r="D86" s="9"/>
      <c r="E86" s="9"/>
      <c r="F86" s="9"/>
      <c r="G86" s="9"/>
      <c r="H86" s="9"/>
      <c r="I86" s="9"/>
      <c r="J86" s="9"/>
      <c r="K86" s="357"/>
      <c r="L86" s="9"/>
      <c r="M86" s="9"/>
      <c r="N86" s="9"/>
      <c r="O86" s="9"/>
      <c r="P86" s="9"/>
      <c r="Q86" s="9"/>
      <c r="R86" s="14"/>
      <c r="S86" s="14"/>
    </row>
    <row r="87" spans="1:19" ht="14.25">
      <c r="A87" s="14"/>
      <c r="B87" s="9"/>
      <c r="C87" s="9"/>
      <c r="D87" s="9"/>
      <c r="E87" s="9"/>
      <c r="F87" s="9"/>
      <c r="G87" s="9"/>
      <c r="H87" s="9"/>
      <c r="I87" s="9"/>
      <c r="J87" s="9"/>
      <c r="K87" s="357"/>
      <c r="L87" s="9"/>
      <c r="M87" s="9"/>
      <c r="N87" s="9"/>
      <c r="O87" s="9"/>
      <c r="P87" s="9"/>
      <c r="Q87" s="9"/>
      <c r="R87" s="14"/>
      <c r="S87" s="14"/>
    </row>
    <row r="88" spans="1:19" ht="14.25">
      <c r="A88" s="14"/>
      <c r="B88" s="9"/>
      <c r="C88" s="9"/>
      <c r="D88" s="9"/>
      <c r="E88" s="9"/>
      <c r="F88" s="9"/>
      <c r="G88" s="9"/>
      <c r="H88" s="9"/>
      <c r="I88" s="9"/>
      <c r="J88" s="9"/>
      <c r="K88" s="357"/>
      <c r="L88" s="9"/>
      <c r="M88" s="9"/>
      <c r="N88" s="9"/>
      <c r="O88" s="9"/>
      <c r="P88" s="9"/>
      <c r="Q88" s="9"/>
      <c r="R88" s="14"/>
      <c r="S88" s="14"/>
    </row>
    <row r="89" spans="1:19" ht="14.25">
      <c r="A89" s="14"/>
      <c r="B89" s="9"/>
      <c r="C89" s="9"/>
      <c r="D89" s="9"/>
      <c r="E89" s="9"/>
      <c r="F89" s="9"/>
      <c r="G89" s="9"/>
      <c r="H89" s="9"/>
      <c r="I89" s="9"/>
      <c r="J89" s="9"/>
      <c r="K89" s="357"/>
      <c r="L89" s="9"/>
      <c r="M89" s="9"/>
      <c r="N89" s="9"/>
      <c r="O89" s="9"/>
      <c r="P89" s="9"/>
      <c r="Q89" s="9"/>
      <c r="R89" s="14"/>
      <c r="S89" s="14"/>
    </row>
    <row r="90" spans="1:19" ht="14.25">
      <c r="A90" s="14"/>
      <c r="B90" s="9"/>
      <c r="C90" s="9"/>
      <c r="D90" s="9"/>
      <c r="E90" s="9"/>
      <c r="F90" s="9"/>
      <c r="G90" s="9"/>
      <c r="H90" s="9"/>
      <c r="I90" s="9"/>
      <c r="J90" s="9"/>
      <c r="K90" s="357"/>
      <c r="L90" s="9"/>
      <c r="M90" s="9"/>
      <c r="N90" s="9"/>
      <c r="O90" s="9"/>
      <c r="P90" s="9"/>
      <c r="Q90" s="9"/>
      <c r="R90" s="14"/>
      <c r="S90" s="14"/>
    </row>
    <row r="91" spans="1:19" ht="14.25">
      <c r="A91" s="14"/>
      <c r="B91" s="9"/>
      <c r="C91" s="9"/>
      <c r="D91" s="9"/>
      <c r="E91" s="9"/>
      <c r="F91" s="9"/>
      <c r="G91" s="9"/>
      <c r="H91" s="9"/>
      <c r="I91" s="9"/>
      <c r="J91" s="9"/>
      <c r="K91" s="357"/>
      <c r="L91" s="9"/>
      <c r="M91" s="9"/>
      <c r="N91" s="9"/>
      <c r="O91" s="9"/>
      <c r="P91" s="9"/>
      <c r="Q91" s="9"/>
      <c r="R91" s="14"/>
      <c r="S91" s="14"/>
    </row>
    <row r="92" spans="1:19" ht="14.25">
      <c r="A92" s="14"/>
      <c r="B92" s="9"/>
      <c r="C92" s="9"/>
      <c r="D92" s="9"/>
      <c r="E92" s="9"/>
      <c r="F92" s="9"/>
      <c r="G92" s="9"/>
      <c r="H92" s="9"/>
      <c r="I92" s="9"/>
      <c r="J92" s="9"/>
      <c r="K92" s="357"/>
      <c r="L92" s="9"/>
      <c r="M92" s="9"/>
      <c r="N92" s="9"/>
      <c r="O92" s="9"/>
      <c r="P92" s="9"/>
      <c r="Q92" s="9"/>
      <c r="R92" s="14"/>
      <c r="S92" s="14"/>
    </row>
    <row r="93" spans="1:19" ht="14.25">
      <c r="A93" s="14"/>
      <c r="B93" s="9"/>
      <c r="C93" s="9"/>
      <c r="D93" s="9"/>
      <c r="E93" s="9"/>
      <c r="F93" s="9"/>
      <c r="G93" s="9"/>
      <c r="H93" s="9"/>
      <c r="I93" s="9"/>
      <c r="J93" s="9"/>
      <c r="K93" s="357"/>
      <c r="L93" s="9"/>
      <c r="M93" s="9"/>
      <c r="N93" s="9"/>
      <c r="O93" s="9"/>
      <c r="P93" s="9"/>
      <c r="Q93" s="9"/>
      <c r="R93" s="14"/>
      <c r="S93" s="14"/>
    </row>
    <row r="94" spans="1:19" ht="14.25">
      <c r="A94" s="14"/>
      <c r="B94" s="9"/>
      <c r="C94" s="9"/>
      <c r="D94" s="9"/>
      <c r="E94" s="9"/>
      <c r="F94" s="9"/>
      <c r="G94" s="9"/>
      <c r="H94" s="9"/>
      <c r="I94" s="9"/>
      <c r="J94" s="9"/>
      <c r="K94" s="357"/>
      <c r="L94" s="9"/>
      <c r="M94" s="9"/>
      <c r="N94" s="9"/>
      <c r="O94" s="9"/>
      <c r="P94" s="9"/>
      <c r="Q94" s="9"/>
      <c r="R94" s="14"/>
      <c r="S94" s="14"/>
    </row>
    <row r="95" spans="1:19" ht="14.25">
      <c r="A95" s="14"/>
      <c r="B95" s="9"/>
      <c r="C95" s="9"/>
      <c r="D95" s="9"/>
      <c r="E95" s="9"/>
      <c r="F95" s="9"/>
      <c r="G95" s="9"/>
      <c r="H95" s="9"/>
      <c r="I95" s="9"/>
      <c r="J95" s="9"/>
      <c r="K95" s="357"/>
      <c r="L95" s="9"/>
      <c r="M95" s="9"/>
      <c r="N95" s="9"/>
      <c r="O95" s="9"/>
      <c r="P95" s="9"/>
      <c r="Q95" s="9"/>
      <c r="R95" s="14"/>
      <c r="S95" s="14"/>
    </row>
    <row r="96" spans="1:19" ht="14.25">
      <c r="A96" s="14"/>
      <c r="B96" s="9"/>
      <c r="C96" s="9"/>
      <c r="D96" s="9"/>
      <c r="E96" s="9"/>
      <c r="F96" s="9"/>
      <c r="G96" s="9"/>
      <c r="H96" s="9"/>
      <c r="I96" s="9"/>
      <c r="J96" s="9"/>
      <c r="K96" s="357"/>
      <c r="L96" s="9"/>
      <c r="M96" s="9"/>
      <c r="N96" s="9"/>
      <c r="O96" s="9"/>
      <c r="P96" s="9"/>
      <c r="Q96" s="9"/>
      <c r="R96" s="14"/>
      <c r="S96" s="14"/>
    </row>
    <row r="97" spans="1:19" ht="14.25">
      <c r="A97" s="14"/>
      <c r="B97" s="9"/>
      <c r="C97" s="9"/>
      <c r="D97" s="9"/>
      <c r="E97" s="9"/>
      <c r="F97" s="9"/>
      <c r="G97" s="9"/>
      <c r="H97" s="9"/>
      <c r="I97" s="9"/>
      <c r="J97" s="9"/>
      <c r="K97" s="357"/>
      <c r="L97" s="9"/>
      <c r="M97" s="9"/>
      <c r="N97" s="9"/>
      <c r="O97" s="9"/>
      <c r="P97" s="9"/>
      <c r="Q97" s="9"/>
      <c r="R97" s="14"/>
      <c r="S97" s="14"/>
    </row>
    <row r="98" spans="1:19" ht="14.25">
      <c r="A98" s="14"/>
      <c r="B98" s="9"/>
      <c r="C98" s="9"/>
      <c r="D98" s="9"/>
      <c r="E98" s="9"/>
      <c r="F98" s="9"/>
      <c r="G98" s="9"/>
      <c r="H98" s="9"/>
      <c r="I98" s="9"/>
      <c r="J98" s="9"/>
      <c r="K98" s="357"/>
      <c r="L98" s="9"/>
      <c r="M98" s="9"/>
      <c r="N98" s="9"/>
      <c r="O98" s="9"/>
      <c r="P98" s="9"/>
      <c r="Q98" s="9"/>
      <c r="R98" s="14"/>
      <c r="S98" s="14"/>
    </row>
    <row r="99" spans="1:19" ht="14.25">
      <c r="A99" s="14"/>
      <c r="B99" s="9"/>
      <c r="C99" s="9"/>
      <c r="D99" s="9"/>
      <c r="E99" s="9"/>
      <c r="F99" s="9"/>
      <c r="G99" s="9"/>
      <c r="H99" s="9"/>
      <c r="I99" s="9"/>
      <c r="J99" s="9"/>
      <c r="K99" s="357"/>
      <c r="L99" s="9"/>
      <c r="M99" s="9"/>
      <c r="N99" s="9"/>
      <c r="O99" s="9"/>
      <c r="P99" s="9"/>
      <c r="Q99" s="9"/>
      <c r="R99" s="14"/>
      <c r="S99" s="14"/>
    </row>
    <row r="100" spans="1:19" ht="14.25">
      <c r="A100" s="14"/>
      <c r="B100" s="9"/>
      <c r="C100" s="9"/>
      <c r="D100" s="9"/>
      <c r="E100" s="9"/>
      <c r="F100" s="9"/>
      <c r="G100" s="9"/>
      <c r="H100" s="9"/>
      <c r="I100" s="9"/>
      <c r="J100" s="9"/>
      <c r="K100" s="357"/>
      <c r="L100" s="9"/>
      <c r="M100" s="9"/>
      <c r="N100" s="9"/>
      <c r="O100" s="9"/>
      <c r="P100" s="9"/>
      <c r="Q100" s="9"/>
      <c r="R100" s="14"/>
      <c r="S100" s="14"/>
    </row>
    <row r="101" spans="1:19" ht="14.25">
      <c r="A101" s="14"/>
      <c r="B101" s="9"/>
      <c r="C101" s="9"/>
      <c r="D101" s="9"/>
      <c r="E101" s="9"/>
      <c r="F101" s="9"/>
      <c r="G101" s="9"/>
      <c r="H101" s="9"/>
      <c r="I101" s="9"/>
      <c r="J101" s="9"/>
      <c r="K101" s="357"/>
      <c r="L101" s="9"/>
      <c r="M101" s="9"/>
      <c r="N101" s="9"/>
      <c r="O101" s="9"/>
      <c r="P101" s="9"/>
      <c r="Q101" s="9"/>
      <c r="R101" s="14"/>
      <c r="S101" s="14"/>
    </row>
    <row r="102" spans="1:19" ht="14.25">
      <c r="A102" s="14"/>
      <c r="B102" s="9"/>
      <c r="C102" s="9"/>
      <c r="D102" s="9"/>
      <c r="E102" s="9"/>
      <c r="F102" s="9"/>
      <c r="G102" s="9"/>
      <c r="H102" s="9"/>
      <c r="I102" s="9"/>
      <c r="J102" s="9"/>
      <c r="K102" s="357"/>
      <c r="L102" s="9"/>
      <c r="M102" s="9"/>
      <c r="N102" s="9"/>
      <c r="O102" s="9"/>
      <c r="P102" s="9"/>
      <c r="Q102" s="9"/>
      <c r="R102" s="14"/>
      <c r="S102" s="14"/>
    </row>
    <row r="103" spans="1:19" ht="14.25">
      <c r="A103" s="14"/>
      <c r="B103" s="9"/>
      <c r="C103" s="9"/>
      <c r="D103" s="9"/>
      <c r="E103" s="9"/>
      <c r="F103" s="9"/>
      <c r="G103" s="9"/>
      <c r="H103" s="9"/>
      <c r="I103" s="9"/>
      <c r="J103" s="9"/>
      <c r="K103" s="357"/>
      <c r="L103" s="9"/>
      <c r="M103" s="9"/>
      <c r="N103" s="9"/>
      <c r="O103" s="9"/>
      <c r="P103" s="9"/>
      <c r="Q103" s="9"/>
      <c r="R103" s="14"/>
      <c r="S103" s="14"/>
    </row>
    <row r="104" spans="1:19" ht="14.25">
      <c r="A104" s="14"/>
      <c r="B104" s="9"/>
      <c r="C104" s="9"/>
      <c r="D104" s="9"/>
      <c r="E104" s="9"/>
      <c r="F104" s="9"/>
      <c r="G104" s="9"/>
      <c r="H104" s="9"/>
      <c r="I104" s="9"/>
      <c r="J104" s="9"/>
      <c r="K104" s="357"/>
      <c r="L104" s="9"/>
      <c r="M104" s="9"/>
      <c r="N104" s="9"/>
      <c r="O104" s="9"/>
      <c r="P104" s="9"/>
      <c r="Q104" s="9"/>
      <c r="R104" s="14"/>
      <c r="S104" s="14"/>
    </row>
    <row r="105" spans="1:19" ht="14.25">
      <c r="A105" s="14"/>
      <c r="B105" s="9"/>
      <c r="C105" s="9"/>
      <c r="D105" s="9"/>
      <c r="E105" s="9"/>
      <c r="F105" s="9"/>
      <c r="G105" s="9"/>
      <c r="H105" s="9"/>
      <c r="I105" s="9"/>
      <c r="J105" s="9"/>
      <c r="K105" s="357"/>
      <c r="L105" s="9"/>
      <c r="M105" s="9"/>
      <c r="N105" s="9"/>
      <c r="O105" s="9"/>
      <c r="P105" s="9"/>
      <c r="Q105" s="9"/>
      <c r="R105" s="14"/>
      <c r="S105" s="14"/>
    </row>
    <row r="106" spans="1:19" ht="14.25">
      <c r="A106" s="14"/>
      <c r="B106" s="9"/>
      <c r="C106" s="9"/>
      <c r="D106" s="9"/>
      <c r="E106" s="9"/>
      <c r="F106" s="9"/>
      <c r="G106" s="9"/>
      <c r="H106" s="9"/>
      <c r="I106" s="9"/>
      <c r="J106" s="9"/>
      <c r="K106" s="357"/>
      <c r="L106" s="9"/>
      <c r="M106" s="9"/>
      <c r="N106" s="9"/>
      <c r="O106" s="9"/>
      <c r="P106" s="9"/>
      <c r="Q106" s="9"/>
      <c r="R106" s="14"/>
      <c r="S106" s="14"/>
    </row>
    <row r="107" spans="1:19" ht="14.25">
      <c r="A107" s="14"/>
      <c r="B107" s="9"/>
      <c r="C107" s="9"/>
      <c r="D107" s="9"/>
      <c r="E107" s="9"/>
      <c r="F107" s="9"/>
      <c r="G107" s="9"/>
      <c r="H107" s="9"/>
      <c r="I107" s="9"/>
      <c r="J107" s="9"/>
      <c r="K107" s="357"/>
      <c r="L107" s="9"/>
      <c r="M107" s="9"/>
      <c r="N107" s="9"/>
      <c r="O107" s="9"/>
      <c r="P107" s="9"/>
      <c r="Q107" s="9"/>
      <c r="R107" s="14"/>
      <c r="S107" s="14"/>
    </row>
    <row r="108" spans="1:19" ht="14.25">
      <c r="A108" s="14"/>
      <c r="B108" s="9"/>
      <c r="C108" s="9"/>
      <c r="D108" s="9"/>
      <c r="E108" s="9"/>
      <c r="F108" s="9"/>
      <c r="G108" s="9"/>
      <c r="H108" s="9"/>
      <c r="I108" s="9"/>
      <c r="J108" s="9"/>
      <c r="K108" s="357"/>
      <c r="L108" s="9"/>
      <c r="M108" s="9"/>
      <c r="N108" s="9"/>
      <c r="O108" s="9"/>
      <c r="P108" s="9"/>
      <c r="Q108" s="9"/>
      <c r="R108" s="14"/>
      <c r="S108" s="14"/>
    </row>
    <row r="109" spans="1:19" ht="14.25">
      <c r="A109" s="14"/>
      <c r="B109" s="9"/>
      <c r="C109" s="9"/>
      <c r="D109" s="9"/>
      <c r="E109" s="9"/>
      <c r="F109" s="9"/>
      <c r="G109" s="9"/>
      <c r="H109" s="9"/>
      <c r="I109" s="9"/>
      <c r="J109" s="9"/>
      <c r="K109" s="357"/>
      <c r="L109" s="9"/>
      <c r="M109" s="9"/>
      <c r="N109" s="9"/>
      <c r="O109" s="9"/>
      <c r="P109" s="9"/>
      <c r="Q109" s="9"/>
      <c r="R109" s="14"/>
      <c r="S109" s="14"/>
    </row>
    <row r="110" spans="1:19" ht="14.25">
      <c r="A110" s="14"/>
      <c r="B110" s="9"/>
      <c r="C110" s="9"/>
      <c r="D110" s="9"/>
      <c r="E110" s="9"/>
      <c r="F110" s="9"/>
      <c r="G110" s="9"/>
      <c r="H110" s="9"/>
      <c r="I110" s="9"/>
      <c r="J110" s="9"/>
      <c r="K110" s="357"/>
      <c r="L110" s="9"/>
      <c r="M110" s="9"/>
      <c r="N110" s="9"/>
      <c r="O110" s="9"/>
      <c r="P110" s="9"/>
      <c r="Q110" s="9"/>
      <c r="R110" s="14"/>
      <c r="S110" s="14"/>
    </row>
    <row r="111" spans="1:19" ht="14.25">
      <c r="A111" s="14"/>
      <c r="B111" s="9"/>
      <c r="C111" s="9"/>
      <c r="D111" s="9"/>
      <c r="E111" s="9"/>
      <c r="F111" s="9"/>
      <c r="G111" s="9"/>
      <c r="H111" s="9"/>
      <c r="I111" s="9"/>
      <c r="J111" s="9"/>
      <c r="K111" s="357"/>
      <c r="L111" s="9"/>
      <c r="M111" s="9"/>
      <c r="N111" s="9"/>
      <c r="O111" s="9"/>
      <c r="P111" s="9"/>
      <c r="Q111" s="9"/>
      <c r="R111" s="14"/>
      <c r="S111" s="14"/>
    </row>
    <row r="112" spans="1:19" ht="14.25">
      <c r="A112" s="14"/>
      <c r="B112" s="9"/>
      <c r="C112" s="9"/>
      <c r="D112" s="9"/>
      <c r="E112" s="9"/>
      <c r="F112" s="9"/>
      <c r="G112" s="9"/>
      <c r="H112" s="9"/>
      <c r="I112" s="9"/>
      <c r="J112" s="9"/>
      <c r="K112" s="357"/>
      <c r="L112" s="9"/>
      <c r="M112" s="9"/>
      <c r="N112" s="9"/>
      <c r="O112" s="9"/>
      <c r="P112" s="9"/>
      <c r="Q112" s="9"/>
      <c r="R112" s="14"/>
      <c r="S112" s="14"/>
    </row>
    <row r="113" spans="1:19" ht="14.25">
      <c r="A113" s="14"/>
      <c r="B113" s="9"/>
      <c r="C113" s="9"/>
      <c r="D113" s="9"/>
      <c r="E113" s="9"/>
      <c r="F113" s="9"/>
      <c r="G113" s="9"/>
      <c r="H113" s="9"/>
      <c r="I113" s="9"/>
      <c r="J113" s="9"/>
      <c r="K113" s="357"/>
      <c r="L113" s="9"/>
      <c r="M113" s="9"/>
      <c r="N113" s="9"/>
      <c r="O113" s="9"/>
      <c r="P113" s="9"/>
      <c r="Q113" s="9"/>
      <c r="R113" s="14"/>
      <c r="S113" s="14"/>
    </row>
    <row r="114" spans="1:19" ht="14.25">
      <c r="A114" s="14"/>
      <c r="B114" s="9"/>
      <c r="C114" s="9"/>
      <c r="D114" s="9"/>
      <c r="E114" s="9"/>
      <c r="F114" s="9"/>
      <c r="G114" s="9"/>
      <c r="H114" s="9"/>
      <c r="I114" s="9"/>
      <c r="J114" s="9"/>
      <c r="K114" s="357"/>
      <c r="L114" s="9"/>
      <c r="M114" s="9"/>
      <c r="N114" s="9"/>
      <c r="O114" s="9"/>
      <c r="P114" s="9"/>
      <c r="Q114" s="9"/>
      <c r="R114" s="14"/>
      <c r="S114" s="14"/>
    </row>
    <row r="115" spans="1:19" ht="14.25">
      <c r="A115" s="14"/>
      <c r="B115" s="9"/>
      <c r="C115" s="9"/>
      <c r="D115" s="9"/>
      <c r="E115" s="9"/>
      <c r="F115" s="9"/>
      <c r="G115" s="9"/>
      <c r="H115" s="9"/>
      <c r="I115" s="9"/>
      <c r="J115" s="9"/>
      <c r="K115" s="357"/>
      <c r="L115" s="9"/>
      <c r="M115" s="9"/>
      <c r="N115" s="9"/>
      <c r="O115" s="9"/>
      <c r="P115" s="9"/>
      <c r="Q115" s="9"/>
      <c r="R115" s="14"/>
      <c r="S115" s="14"/>
    </row>
    <row r="116" spans="1:19" ht="14.25">
      <c r="A116" s="14"/>
      <c r="B116" s="9"/>
      <c r="C116" s="9"/>
      <c r="D116" s="9"/>
      <c r="E116" s="9"/>
      <c r="F116" s="9"/>
      <c r="G116" s="9"/>
      <c r="H116" s="9"/>
      <c r="I116" s="9"/>
      <c r="J116" s="9"/>
      <c r="K116" s="357"/>
      <c r="L116" s="9"/>
      <c r="M116" s="9"/>
      <c r="N116" s="9"/>
      <c r="O116" s="9"/>
      <c r="P116" s="9"/>
      <c r="Q116" s="9"/>
      <c r="R116" s="14"/>
      <c r="S116" s="14"/>
    </row>
    <row r="117" spans="1:19" ht="14.25">
      <c r="A117" s="14"/>
      <c r="B117" s="9"/>
      <c r="C117" s="9"/>
      <c r="D117" s="9"/>
      <c r="E117" s="9"/>
      <c r="F117" s="9"/>
      <c r="G117" s="9"/>
      <c r="H117" s="9"/>
      <c r="I117" s="9"/>
      <c r="J117" s="9"/>
      <c r="K117" s="357"/>
      <c r="L117" s="9"/>
      <c r="M117" s="9"/>
      <c r="N117" s="9"/>
      <c r="O117" s="9"/>
      <c r="P117" s="9"/>
      <c r="Q117" s="9"/>
      <c r="R117" s="14"/>
      <c r="S117" s="14"/>
    </row>
    <row r="118" spans="1:19" ht="14.25">
      <c r="A118" s="14"/>
      <c r="B118" s="9"/>
      <c r="C118" s="9"/>
      <c r="D118" s="9"/>
      <c r="E118" s="9"/>
      <c r="F118" s="9"/>
      <c r="G118" s="9"/>
      <c r="H118" s="9"/>
      <c r="I118" s="9"/>
      <c r="J118" s="9"/>
      <c r="K118" s="357"/>
      <c r="L118" s="9"/>
      <c r="M118" s="9"/>
      <c r="N118" s="9"/>
      <c r="O118" s="9"/>
      <c r="P118" s="9"/>
      <c r="Q118" s="9"/>
      <c r="R118" s="14"/>
      <c r="S118" s="14"/>
    </row>
    <row r="119" spans="1:19" ht="14.25">
      <c r="A119" s="14"/>
      <c r="B119" s="9"/>
      <c r="C119" s="9"/>
      <c r="D119" s="9"/>
      <c r="E119" s="9"/>
      <c r="F119" s="9"/>
      <c r="G119" s="9"/>
      <c r="H119" s="9"/>
      <c r="I119" s="9"/>
      <c r="J119" s="9"/>
      <c r="K119" s="357"/>
      <c r="L119" s="9"/>
      <c r="M119" s="9"/>
      <c r="N119" s="9"/>
      <c r="O119" s="9"/>
      <c r="P119" s="9"/>
      <c r="Q119" s="9"/>
      <c r="R119" s="14"/>
      <c r="S119" s="14"/>
    </row>
    <row r="120" spans="1:19" ht="14.25">
      <c r="A120" s="14"/>
      <c r="B120" s="9"/>
      <c r="C120" s="9"/>
      <c r="D120" s="9"/>
      <c r="E120" s="9"/>
      <c r="F120" s="9"/>
      <c r="G120" s="9"/>
      <c r="H120" s="9"/>
      <c r="I120" s="9"/>
      <c r="J120" s="9"/>
      <c r="K120" s="357"/>
      <c r="L120" s="9"/>
      <c r="M120" s="9"/>
      <c r="N120" s="9"/>
      <c r="O120" s="9"/>
      <c r="P120" s="9"/>
      <c r="Q120" s="9"/>
      <c r="R120" s="14"/>
      <c r="S120" s="14"/>
    </row>
    <row r="121" spans="1:19" ht="14.25">
      <c r="A121" s="14"/>
      <c r="B121" s="9"/>
      <c r="C121" s="9"/>
      <c r="D121" s="9"/>
      <c r="E121" s="9"/>
      <c r="F121" s="9"/>
      <c r="G121" s="9"/>
      <c r="H121" s="9"/>
      <c r="I121" s="9"/>
      <c r="J121" s="9"/>
      <c r="K121" s="357"/>
      <c r="L121" s="9"/>
      <c r="M121" s="9"/>
      <c r="N121" s="9"/>
      <c r="O121" s="9"/>
      <c r="P121" s="9"/>
      <c r="Q121" s="9"/>
      <c r="R121" s="14"/>
      <c r="S121" s="14"/>
    </row>
    <row r="122" spans="1:19" ht="14.25">
      <c r="A122" s="14"/>
      <c r="B122" s="9"/>
      <c r="C122" s="9"/>
      <c r="D122" s="9"/>
      <c r="E122" s="9"/>
      <c r="F122" s="9"/>
      <c r="G122" s="9"/>
      <c r="H122" s="9"/>
      <c r="I122" s="9"/>
      <c r="J122" s="9"/>
      <c r="K122" s="357"/>
      <c r="L122" s="9"/>
      <c r="M122" s="9"/>
      <c r="N122" s="9"/>
      <c r="O122" s="9"/>
      <c r="P122" s="9"/>
      <c r="Q122" s="9"/>
      <c r="R122" s="14"/>
      <c r="S122" s="14"/>
    </row>
    <row r="123" spans="1:19" ht="14.25">
      <c r="A123" s="14"/>
      <c r="B123" s="9"/>
      <c r="C123" s="9"/>
      <c r="D123" s="9"/>
      <c r="E123" s="9"/>
      <c r="F123" s="9"/>
      <c r="G123" s="9"/>
      <c r="H123" s="9"/>
      <c r="I123" s="9"/>
      <c r="J123" s="9"/>
      <c r="K123" s="357"/>
      <c r="L123" s="9"/>
      <c r="M123" s="9"/>
      <c r="N123" s="9"/>
      <c r="O123" s="9"/>
      <c r="P123" s="9"/>
      <c r="Q123" s="9"/>
      <c r="R123" s="14"/>
      <c r="S123" s="14"/>
    </row>
    <row r="124" spans="1:19" ht="14.25">
      <c r="A124" s="14"/>
      <c r="B124" s="9"/>
      <c r="C124" s="9"/>
      <c r="D124" s="9"/>
      <c r="E124" s="9"/>
      <c r="F124" s="9"/>
      <c r="G124" s="9"/>
      <c r="H124" s="9"/>
      <c r="I124" s="9"/>
      <c r="J124" s="9"/>
      <c r="K124" s="357"/>
      <c r="L124" s="9"/>
      <c r="M124" s="9"/>
      <c r="N124" s="9"/>
      <c r="O124" s="9"/>
      <c r="P124" s="9"/>
      <c r="Q124" s="9"/>
      <c r="R124" s="14"/>
      <c r="S124" s="14"/>
    </row>
    <row r="125" spans="1:19" ht="14.25">
      <c r="A125" s="14"/>
      <c r="B125" s="9"/>
      <c r="C125" s="9"/>
      <c r="D125" s="9"/>
      <c r="E125" s="9"/>
      <c r="F125" s="9"/>
      <c r="G125" s="9"/>
      <c r="H125" s="9"/>
      <c r="I125" s="9"/>
      <c r="J125" s="9"/>
      <c r="K125" s="357"/>
      <c r="L125" s="9"/>
      <c r="M125" s="9"/>
      <c r="N125" s="9"/>
      <c r="O125" s="9"/>
      <c r="P125" s="9"/>
      <c r="Q125" s="9"/>
      <c r="R125" s="14"/>
      <c r="S125" s="14"/>
    </row>
    <row r="126" spans="1:19" ht="14.25">
      <c r="A126" s="14"/>
      <c r="B126" s="9"/>
      <c r="C126" s="9"/>
      <c r="D126" s="9"/>
      <c r="E126" s="9"/>
      <c r="F126" s="9"/>
      <c r="G126" s="9"/>
      <c r="H126" s="9"/>
      <c r="I126" s="9"/>
      <c r="J126" s="9"/>
      <c r="K126" s="357"/>
      <c r="L126" s="9"/>
      <c r="M126" s="9"/>
      <c r="N126" s="9"/>
      <c r="O126" s="9"/>
      <c r="P126" s="9"/>
      <c r="Q126" s="9"/>
      <c r="R126" s="14"/>
      <c r="S126" s="14"/>
    </row>
    <row r="127" spans="1:19" ht="14.25">
      <c r="A127" s="14"/>
      <c r="B127" s="9"/>
      <c r="C127" s="9"/>
      <c r="D127" s="9"/>
      <c r="E127" s="9"/>
      <c r="F127" s="9"/>
      <c r="G127" s="9"/>
      <c r="H127" s="9"/>
      <c r="I127" s="9"/>
      <c r="J127" s="9"/>
      <c r="K127" s="357"/>
      <c r="L127" s="9"/>
      <c r="M127" s="9"/>
      <c r="N127" s="9"/>
      <c r="O127" s="9"/>
      <c r="P127" s="9"/>
      <c r="Q127" s="9"/>
      <c r="R127" s="14"/>
      <c r="S127" s="14"/>
    </row>
    <row r="128" spans="1:19" ht="14.25">
      <c r="A128" s="14"/>
      <c r="B128" s="9"/>
      <c r="C128" s="9"/>
      <c r="D128" s="9"/>
      <c r="E128" s="9"/>
      <c r="F128" s="9"/>
      <c r="G128" s="9"/>
      <c r="H128" s="9"/>
      <c r="I128" s="9"/>
      <c r="J128" s="9"/>
      <c r="K128" s="357"/>
      <c r="L128" s="9"/>
      <c r="M128" s="9"/>
      <c r="N128" s="9"/>
      <c r="O128" s="9"/>
      <c r="P128" s="9"/>
      <c r="Q128" s="9"/>
      <c r="R128" s="14"/>
      <c r="S128" s="14"/>
    </row>
    <row r="129" spans="1:19" ht="14.25">
      <c r="A129" s="14"/>
      <c r="B129" s="9"/>
      <c r="C129" s="9"/>
      <c r="D129" s="9"/>
      <c r="E129" s="9"/>
      <c r="F129" s="9"/>
      <c r="G129" s="9"/>
      <c r="H129" s="9"/>
      <c r="I129" s="9"/>
      <c r="J129" s="9"/>
      <c r="K129" s="357"/>
      <c r="L129" s="9"/>
      <c r="M129" s="9"/>
      <c r="N129" s="9"/>
      <c r="O129" s="9"/>
      <c r="P129" s="9"/>
      <c r="Q129" s="9"/>
      <c r="R129" s="14"/>
      <c r="S129" s="14"/>
    </row>
    <row r="130" spans="1:19" ht="14.25">
      <c r="A130" s="14"/>
      <c r="B130" s="9"/>
      <c r="C130" s="9"/>
      <c r="D130" s="9"/>
      <c r="E130" s="9"/>
      <c r="F130" s="9"/>
      <c r="G130" s="9"/>
      <c r="H130" s="9"/>
      <c r="I130" s="9"/>
      <c r="J130" s="9"/>
      <c r="K130" s="357"/>
      <c r="L130" s="9"/>
      <c r="M130" s="9"/>
      <c r="N130" s="9"/>
      <c r="O130" s="9"/>
      <c r="P130" s="9"/>
      <c r="Q130" s="9"/>
      <c r="R130" s="14"/>
      <c r="S130" s="14"/>
    </row>
    <row r="131" spans="1:19" ht="14.25">
      <c r="A131" s="14"/>
      <c r="B131" s="9"/>
      <c r="C131" s="9"/>
      <c r="D131" s="9"/>
      <c r="E131" s="9"/>
      <c r="F131" s="9"/>
      <c r="G131" s="9"/>
      <c r="H131" s="9"/>
      <c r="I131" s="9"/>
      <c r="J131" s="9"/>
      <c r="K131" s="357"/>
      <c r="L131" s="9"/>
      <c r="M131" s="9"/>
      <c r="N131" s="9"/>
      <c r="O131" s="9"/>
      <c r="P131" s="9"/>
      <c r="Q131" s="9"/>
      <c r="R131" s="14"/>
      <c r="S131" s="14"/>
    </row>
    <row r="132" spans="1:19" ht="14.25">
      <c r="A132" s="14"/>
      <c r="B132" s="9"/>
      <c r="C132" s="9"/>
      <c r="D132" s="9"/>
      <c r="E132" s="9"/>
      <c r="F132" s="9"/>
      <c r="G132" s="9"/>
      <c r="H132" s="9"/>
      <c r="I132" s="9"/>
      <c r="J132" s="9"/>
      <c r="K132" s="357"/>
      <c r="L132" s="9"/>
      <c r="M132" s="9"/>
      <c r="N132" s="9"/>
      <c r="O132" s="9"/>
      <c r="P132" s="9"/>
      <c r="Q132" s="9"/>
      <c r="R132" s="14"/>
      <c r="S132" s="14"/>
    </row>
    <row r="133" spans="1:19" ht="14.25">
      <c r="A133" s="14"/>
      <c r="B133" s="9"/>
      <c r="C133" s="9"/>
      <c r="D133" s="9"/>
      <c r="E133" s="9"/>
      <c r="F133" s="9"/>
      <c r="G133" s="9"/>
      <c r="H133" s="9"/>
      <c r="I133" s="9"/>
      <c r="J133" s="9"/>
      <c r="K133" s="357"/>
      <c r="L133" s="9"/>
      <c r="M133" s="9"/>
      <c r="N133" s="9"/>
      <c r="O133" s="9"/>
      <c r="P133" s="9"/>
      <c r="Q133" s="9"/>
      <c r="R133" s="14"/>
      <c r="S133" s="14"/>
    </row>
    <row r="134" spans="1:19" ht="14.25">
      <c r="A134" s="14"/>
      <c r="B134" s="9"/>
      <c r="C134" s="9"/>
      <c r="D134" s="9"/>
      <c r="E134" s="9"/>
      <c r="F134" s="9"/>
      <c r="G134" s="9"/>
      <c r="H134" s="9"/>
      <c r="I134" s="9"/>
      <c r="J134" s="9"/>
      <c r="K134" s="357"/>
      <c r="L134" s="9"/>
      <c r="M134" s="9"/>
      <c r="N134" s="9"/>
      <c r="O134" s="9"/>
      <c r="P134" s="9"/>
      <c r="Q134" s="9"/>
      <c r="R134" s="14"/>
      <c r="S134" s="14"/>
    </row>
    <row r="135" spans="1:19" ht="14.25">
      <c r="A135" s="14"/>
      <c r="B135" s="9"/>
      <c r="C135" s="9"/>
      <c r="D135" s="9"/>
      <c r="E135" s="9"/>
      <c r="F135" s="9"/>
      <c r="G135" s="9"/>
      <c r="H135" s="9"/>
      <c r="I135" s="9"/>
      <c r="J135" s="9"/>
      <c r="K135" s="357"/>
      <c r="L135" s="9"/>
      <c r="M135" s="9"/>
      <c r="N135" s="9"/>
      <c r="O135" s="9"/>
      <c r="P135" s="9"/>
      <c r="Q135" s="9"/>
      <c r="R135" s="14"/>
      <c r="S135" s="14"/>
    </row>
    <row r="136" spans="1:19" ht="14.25">
      <c r="A136" s="14"/>
      <c r="B136" s="9"/>
      <c r="C136" s="9"/>
      <c r="D136" s="9"/>
      <c r="E136" s="9"/>
      <c r="F136" s="9"/>
      <c r="G136" s="9"/>
      <c r="H136" s="9"/>
      <c r="I136" s="9"/>
      <c r="J136" s="9"/>
      <c r="K136" s="357"/>
      <c r="L136" s="9"/>
      <c r="M136" s="9"/>
      <c r="N136" s="9"/>
      <c r="O136" s="9"/>
      <c r="P136" s="9"/>
      <c r="Q136" s="9"/>
      <c r="R136" s="14"/>
      <c r="S136" s="14"/>
    </row>
    <row r="137" spans="1:19" ht="14.25">
      <c r="A137" s="14"/>
      <c r="B137" s="9"/>
      <c r="C137" s="9"/>
      <c r="D137" s="9"/>
      <c r="E137" s="9"/>
      <c r="F137" s="9"/>
      <c r="G137" s="9"/>
      <c r="H137" s="9"/>
      <c r="I137" s="9"/>
      <c r="J137" s="9"/>
      <c r="K137" s="357"/>
      <c r="L137" s="9"/>
      <c r="M137" s="9"/>
      <c r="N137" s="9"/>
      <c r="O137" s="9"/>
      <c r="P137" s="9"/>
      <c r="Q137" s="9"/>
      <c r="R137" s="14"/>
      <c r="S137" s="14"/>
    </row>
    <row r="138" spans="1:19" ht="14.25">
      <c r="A138" s="14"/>
      <c r="B138" s="9"/>
      <c r="C138" s="9"/>
      <c r="D138" s="9"/>
      <c r="E138" s="9"/>
      <c r="F138" s="9"/>
      <c r="G138" s="9"/>
      <c r="H138" s="9"/>
      <c r="I138" s="9"/>
      <c r="J138" s="9"/>
      <c r="K138" s="357"/>
      <c r="L138" s="9"/>
      <c r="M138" s="9"/>
      <c r="N138" s="9"/>
      <c r="O138" s="9"/>
      <c r="P138" s="9"/>
      <c r="Q138" s="9"/>
      <c r="R138" s="14"/>
      <c r="S138" s="14"/>
    </row>
    <row r="139" spans="1:19" ht="14.25">
      <c r="A139" s="14"/>
      <c r="B139" s="9"/>
      <c r="C139" s="9"/>
      <c r="D139" s="9"/>
      <c r="E139" s="9"/>
      <c r="F139" s="9"/>
      <c r="G139" s="9"/>
      <c r="H139" s="9"/>
      <c r="I139" s="9"/>
      <c r="J139" s="9"/>
      <c r="K139" s="357"/>
      <c r="L139" s="9"/>
      <c r="M139" s="9"/>
      <c r="N139" s="9"/>
      <c r="O139" s="9"/>
      <c r="P139" s="9"/>
      <c r="Q139" s="9"/>
      <c r="R139" s="14"/>
      <c r="S139" s="14"/>
    </row>
    <row r="140" spans="1:19" ht="14.25">
      <c r="A140" s="14"/>
      <c r="B140" s="9"/>
      <c r="C140" s="9"/>
      <c r="D140" s="9"/>
      <c r="E140" s="9"/>
      <c r="F140" s="9"/>
      <c r="G140" s="9"/>
      <c r="H140" s="9"/>
      <c r="I140" s="9"/>
      <c r="J140" s="9"/>
      <c r="K140" s="357"/>
      <c r="L140" s="9"/>
      <c r="M140" s="9"/>
      <c r="N140" s="9"/>
      <c r="O140" s="9"/>
      <c r="P140" s="9"/>
      <c r="Q140" s="9"/>
      <c r="R140" s="14"/>
      <c r="S140" s="14"/>
    </row>
    <row r="141" spans="1:19" ht="14.25">
      <c r="A141" s="14"/>
      <c r="B141" s="9"/>
      <c r="C141" s="9"/>
      <c r="D141" s="9"/>
      <c r="E141" s="9"/>
      <c r="F141" s="9"/>
      <c r="G141" s="9"/>
      <c r="H141" s="9"/>
      <c r="I141" s="9"/>
      <c r="J141" s="9"/>
      <c r="K141" s="357"/>
      <c r="L141" s="9"/>
      <c r="M141" s="9"/>
      <c r="N141" s="9"/>
      <c r="O141" s="9"/>
      <c r="P141" s="9"/>
      <c r="Q141" s="9"/>
      <c r="R141" s="14"/>
      <c r="S141" s="14"/>
    </row>
    <row r="142" spans="1:19" ht="14.25">
      <c r="A142" s="14"/>
      <c r="B142" s="9"/>
      <c r="C142" s="9"/>
      <c r="D142" s="9"/>
      <c r="E142" s="9"/>
      <c r="F142" s="9"/>
      <c r="G142" s="9"/>
      <c r="H142" s="9"/>
      <c r="I142" s="9"/>
      <c r="J142" s="9"/>
      <c r="K142" s="357"/>
      <c r="L142" s="9"/>
      <c r="M142" s="9"/>
      <c r="N142" s="9"/>
      <c r="O142" s="9"/>
      <c r="P142" s="9"/>
      <c r="Q142" s="9"/>
      <c r="R142" s="14"/>
      <c r="S142" s="14"/>
    </row>
    <row r="143" spans="1:19" ht="14.25">
      <c r="A143" s="14"/>
      <c r="B143" s="9"/>
      <c r="C143" s="9"/>
      <c r="D143" s="9"/>
      <c r="E143" s="9"/>
      <c r="F143" s="9"/>
      <c r="G143" s="9"/>
      <c r="H143" s="9"/>
      <c r="I143" s="9"/>
      <c r="J143" s="9"/>
      <c r="K143" s="357"/>
      <c r="L143" s="9"/>
      <c r="M143" s="9"/>
      <c r="N143" s="9"/>
      <c r="O143" s="9"/>
      <c r="P143" s="9"/>
      <c r="Q143" s="9"/>
      <c r="R143" s="14"/>
      <c r="S143" s="14"/>
    </row>
    <row r="144" spans="1:19" ht="14.25">
      <c r="A144" s="14"/>
      <c r="B144" s="9"/>
      <c r="C144" s="9"/>
      <c r="D144" s="9"/>
      <c r="E144" s="9"/>
      <c r="F144" s="9"/>
      <c r="G144" s="9"/>
      <c r="H144" s="9"/>
      <c r="I144" s="9"/>
      <c r="J144" s="9"/>
      <c r="K144" s="357"/>
      <c r="L144" s="9"/>
      <c r="M144" s="9"/>
      <c r="N144" s="9"/>
      <c r="O144" s="9"/>
      <c r="P144" s="9"/>
      <c r="Q144" s="9"/>
      <c r="R144" s="14"/>
      <c r="S144" s="14"/>
    </row>
    <row r="145" spans="1:19" ht="14.25">
      <c r="A145" s="14"/>
      <c r="B145" s="9"/>
      <c r="C145" s="9"/>
      <c r="D145" s="9"/>
      <c r="E145" s="9"/>
      <c r="F145" s="9"/>
      <c r="G145" s="9"/>
      <c r="H145" s="9"/>
      <c r="I145" s="9"/>
      <c r="J145" s="9"/>
      <c r="K145" s="357"/>
      <c r="L145" s="9"/>
      <c r="M145" s="9"/>
      <c r="N145" s="9"/>
      <c r="O145" s="9"/>
      <c r="P145" s="9"/>
      <c r="Q145" s="9"/>
      <c r="R145" s="14"/>
      <c r="S145" s="14"/>
    </row>
    <row r="146" spans="1:19" ht="14.25">
      <c r="A146" s="14"/>
      <c r="B146" s="9"/>
      <c r="C146" s="9"/>
      <c r="D146" s="9"/>
      <c r="E146" s="9"/>
      <c r="F146" s="9"/>
      <c r="G146" s="9"/>
      <c r="H146" s="9"/>
      <c r="I146" s="9"/>
      <c r="J146" s="9"/>
      <c r="K146" s="357"/>
      <c r="L146" s="9"/>
      <c r="M146" s="9"/>
      <c r="N146" s="9"/>
      <c r="O146" s="9"/>
      <c r="P146" s="9"/>
      <c r="Q146" s="9"/>
      <c r="R146" s="14"/>
      <c r="S146" s="14"/>
    </row>
    <row r="147" spans="1:19" ht="14.25">
      <c r="A147" s="14"/>
      <c r="B147" s="9"/>
      <c r="C147" s="9"/>
      <c r="D147" s="9"/>
      <c r="E147" s="9"/>
      <c r="F147" s="9"/>
      <c r="G147" s="9"/>
      <c r="H147" s="9"/>
      <c r="I147" s="9"/>
      <c r="J147" s="9"/>
      <c r="K147" s="357"/>
      <c r="L147" s="9"/>
      <c r="M147" s="9"/>
      <c r="N147" s="9"/>
      <c r="O147" s="9"/>
      <c r="P147" s="9"/>
      <c r="Q147" s="9"/>
      <c r="R147" s="14"/>
      <c r="S147" s="14"/>
    </row>
    <row r="148" spans="1:19" ht="14.25">
      <c r="A148" s="14"/>
      <c r="B148" s="9"/>
      <c r="C148" s="9"/>
      <c r="D148" s="9"/>
      <c r="E148" s="9"/>
      <c r="F148" s="9"/>
      <c r="G148" s="9"/>
      <c r="H148" s="9"/>
      <c r="I148" s="9"/>
      <c r="J148" s="9"/>
      <c r="K148" s="357"/>
      <c r="L148" s="9"/>
      <c r="M148" s="9"/>
      <c r="N148" s="9"/>
      <c r="O148" s="9"/>
      <c r="P148" s="9"/>
      <c r="Q148" s="9"/>
      <c r="R148" s="14"/>
      <c r="S148" s="14"/>
    </row>
    <row r="149" spans="1:19" ht="14.25">
      <c r="A149" s="14"/>
      <c r="B149" s="9"/>
      <c r="C149" s="9"/>
      <c r="D149" s="9"/>
      <c r="E149" s="9"/>
      <c r="F149" s="9"/>
      <c r="G149" s="9"/>
      <c r="H149" s="9"/>
      <c r="I149" s="9"/>
      <c r="J149" s="9"/>
      <c r="K149" s="357"/>
      <c r="L149" s="9"/>
      <c r="M149" s="9"/>
      <c r="N149" s="9"/>
      <c r="O149" s="9"/>
      <c r="P149" s="9"/>
      <c r="Q149" s="9"/>
      <c r="R149" s="14"/>
      <c r="S149" s="14"/>
    </row>
    <row r="150" spans="1:19" ht="14.25">
      <c r="A150" s="14"/>
      <c r="B150" s="9"/>
      <c r="C150" s="9"/>
      <c r="D150" s="9"/>
      <c r="E150" s="9"/>
      <c r="F150" s="9"/>
      <c r="G150" s="9"/>
      <c r="H150" s="9"/>
      <c r="I150" s="9"/>
      <c r="J150" s="9"/>
      <c r="K150" s="357"/>
      <c r="L150" s="9"/>
      <c r="M150" s="9"/>
      <c r="N150" s="9"/>
      <c r="O150" s="9"/>
      <c r="P150" s="9"/>
      <c r="Q150" s="9"/>
      <c r="R150" s="14"/>
      <c r="S150" s="14"/>
    </row>
    <row r="151" spans="1:19" ht="14.25">
      <c r="A151" s="14"/>
      <c r="B151" s="9"/>
      <c r="C151" s="9"/>
      <c r="D151" s="9"/>
      <c r="E151" s="9"/>
      <c r="F151" s="9"/>
      <c r="G151" s="9"/>
      <c r="H151" s="9"/>
      <c r="I151" s="9"/>
      <c r="J151" s="9"/>
      <c r="K151" s="357"/>
      <c r="L151" s="9"/>
      <c r="M151" s="9"/>
      <c r="N151" s="9"/>
      <c r="O151" s="9"/>
      <c r="P151" s="9"/>
      <c r="Q151" s="9"/>
      <c r="R151" s="14"/>
      <c r="S151" s="14"/>
    </row>
    <row r="152" spans="1:19" ht="14.25">
      <c r="A152" s="14"/>
      <c r="B152" s="9"/>
      <c r="C152" s="9"/>
      <c r="D152" s="9"/>
      <c r="E152" s="9"/>
      <c r="F152" s="9"/>
      <c r="G152" s="9"/>
      <c r="H152" s="9"/>
      <c r="I152" s="9"/>
      <c r="J152" s="9"/>
      <c r="K152" s="357"/>
      <c r="L152" s="9"/>
      <c r="M152" s="9"/>
      <c r="N152" s="9"/>
      <c r="O152" s="9"/>
      <c r="P152" s="9"/>
      <c r="Q152" s="9"/>
      <c r="R152" s="14"/>
      <c r="S152" s="14"/>
    </row>
    <row r="153" spans="1:19" ht="14.25">
      <c r="A153" s="14"/>
      <c r="B153" s="9"/>
      <c r="C153" s="9"/>
      <c r="D153" s="9"/>
      <c r="E153" s="9"/>
      <c r="F153" s="9"/>
      <c r="G153" s="9"/>
      <c r="H153" s="9"/>
      <c r="I153" s="9"/>
      <c r="J153" s="9"/>
      <c r="K153" s="357"/>
      <c r="L153" s="9"/>
      <c r="M153" s="9"/>
      <c r="N153" s="9"/>
      <c r="O153" s="9"/>
      <c r="P153" s="9"/>
      <c r="Q153" s="9"/>
      <c r="R153" s="14"/>
      <c r="S153" s="14"/>
    </row>
    <row r="154" spans="1:19" ht="14.25">
      <c r="A154" s="14"/>
      <c r="B154" s="9"/>
      <c r="C154" s="9"/>
      <c r="D154" s="9"/>
      <c r="E154" s="9"/>
      <c r="F154" s="9"/>
      <c r="G154" s="9"/>
      <c r="H154" s="9"/>
      <c r="I154" s="9"/>
      <c r="J154" s="9"/>
      <c r="K154" s="357"/>
      <c r="L154" s="9"/>
      <c r="M154" s="9"/>
      <c r="N154" s="9"/>
      <c r="O154" s="9"/>
      <c r="P154" s="9"/>
      <c r="Q154" s="9"/>
      <c r="R154" s="14"/>
      <c r="S154" s="14"/>
    </row>
    <row r="155" spans="1:19" ht="14.25">
      <c r="A155" s="14"/>
      <c r="B155" s="9"/>
      <c r="C155" s="9"/>
      <c r="D155" s="9"/>
      <c r="E155" s="9"/>
      <c r="F155" s="9"/>
      <c r="G155" s="9"/>
      <c r="H155" s="9"/>
      <c r="I155" s="9"/>
      <c r="J155" s="9"/>
      <c r="K155" s="357"/>
      <c r="L155" s="9"/>
      <c r="M155" s="9"/>
      <c r="N155" s="9"/>
      <c r="O155" s="9"/>
      <c r="P155" s="9"/>
      <c r="Q155" s="9"/>
      <c r="R155" s="14"/>
      <c r="S155" s="14"/>
    </row>
    <row r="156" spans="1:19" ht="14.25">
      <c r="A156" s="14"/>
      <c r="B156" s="9"/>
      <c r="C156" s="9"/>
      <c r="D156" s="9"/>
      <c r="E156" s="9"/>
      <c r="F156" s="9"/>
      <c r="G156" s="9"/>
      <c r="H156" s="9"/>
      <c r="I156" s="9"/>
      <c r="J156" s="9"/>
      <c r="K156" s="357"/>
      <c r="L156" s="9"/>
      <c r="M156" s="9"/>
      <c r="N156" s="9"/>
      <c r="O156" s="9"/>
      <c r="P156" s="9"/>
      <c r="Q156" s="9"/>
      <c r="R156" s="14"/>
      <c r="S156" s="14"/>
    </row>
    <row r="157" spans="1:19" ht="14.25">
      <c r="A157" s="14"/>
      <c r="B157" s="9"/>
      <c r="C157" s="9"/>
      <c r="D157" s="9"/>
      <c r="E157" s="9"/>
      <c r="F157" s="9"/>
      <c r="G157" s="9"/>
      <c r="H157" s="9"/>
      <c r="I157" s="9"/>
      <c r="J157" s="9"/>
      <c r="K157" s="357"/>
      <c r="L157" s="9"/>
      <c r="M157" s="9"/>
      <c r="N157" s="9"/>
      <c r="O157" s="9"/>
      <c r="P157" s="9"/>
      <c r="Q157" s="9"/>
      <c r="R157" s="14"/>
      <c r="S157" s="14"/>
    </row>
    <row r="158" spans="1:19" ht="14.25">
      <c r="A158" s="14"/>
      <c r="B158" s="9"/>
      <c r="C158" s="9"/>
      <c r="D158" s="9"/>
      <c r="E158" s="9"/>
      <c r="F158" s="9"/>
      <c r="G158" s="9"/>
      <c r="H158" s="9"/>
      <c r="I158" s="9"/>
      <c r="J158" s="9"/>
      <c r="K158" s="357"/>
      <c r="L158" s="9"/>
      <c r="M158" s="9"/>
      <c r="N158" s="9"/>
      <c r="O158" s="9"/>
      <c r="P158" s="9"/>
      <c r="Q158" s="9"/>
      <c r="R158" s="14"/>
      <c r="S158" s="14"/>
    </row>
    <row r="159" spans="1:19" ht="14.25">
      <c r="A159" s="14"/>
      <c r="B159" s="9"/>
      <c r="C159" s="9"/>
      <c r="D159" s="9"/>
      <c r="E159" s="9"/>
      <c r="F159" s="9"/>
      <c r="G159" s="9"/>
      <c r="H159" s="9"/>
      <c r="I159" s="9"/>
      <c r="J159" s="9"/>
      <c r="K159" s="357"/>
      <c r="L159" s="9"/>
      <c r="M159" s="9"/>
      <c r="N159" s="9"/>
      <c r="O159" s="9"/>
      <c r="P159" s="9"/>
      <c r="Q159" s="9"/>
      <c r="R159" s="14"/>
      <c r="S159" s="14"/>
    </row>
    <row r="160" spans="1:19" ht="14.25">
      <c r="A160" s="14"/>
      <c r="B160" s="9"/>
      <c r="C160" s="9"/>
      <c r="D160" s="9"/>
      <c r="E160" s="9"/>
      <c r="F160" s="9"/>
      <c r="G160" s="9"/>
      <c r="H160" s="9"/>
      <c r="I160" s="9"/>
      <c r="J160" s="9"/>
      <c r="K160" s="357"/>
      <c r="L160" s="9"/>
      <c r="M160" s="9"/>
      <c r="N160" s="9"/>
      <c r="O160" s="9"/>
      <c r="P160" s="9"/>
      <c r="Q160" s="9"/>
      <c r="R160" s="14"/>
      <c r="S160" s="14"/>
    </row>
    <row r="161" spans="1:19" ht="14.25">
      <c r="A161" s="14"/>
      <c r="B161" s="9"/>
      <c r="C161" s="9"/>
      <c r="D161" s="9"/>
      <c r="E161" s="9"/>
      <c r="F161" s="9"/>
      <c r="G161" s="9"/>
      <c r="H161" s="9"/>
      <c r="I161" s="9"/>
      <c r="J161" s="9"/>
      <c r="K161" s="357"/>
      <c r="L161" s="9"/>
      <c r="M161" s="9"/>
      <c r="N161" s="9"/>
      <c r="O161" s="9"/>
      <c r="P161" s="9"/>
      <c r="Q161" s="9"/>
      <c r="R161" s="14"/>
      <c r="S161" s="14"/>
    </row>
    <row r="162" spans="1:19" ht="14.25">
      <c r="A162" s="14"/>
      <c r="B162" s="9"/>
      <c r="C162" s="9"/>
      <c r="D162" s="9"/>
      <c r="E162" s="9"/>
      <c r="F162" s="9"/>
      <c r="G162" s="9"/>
      <c r="H162" s="9"/>
      <c r="I162" s="9"/>
      <c r="J162" s="9"/>
      <c r="K162" s="357"/>
      <c r="L162" s="9"/>
      <c r="M162" s="9"/>
      <c r="N162" s="9"/>
      <c r="O162" s="9"/>
      <c r="P162" s="9"/>
      <c r="Q162" s="9"/>
      <c r="R162" s="14"/>
      <c r="S162" s="14"/>
    </row>
    <row r="163" spans="1:19" ht="14.25">
      <c r="A163" s="14"/>
      <c r="B163" s="9"/>
      <c r="C163" s="9"/>
      <c r="D163" s="9"/>
      <c r="E163" s="9"/>
      <c r="F163" s="9"/>
      <c r="G163" s="9"/>
      <c r="H163" s="9"/>
      <c r="I163" s="9"/>
      <c r="J163" s="9"/>
      <c r="K163" s="357"/>
      <c r="L163" s="9"/>
      <c r="M163" s="9"/>
      <c r="N163" s="9"/>
      <c r="O163" s="9"/>
      <c r="P163" s="9"/>
      <c r="Q163" s="9"/>
      <c r="R163" s="14"/>
      <c r="S163" s="14"/>
    </row>
    <row r="164" spans="1:19" ht="14.25">
      <c r="A164" s="14"/>
      <c r="B164" s="9"/>
      <c r="C164" s="9"/>
      <c r="D164" s="9"/>
      <c r="E164" s="9"/>
      <c r="F164" s="9"/>
      <c r="G164" s="9"/>
      <c r="H164" s="9"/>
      <c r="I164" s="9"/>
      <c r="J164" s="9"/>
      <c r="K164" s="357"/>
      <c r="L164" s="9"/>
      <c r="M164" s="9"/>
      <c r="N164" s="9"/>
      <c r="O164" s="9"/>
      <c r="P164" s="9"/>
      <c r="Q164" s="9"/>
      <c r="R164" s="14"/>
      <c r="S164" s="14"/>
    </row>
    <row r="165" spans="1:19" ht="14.25">
      <c r="A165" s="14"/>
      <c r="B165" s="9"/>
      <c r="C165" s="9"/>
      <c r="D165" s="9"/>
      <c r="E165" s="9"/>
      <c r="F165" s="9"/>
      <c r="G165" s="9"/>
      <c r="H165" s="9"/>
      <c r="I165" s="9"/>
      <c r="J165" s="9"/>
      <c r="K165" s="357"/>
      <c r="L165" s="9"/>
      <c r="M165" s="9"/>
      <c r="N165" s="9"/>
      <c r="O165" s="9"/>
      <c r="P165" s="9"/>
      <c r="Q165" s="9"/>
      <c r="R165" s="14"/>
      <c r="S165" s="14"/>
    </row>
    <row r="166" spans="1:19" ht="14.25">
      <c r="A166" s="14"/>
      <c r="B166" s="9"/>
      <c r="C166" s="9"/>
      <c r="D166" s="9"/>
      <c r="E166" s="9"/>
      <c r="F166" s="9"/>
      <c r="G166" s="9"/>
      <c r="H166" s="9"/>
      <c r="I166" s="9"/>
      <c r="J166" s="9"/>
      <c r="K166" s="357"/>
      <c r="L166" s="9"/>
      <c r="M166" s="9"/>
      <c r="N166" s="9"/>
      <c r="O166" s="9"/>
      <c r="P166" s="9"/>
      <c r="Q166" s="9"/>
      <c r="R166" s="14"/>
      <c r="S166" s="14"/>
    </row>
    <row r="167" spans="1:19" ht="14.25">
      <c r="A167" s="14"/>
      <c r="B167" s="9"/>
      <c r="C167" s="9"/>
      <c r="D167" s="9"/>
      <c r="E167" s="9"/>
      <c r="F167" s="9"/>
      <c r="G167" s="9"/>
      <c r="H167" s="9"/>
      <c r="I167" s="9"/>
      <c r="J167" s="9"/>
      <c r="K167" s="357"/>
      <c r="L167" s="9"/>
      <c r="M167" s="9"/>
      <c r="N167" s="9"/>
      <c r="O167" s="9"/>
      <c r="P167" s="9"/>
      <c r="Q167" s="9"/>
      <c r="R167" s="14"/>
      <c r="S167" s="14"/>
    </row>
    <row r="168" spans="1:19" ht="14.25">
      <c r="A168" s="14"/>
      <c r="B168" s="9"/>
      <c r="C168" s="9"/>
      <c r="D168" s="9"/>
      <c r="E168" s="9"/>
      <c r="F168" s="9"/>
      <c r="G168" s="9"/>
      <c r="H168" s="9"/>
      <c r="I168" s="9"/>
      <c r="J168" s="9"/>
      <c r="K168" s="357"/>
      <c r="L168" s="9"/>
      <c r="M168" s="9"/>
      <c r="N168" s="9"/>
      <c r="O168" s="9"/>
      <c r="P168" s="9"/>
      <c r="Q168" s="9"/>
      <c r="R168" s="14"/>
      <c r="S168" s="14"/>
    </row>
    <row r="169" spans="1:19" ht="14.25">
      <c r="A169" s="14"/>
      <c r="B169" s="9"/>
      <c r="C169" s="9"/>
      <c r="D169" s="9"/>
      <c r="E169" s="9"/>
      <c r="F169" s="9"/>
      <c r="G169" s="9"/>
      <c r="H169" s="9"/>
      <c r="I169" s="9"/>
      <c r="J169" s="9"/>
      <c r="K169" s="357"/>
      <c r="L169" s="9"/>
      <c r="M169" s="9"/>
      <c r="N169" s="9"/>
      <c r="O169" s="9"/>
      <c r="P169" s="9"/>
      <c r="Q169" s="9"/>
      <c r="R169" s="14"/>
      <c r="S169" s="14"/>
    </row>
    <row r="170" spans="1:19" ht="14.25">
      <c r="A170" s="14"/>
      <c r="B170" s="9"/>
      <c r="C170" s="9"/>
      <c r="D170" s="9"/>
      <c r="E170" s="9"/>
      <c r="F170" s="9"/>
      <c r="G170" s="9"/>
      <c r="H170" s="9"/>
      <c r="I170" s="9"/>
      <c r="J170" s="9"/>
      <c r="K170" s="357"/>
      <c r="L170" s="9"/>
      <c r="M170" s="9"/>
      <c r="N170" s="9"/>
      <c r="O170" s="9"/>
      <c r="P170" s="9"/>
      <c r="Q170" s="9"/>
      <c r="R170" s="14"/>
      <c r="S170" s="14"/>
    </row>
    <row r="171" spans="1:19" ht="14.25">
      <c r="A171" s="14"/>
      <c r="B171" s="9"/>
      <c r="C171" s="9"/>
      <c r="D171" s="9"/>
      <c r="E171" s="9"/>
      <c r="F171" s="9"/>
      <c r="G171" s="9"/>
      <c r="H171" s="9"/>
      <c r="I171" s="9"/>
      <c r="J171" s="9"/>
      <c r="K171" s="357"/>
      <c r="L171" s="9"/>
      <c r="M171" s="9"/>
      <c r="N171" s="9"/>
      <c r="O171" s="9"/>
      <c r="P171" s="9"/>
      <c r="Q171" s="9"/>
      <c r="R171" s="14"/>
      <c r="S171" s="14"/>
    </row>
    <row r="172" spans="1:19" ht="14.25">
      <c r="A172" s="14"/>
      <c r="B172" s="9"/>
      <c r="C172" s="9"/>
      <c r="D172" s="9"/>
      <c r="E172" s="9"/>
      <c r="F172" s="9"/>
      <c r="G172" s="9"/>
      <c r="H172" s="9"/>
      <c r="I172" s="9"/>
      <c r="J172" s="9"/>
      <c r="K172" s="357"/>
      <c r="L172" s="9"/>
      <c r="M172" s="9"/>
      <c r="N172" s="9"/>
      <c r="O172" s="9"/>
      <c r="P172" s="9"/>
      <c r="Q172" s="9"/>
      <c r="R172" s="14"/>
      <c r="S172" s="14"/>
    </row>
    <row r="173" spans="1:19" ht="14.25">
      <c r="A173" s="14"/>
      <c r="B173" s="9"/>
      <c r="C173" s="9"/>
      <c r="D173" s="9"/>
      <c r="E173" s="9"/>
      <c r="F173" s="9"/>
      <c r="G173" s="9"/>
      <c r="H173" s="9"/>
      <c r="I173" s="9"/>
      <c r="J173" s="9"/>
      <c r="K173" s="357"/>
      <c r="L173" s="9"/>
      <c r="M173" s="9"/>
      <c r="N173" s="9"/>
      <c r="O173" s="9"/>
      <c r="P173" s="9"/>
      <c r="Q173" s="9"/>
      <c r="R173" s="14"/>
      <c r="S173" s="14"/>
    </row>
    <row r="174" spans="1:19" ht="14.25">
      <c r="A174" s="14"/>
      <c r="B174" s="9"/>
      <c r="C174" s="9"/>
      <c r="D174" s="9"/>
      <c r="E174" s="9"/>
      <c r="F174" s="9"/>
      <c r="G174" s="9"/>
      <c r="H174" s="9"/>
      <c r="I174" s="9"/>
      <c r="J174" s="9"/>
      <c r="K174" s="357"/>
      <c r="L174" s="9"/>
      <c r="M174" s="9"/>
      <c r="N174" s="9"/>
      <c r="O174" s="9"/>
      <c r="P174" s="9"/>
      <c r="Q174" s="9"/>
      <c r="R174" s="14"/>
      <c r="S174" s="14"/>
    </row>
    <row r="175" spans="1:19" ht="14.25">
      <c r="A175" s="14"/>
      <c r="B175" s="9"/>
      <c r="C175" s="9"/>
      <c r="D175" s="9"/>
      <c r="E175" s="9"/>
      <c r="F175" s="9"/>
      <c r="G175" s="9"/>
      <c r="H175" s="9"/>
      <c r="I175" s="9"/>
      <c r="J175" s="9"/>
      <c r="K175" s="357"/>
      <c r="L175" s="9"/>
      <c r="M175" s="9"/>
      <c r="N175" s="9"/>
      <c r="O175" s="9"/>
      <c r="P175" s="9"/>
      <c r="Q175" s="9"/>
      <c r="R175" s="14"/>
      <c r="S175" s="14"/>
    </row>
    <row r="176" spans="1:19" ht="14.25">
      <c r="A176" s="14"/>
      <c r="B176" s="9"/>
      <c r="C176" s="9"/>
      <c r="D176" s="9"/>
      <c r="E176" s="9"/>
      <c r="F176" s="9"/>
      <c r="G176" s="9"/>
      <c r="H176" s="9"/>
      <c r="I176" s="9"/>
      <c r="J176" s="9"/>
      <c r="K176" s="357"/>
      <c r="L176" s="9"/>
      <c r="M176" s="9"/>
      <c r="N176" s="9"/>
      <c r="O176" s="9"/>
      <c r="P176" s="9"/>
      <c r="Q176" s="9"/>
      <c r="R176" s="14"/>
      <c r="S176" s="14"/>
    </row>
    <row r="177" spans="1:19" ht="14.25">
      <c r="A177" s="14"/>
      <c r="B177" s="9"/>
      <c r="C177" s="9"/>
      <c r="D177" s="9"/>
      <c r="E177" s="9"/>
      <c r="F177" s="9"/>
      <c r="G177" s="9"/>
      <c r="H177" s="9"/>
      <c r="I177" s="9"/>
      <c r="J177" s="9"/>
      <c r="K177" s="357"/>
      <c r="L177" s="9"/>
      <c r="M177" s="9"/>
      <c r="N177" s="9"/>
      <c r="O177" s="9"/>
      <c r="P177" s="9"/>
      <c r="Q177" s="9"/>
      <c r="R177" s="14"/>
      <c r="S177" s="14"/>
    </row>
    <row r="178" spans="1:19" ht="14.25">
      <c r="A178" s="14"/>
      <c r="B178" s="9"/>
      <c r="C178" s="9"/>
      <c r="D178" s="9"/>
      <c r="E178" s="9"/>
      <c r="F178" s="9"/>
      <c r="G178" s="9"/>
      <c r="H178" s="9"/>
      <c r="I178" s="9"/>
      <c r="J178" s="9"/>
      <c r="K178" s="357"/>
      <c r="L178" s="9"/>
      <c r="M178" s="9"/>
      <c r="N178" s="9"/>
      <c r="O178" s="9"/>
      <c r="P178" s="9"/>
      <c r="Q178" s="9"/>
      <c r="R178" s="14"/>
      <c r="S178" s="14"/>
    </row>
    <row r="179" spans="1:19" ht="14.25">
      <c r="A179" s="14"/>
      <c r="B179" s="9"/>
      <c r="C179" s="9"/>
      <c r="D179" s="9"/>
      <c r="E179" s="9"/>
      <c r="F179" s="9"/>
      <c r="G179" s="9"/>
      <c r="H179" s="9"/>
      <c r="I179" s="9"/>
      <c r="J179" s="9"/>
      <c r="K179" s="357"/>
      <c r="L179" s="9"/>
      <c r="M179" s="9"/>
      <c r="N179" s="9"/>
      <c r="O179" s="9"/>
      <c r="P179" s="9"/>
      <c r="Q179" s="9"/>
      <c r="R179" s="14"/>
      <c r="S179" s="14"/>
    </row>
    <row r="180" spans="1:19" ht="14.25">
      <c r="A180" s="14"/>
      <c r="B180" s="9"/>
      <c r="C180" s="9"/>
      <c r="D180" s="9"/>
      <c r="E180" s="9"/>
      <c r="F180" s="9"/>
      <c r="G180" s="9"/>
      <c r="H180" s="9"/>
      <c r="I180" s="9"/>
      <c r="J180" s="9"/>
      <c r="K180" s="357"/>
      <c r="L180" s="9"/>
      <c r="M180" s="9"/>
      <c r="N180" s="9"/>
      <c r="O180" s="9"/>
      <c r="P180" s="9"/>
      <c r="Q180" s="9"/>
      <c r="R180" s="14"/>
      <c r="S180" s="14"/>
    </row>
    <row r="181" spans="1:19" ht="14.25">
      <c r="A181" s="14"/>
      <c r="B181" s="9"/>
      <c r="C181" s="9"/>
      <c r="D181" s="9"/>
      <c r="E181" s="9"/>
      <c r="F181" s="9"/>
      <c r="G181" s="9"/>
      <c r="H181" s="9"/>
      <c r="I181" s="9"/>
      <c r="J181" s="9"/>
      <c r="K181" s="357"/>
      <c r="L181" s="9"/>
      <c r="M181" s="9"/>
      <c r="N181" s="9"/>
      <c r="O181" s="9"/>
      <c r="P181" s="9"/>
      <c r="Q181" s="9"/>
      <c r="R181" s="14"/>
      <c r="S181" s="14"/>
    </row>
    <row r="182" spans="1:19" ht="14.25">
      <c r="A182" s="14"/>
      <c r="B182" s="9"/>
      <c r="C182" s="9"/>
      <c r="D182" s="9"/>
      <c r="E182" s="9"/>
      <c r="F182" s="9"/>
      <c r="G182" s="9"/>
      <c r="H182" s="9"/>
      <c r="I182" s="9"/>
      <c r="J182" s="9"/>
      <c r="K182" s="357"/>
      <c r="L182" s="9"/>
      <c r="M182" s="9"/>
      <c r="N182" s="9"/>
      <c r="O182" s="9"/>
      <c r="P182" s="9"/>
      <c r="Q182" s="9"/>
      <c r="R182" s="14"/>
      <c r="S182" s="14"/>
    </row>
    <row r="183" spans="1:19" ht="14.25">
      <c r="A183" s="14"/>
      <c r="B183" s="9"/>
      <c r="C183" s="9"/>
      <c r="D183" s="9"/>
      <c r="E183" s="9"/>
      <c r="F183" s="9"/>
      <c r="G183" s="9"/>
      <c r="H183" s="9"/>
      <c r="I183" s="9"/>
      <c r="J183" s="9"/>
      <c r="K183" s="357"/>
      <c r="L183" s="9"/>
      <c r="M183" s="9"/>
      <c r="N183" s="9"/>
      <c r="O183" s="9"/>
      <c r="P183" s="9"/>
      <c r="Q183" s="9"/>
      <c r="R183" s="14"/>
      <c r="S183" s="14"/>
    </row>
    <row r="184" spans="1:19" ht="14.25">
      <c r="A184" s="14"/>
      <c r="B184" s="9"/>
      <c r="C184" s="9"/>
      <c r="D184" s="9"/>
      <c r="E184" s="9"/>
      <c r="F184" s="9"/>
      <c r="G184" s="9"/>
      <c r="H184" s="9"/>
      <c r="I184" s="9"/>
      <c r="J184" s="9"/>
      <c r="K184" s="357"/>
      <c r="L184" s="9"/>
      <c r="M184" s="9"/>
      <c r="N184" s="9"/>
      <c r="O184" s="9"/>
      <c r="P184" s="9"/>
      <c r="Q184" s="9"/>
      <c r="R184" s="14"/>
      <c r="S184" s="14"/>
    </row>
    <row r="185" spans="1:19" ht="14.25">
      <c r="A185" s="14"/>
      <c r="B185" s="9"/>
      <c r="C185" s="9"/>
      <c r="D185" s="9"/>
      <c r="E185" s="9"/>
      <c r="F185" s="9"/>
      <c r="G185" s="9"/>
      <c r="H185" s="9"/>
      <c r="I185" s="9"/>
      <c r="J185" s="9"/>
      <c r="K185" s="357"/>
      <c r="L185" s="9"/>
      <c r="M185" s="9"/>
      <c r="N185" s="9"/>
      <c r="O185" s="9"/>
      <c r="P185" s="9"/>
      <c r="Q185" s="9"/>
      <c r="R185" s="14"/>
      <c r="S185" s="14"/>
    </row>
    <row r="186" spans="1:19" ht="14.25">
      <c r="A186" s="14"/>
      <c r="B186" s="9"/>
      <c r="C186" s="9"/>
      <c r="D186" s="9"/>
      <c r="E186" s="9"/>
      <c r="F186" s="9"/>
      <c r="G186" s="9"/>
      <c r="H186" s="9"/>
      <c r="I186" s="9"/>
      <c r="J186" s="9"/>
      <c r="K186" s="357"/>
      <c r="L186" s="9"/>
      <c r="M186" s="9"/>
      <c r="N186" s="9"/>
      <c r="O186" s="9"/>
      <c r="P186" s="9"/>
      <c r="Q186" s="9"/>
      <c r="R186" s="14"/>
      <c r="S186" s="14"/>
    </row>
    <row r="187" spans="1:19" ht="14.25">
      <c r="A187" s="14"/>
      <c r="B187" s="9"/>
      <c r="C187" s="9"/>
      <c r="D187" s="9"/>
      <c r="E187" s="9"/>
      <c r="F187" s="9"/>
      <c r="G187" s="9"/>
      <c r="H187" s="9"/>
      <c r="I187" s="9"/>
      <c r="J187" s="9"/>
      <c r="K187" s="357"/>
      <c r="L187" s="9"/>
      <c r="M187" s="9"/>
      <c r="N187" s="9"/>
      <c r="O187" s="9"/>
      <c r="P187" s="9"/>
      <c r="Q187" s="9"/>
      <c r="R187" s="14"/>
      <c r="S187" s="14"/>
    </row>
    <row r="188" spans="1:19" ht="14.25">
      <c r="A188" s="14"/>
      <c r="B188" s="9"/>
      <c r="C188" s="9"/>
      <c r="D188" s="9"/>
      <c r="E188" s="9"/>
      <c r="F188" s="9"/>
      <c r="G188" s="9"/>
      <c r="H188" s="9"/>
      <c r="I188" s="9"/>
      <c r="J188" s="9"/>
      <c r="K188" s="357"/>
      <c r="L188" s="9"/>
      <c r="M188" s="9"/>
      <c r="N188" s="9"/>
      <c r="O188" s="9"/>
      <c r="P188" s="9"/>
      <c r="Q188" s="9"/>
      <c r="R188" s="14"/>
      <c r="S188" s="14"/>
    </row>
    <row r="189" spans="1:19" ht="14.25">
      <c r="A189" s="14"/>
      <c r="B189" s="9"/>
      <c r="C189" s="9"/>
      <c r="D189" s="9"/>
      <c r="E189" s="9"/>
      <c r="F189" s="9"/>
      <c r="G189" s="9"/>
      <c r="H189" s="9"/>
      <c r="I189" s="9"/>
      <c r="J189" s="9"/>
      <c r="K189" s="357"/>
      <c r="L189" s="9"/>
      <c r="M189" s="9"/>
      <c r="N189" s="9"/>
      <c r="O189" s="9"/>
      <c r="P189" s="9"/>
      <c r="Q189" s="9"/>
      <c r="R189" s="14"/>
      <c r="S189" s="14"/>
    </row>
    <row r="190" spans="1:19" ht="14.25">
      <c r="A190" s="14"/>
      <c r="B190" s="9"/>
      <c r="C190" s="9"/>
      <c r="D190" s="9"/>
      <c r="E190" s="9"/>
      <c r="F190" s="9"/>
      <c r="G190" s="9"/>
      <c r="H190" s="9"/>
      <c r="I190" s="9"/>
      <c r="J190" s="9"/>
      <c r="K190" s="357"/>
      <c r="L190" s="9"/>
      <c r="M190" s="9"/>
      <c r="N190" s="9"/>
      <c r="O190" s="9"/>
      <c r="P190" s="9"/>
      <c r="Q190" s="9"/>
      <c r="R190" s="14"/>
      <c r="S190" s="14"/>
    </row>
    <row r="191" spans="1:19" ht="14.25">
      <c r="A191" s="14"/>
      <c r="B191" s="9"/>
      <c r="C191" s="9"/>
      <c r="D191" s="9"/>
      <c r="E191" s="9"/>
      <c r="F191" s="9"/>
      <c r="G191" s="9"/>
      <c r="H191" s="9"/>
      <c r="I191" s="9"/>
      <c r="J191" s="9"/>
      <c r="K191" s="357"/>
      <c r="L191" s="9"/>
      <c r="M191" s="9"/>
      <c r="N191" s="9"/>
      <c r="O191" s="9"/>
      <c r="P191" s="9"/>
      <c r="Q191" s="9"/>
      <c r="R191" s="14"/>
      <c r="S191" s="14"/>
    </row>
    <row r="192" spans="1:19" ht="14.25">
      <c r="A192" s="14"/>
      <c r="B192" s="9"/>
      <c r="C192" s="9"/>
      <c r="D192" s="9"/>
      <c r="E192" s="9"/>
      <c r="F192" s="9"/>
      <c r="G192" s="9"/>
      <c r="H192" s="9"/>
      <c r="I192" s="9"/>
      <c r="J192" s="9"/>
      <c r="K192" s="357"/>
      <c r="L192" s="9"/>
      <c r="M192" s="9"/>
      <c r="N192" s="9"/>
      <c r="O192" s="9"/>
      <c r="P192" s="9"/>
      <c r="Q192" s="9"/>
      <c r="R192" s="14"/>
      <c r="S192" s="14"/>
    </row>
    <row r="193" spans="1:19" ht="14.25">
      <c r="A193" s="14"/>
      <c r="B193" s="9"/>
      <c r="C193" s="9"/>
      <c r="D193" s="9"/>
      <c r="E193" s="9"/>
      <c r="F193" s="9"/>
      <c r="G193" s="9"/>
      <c r="H193" s="9"/>
      <c r="I193" s="9"/>
      <c r="J193" s="9"/>
      <c r="K193" s="357"/>
      <c r="L193" s="9"/>
      <c r="M193" s="9"/>
      <c r="N193" s="9"/>
      <c r="O193" s="9"/>
      <c r="P193" s="9"/>
      <c r="Q193" s="9"/>
      <c r="R193" s="14"/>
      <c r="S193" s="14"/>
    </row>
    <row r="194" spans="1:19" ht="14.25">
      <c r="A194" s="14"/>
      <c r="B194" s="9"/>
      <c r="C194" s="9"/>
      <c r="D194" s="9"/>
      <c r="E194" s="9"/>
      <c r="F194" s="9"/>
      <c r="G194" s="9"/>
      <c r="H194" s="9"/>
      <c r="I194" s="9"/>
      <c r="J194" s="9"/>
      <c r="K194" s="357"/>
      <c r="L194" s="9"/>
      <c r="M194" s="9"/>
      <c r="N194" s="9"/>
      <c r="O194" s="9"/>
      <c r="P194" s="9"/>
      <c r="Q194" s="9"/>
      <c r="R194" s="14"/>
      <c r="S194" s="14"/>
    </row>
    <row r="195" spans="1:19" ht="14.25">
      <c r="A195" s="14"/>
      <c r="B195" s="9"/>
      <c r="C195" s="9"/>
      <c r="D195" s="9"/>
      <c r="E195" s="9"/>
      <c r="F195" s="9"/>
      <c r="G195" s="9"/>
      <c r="H195" s="9"/>
      <c r="I195" s="9"/>
      <c r="J195" s="9"/>
      <c r="K195" s="357"/>
      <c r="L195" s="9"/>
      <c r="M195" s="9"/>
      <c r="N195" s="9"/>
      <c r="O195" s="9"/>
      <c r="P195" s="9"/>
      <c r="Q195" s="9"/>
      <c r="R195" s="14"/>
      <c r="S195" s="14"/>
    </row>
    <row r="196" spans="1:19" ht="14.25">
      <c r="A196" s="14"/>
      <c r="B196" s="9"/>
      <c r="C196" s="9"/>
      <c r="D196" s="9"/>
      <c r="E196" s="9"/>
      <c r="F196" s="9"/>
      <c r="G196" s="9"/>
      <c r="H196" s="9"/>
      <c r="I196" s="9"/>
      <c r="J196" s="9"/>
      <c r="K196" s="357"/>
      <c r="L196" s="9"/>
      <c r="M196" s="9"/>
      <c r="N196" s="9"/>
      <c r="O196" s="9"/>
      <c r="P196" s="9"/>
      <c r="Q196" s="9"/>
      <c r="R196" s="14"/>
      <c r="S196" s="14"/>
    </row>
    <row r="197" spans="1:19" ht="14.25">
      <c r="A197" s="14"/>
      <c r="B197" s="9"/>
      <c r="C197" s="9"/>
      <c r="D197" s="9"/>
      <c r="E197" s="9"/>
      <c r="F197" s="9"/>
      <c r="G197" s="9"/>
      <c r="H197" s="9"/>
      <c r="I197" s="9"/>
      <c r="J197" s="9"/>
      <c r="K197" s="357"/>
      <c r="L197" s="9"/>
      <c r="M197" s="9"/>
      <c r="N197" s="9"/>
      <c r="O197" s="9"/>
      <c r="P197" s="9"/>
      <c r="Q197" s="9"/>
      <c r="R197" s="14"/>
      <c r="S197" s="14"/>
    </row>
    <row r="198" spans="1:19" ht="14.25">
      <c r="A198" s="14"/>
      <c r="B198" s="9"/>
      <c r="C198" s="9"/>
      <c r="D198" s="9"/>
      <c r="E198" s="9"/>
      <c r="F198" s="9"/>
      <c r="G198" s="9"/>
      <c r="H198" s="9"/>
      <c r="I198" s="9"/>
      <c r="J198" s="9"/>
      <c r="K198" s="357"/>
      <c r="L198" s="9"/>
      <c r="M198" s="9"/>
      <c r="N198" s="9"/>
      <c r="O198" s="9"/>
      <c r="P198" s="9"/>
      <c r="Q198" s="9"/>
      <c r="R198" s="14"/>
      <c r="S198" s="14"/>
    </row>
    <row r="199" spans="1:19" ht="14.25">
      <c r="A199" s="14"/>
      <c r="B199" s="9"/>
      <c r="C199" s="9"/>
      <c r="D199" s="9"/>
      <c r="E199" s="9"/>
      <c r="F199" s="9"/>
      <c r="G199" s="9"/>
      <c r="H199" s="9"/>
      <c r="I199" s="9"/>
      <c r="J199" s="9"/>
      <c r="K199" s="357"/>
      <c r="L199" s="9"/>
      <c r="M199" s="9"/>
      <c r="N199" s="9"/>
      <c r="O199" s="9"/>
      <c r="P199" s="9"/>
      <c r="Q199" s="9"/>
      <c r="R199" s="14"/>
      <c r="S199" s="14"/>
    </row>
    <row r="200" spans="1:19" ht="14.25">
      <c r="A200" s="14"/>
      <c r="B200" s="9"/>
      <c r="C200" s="9"/>
      <c r="D200" s="9"/>
      <c r="E200" s="9"/>
      <c r="F200" s="9"/>
      <c r="G200" s="9"/>
      <c r="H200" s="9"/>
      <c r="I200" s="9"/>
      <c r="J200" s="9"/>
      <c r="K200" s="357"/>
      <c r="L200" s="9"/>
      <c r="M200" s="9"/>
      <c r="N200" s="9"/>
      <c r="O200" s="9"/>
      <c r="P200" s="9"/>
      <c r="Q200" s="9"/>
      <c r="R200" s="14"/>
      <c r="S200" s="14"/>
    </row>
    <row r="201" spans="1:19" ht="14.25">
      <c r="A201" s="14"/>
      <c r="B201" s="9"/>
      <c r="C201" s="9"/>
      <c r="D201" s="9"/>
      <c r="E201" s="9"/>
      <c r="F201" s="9"/>
      <c r="G201" s="9"/>
      <c r="H201" s="9"/>
      <c r="I201" s="9"/>
      <c r="J201" s="9"/>
      <c r="K201" s="357"/>
      <c r="L201" s="9"/>
      <c r="M201" s="9"/>
      <c r="N201" s="9"/>
      <c r="O201" s="9"/>
      <c r="P201" s="9"/>
      <c r="Q201" s="9"/>
      <c r="R201" s="14"/>
      <c r="S201" s="14"/>
    </row>
    <row r="202" spans="1:19" ht="14.25">
      <c r="A202" s="14"/>
      <c r="B202" s="9"/>
      <c r="C202" s="9"/>
      <c r="D202" s="9"/>
      <c r="E202" s="9"/>
      <c r="F202" s="9"/>
      <c r="G202" s="9"/>
      <c r="H202" s="9"/>
      <c r="I202" s="9"/>
      <c r="J202" s="9"/>
      <c r="K202" s="357"/>
      <c r="L202" s="9"/>
      <c r="M202" s="9"/>
      <c r="N202" s="9"/>
      <c r="O202" s="9"/>
      <c r="P202" s="9"/>
      <c r="Q202" s="9"/>
      <c r="R202" s="14"/>
      <c r="S202" s="14"/>
    </row>
    <row r="203" spans="1:19" ht="14.25">
      <c r="A203" s="14"/>
      <c r="B203" s="9"/>
      <c r="C203" s="9"/>
      <c r="D203" s="9"/>
      <c r="E203" s="9"/>
      <c r="F203" s="9"/>
      <c r="G203" s="9"/>
      <c r="H203" s="9"/>
      <c r="I203" s="9"/>
      <c r="J203" s="9"/>
      <c r="K203" s="357"/>
      <c r="L203" s="9"/>
      <c r="M203" s="9"/>
      <c r="N203" s="9"/>
      <c r="O203" s="9"/>
      <c r="P203" s="9"/>
      <c r="Q203" s="9"/>
      <c r="R203" s="14"/>
      <c r="S203" s="14"/>
    </row>
    <row r="204" spans="1:19" ht="14.25">
      <c r="A204" s="14"/>
      <c r="B204" s="9"/>
      <c r="C204" s="9"/>
      <c r="D204" s="9"/>
      <c r="E204" s="9"/>
      <c r="F204" s="9"/>
      <c r="G204" s="9"/>
      <c r="H204" s="9"/>
      <c r="I204" s="9"/>
      <c r="J204" s="9"/>
      <c r="K204" s="357"/>
      <c r="L204" s="9"/>
      <c r="M204" s="9"/>
      <c r="N204" s="9"/>
      <c r="O204" s="9"/>
      <c r="P204" s="9"/>
      <c r="Q204" s="9"/>
      <c r="R204" s="14"/>
      <c r="S204" s="14"/>
    </row>
    <row r="205" spans="1:19" ht="14.25">
      <c r="A205" s="14"/>
      <c r="B205" s="9"/>
      <c r="C205" s="9"/>
      <c r="D205" s="9"/>
      <c r="E205" s="9"/>
      <c r="F205" s="9"/>
      <c r="G205" s="9"/>
      <c r="H205" s="9"/>
      <c r="I205" s="9"/>
      <c r="J205" s="9"/>
      <c r="K205" s="357"/>
      <c r="L205" s="9"/>
      <c r="M205" s="9"/>
      <c r="N205" s="9"/>
      <c r="O205" s="9"/>
      <c r="P205" s="9"/>
      <c r="Q205" s="9"/>
      <c r="R205" s="14"/>
      <c r="S205" s="14"/>
    </row>
    <row r="206" spans="1:19" ht="14.25">
      <c r="A206" s="14"/>
      <c r="B206" s="9"/>
      <c r="C206" s="9"/>
      <c r="D206" s="9"/>
      <c r="E206" s="9"/>
      <c r="F206" s="9"/>
      <c r="G206" s="9"/>
      <c r="H206" s="9"/>
      <c r="I206" s="9"/>
      <c r="J206" s="9"/>
      <c r="K206" s="357"/>
      <c r="L206" s="9"/>
      <c r="M206" s="9"/>
      <c r="N206" s="9"/>
      <c r="O206" s="9"/>
      <c r="P206" s="9"/>
      <c r="Q206" s="9"/>
      <c r="R206" s="14"/>
      <c r="S206" s="14"/>
    </row>
    <row r="207" spans="1:19" ht="14.25">
      <c r="A207" s="14"/>
      <c r="B207" s="9"/>
      <c r="C207" s="9"/>
      <c r="D207" s="9"/>
      <c r="E207" s="9"/>
      <c r="F207" s="9"/>
      <c r="G207" s="9"/>
      <c r="H207" s="9"/>
      <c r="I207" s="9"/>
      <c r="J207" s="9"/>
      <c r="K207" s="357"/>
      <c r="L207" s="9"/>
      <c r="M207" s="9"/>
      <c r="N207" s="9"/>
      <c r="O207" s="9"/>
      <c r="P207" s="9"/>
      <c r="Q207" s="9"/>
      <c r="R207" s="14"/>
      <c r="S207" s="14"/>
    </row>
    <row r="208" spans="1:19" ht="14.25">
      <c r="A208" s="14"/>
      <c r="B208" s="9"/>
      <c r="C208" s="9"/>
      <c r="D208" s="9"/>
      <c r="E208" s="9"/>
      <c r="F208" s="9"/>
      <c r="G208" s="9"/>
      <c r="H208" s="9"/>
      <c r="I208" s="9"/>
      <c r="J208" s="9"/>
      <c r="K208" s="357"/>
      <c r="L208" s="9"/>
      <c r="M208" s="9"/>
      <c r="N208" s="9"/>
      <c r="O208" s="9"/>
      <c r="P208" s="9"/>
      <c r="Q208" s="9"/>
      <c r="R208" s="14"/>
      <c r="S208" s="14"/>
    </row>
    <row r="209" spans="1:19" ht="14.25">
      <c r="A209" s="14"/>
      <c r="B209" s="9"/>
      <c r="C209" s="9"/>
      <c r="D209" s="9"/>
      <c r="E209" s="9"/>
      <c r="F209" s="9"/>
      <c r="G209" s="9"/>
      <c r="H209" s="9"/>
      <c r="I209" s="9"/>
      <c r="J209" s="9"/>
      <c r="K209" s="357"/>
      <c r="L209" s="9"/>
      <c r="M209" s="9"/>
      <c r="N209" s="9"/>
      <c r="O209" s="9"/>
      <c r="P209" s="9"/>
      <c r="Q209" s="9"/>
      <c r="R209" s="14"/>
      <c r="S209" s="14"/>
    </row>
    <row r="210" spans="1:19" ht="14.25">
      <c r="A210" s="14"/>
      <c r="B210" s="9"/>
      <c r="C210" s="9"/>
      <c r="D210" s="9"/>
      <c r="E210" s="9"/>
      <c r="F210" s="9"/>
      <c r="G210" s="9"/>
      <c r="H210" s="9"/>
      <c r="I210" s="9"/>
      <c r="J210" s="9"/>
      <c r="K210" s="357"/>
      <c r="L210" s="9"/>
      <c r="M210" s="9"/>
      <c r="N210" s="9"/>
      <c r="O210" s="9"/>
      <c r="P210" s="9"/>
      <c r="Q210" s="9"/>
      <c r="R210" s="14"/>
      <c r="S210" s="14"/>
    </row>
    <row r="211" spans="1:19" ht="14.25">
      <c r="A211" s="14"/>
      <c r="B211" s="9"/>
      <c r="C211" s="9"/>
      <c r="D211" s="9"/>
      <c r="E211" s="9"/>
      <c r="F211" s="9"/>
      <c r="G211" s="9"/>
      <c r="H211" s="9"/>
      <c r="I211" s="9"/>
      <c r="J211" s="9"/>
      <c r="K211" s="357"/>
      <c r="L211" s="9"/>
      <c r="M211" s="9"/>
      <c r="N211" s="9"/>
      <c r="O211" s="9"/>
      <c r="P211" s="9"/>
      <c r="Q211" s="9"/>
      <c r="R211" s="14"/>
      <c r="S211" s="14"/>
    </row>
    <row r="212" spans="1:19" ht="14.25">
      <c r="A212" s="14"/>
      <c r="B212" s="9"/>
      <c r="C212" s="9"/>
      <c r="D212" s="9"/>
      <c r="E212" s="9"/>
      <c r="F212" s="9"/>
      <c r="G212" s="9"/>
      <c r="H212" s="9"/>
      <c r="I212" s="9"/>
      <c r="J212" s="9"/>
      <c r="K212" s="357"/>
      <c r="L212" s="9"/>
      <c r="M212" s="9"/>
      <c r="N212" s="9"/>
      <c r="O212" s="9"/>
      <c r="P212" s="9"/>
      <c r="Q212" s="9"/>
      <c r="R212" s="14"/>
      <c r="S212" s="14"/>
    </row>
    <row r="213" spans="1:19" ht="14.25">
      <c r="A213" s="14"/>
      <c r="B213" s="9"/>
      <c r="C213" s="9"/>
      <c r="D213" s="9"/>
      <c r="E213" s="9"/>
      <c r="F213" s="9"/>
      <c r="G213" s="9"/>
      <c r="H213" s="9"/>
      <c r="I213" s="9"/>
      <c r="J213" s="9"/>
      <c r="K213" s="357"/>
      <c r="L213" s="9"/>
      <c r="M213" s="9"/>
      <c r="N213" s="9"/>
      <c r="O213" s="9"/>
      <c r="P213" s="9"/>
      <c r="Q213" s="9"/>
      <c r="R213" s="14"/>
      <c r="S213" s="14"/>
    </row>
    <row r="214" spans="1:19" ht="14.25">
      <c r="A214" s="14"/>
      <c r="B214" s="9"/>
      <c r="C214" s="9"/>
      <c r="D214" s="9"/>
      <c r="E214" s="9"/>
      <c r="F214" s="9"/>
      <c r="G214" s="9"/>
      <c r="H214" s="9"/>
      <c r="I214" s="9"/>
      <c r="J214" s="9"/>
      <c r="K214" s="357"/>
      <c r="L214" s="9"/>
      <c r="M214" s="9"/>
      <c r="N214" s="9"/>
      <c r="O214" s="9"/>
      <c r="P214" s="9"/>
      <c r="Q214" s="9"/>
      <c r="R214" s="14"/>
      <c r="S214" s="14"/>
    </row>
    <row r="215" spans="1:19" ht="14.25">
      <c r="A215" s="14"/>
      <c r="B215" s="9"/>
      <c r="C215" s="9"/>
      <c r="D215" s="9"/>
      <c r="E215" s="9"/>
      <c r="F215" s="9"/>
      <c r="G215" s="9"/>
      <c r="H215" s="9"/>
      <c r="I215" s="9"/>
      <c r="J215" s="9"/>
      <c r="K215" s="357"/>
      <c r="L215" s="9"/>
      <c r="M215" s="9"/>
      <c r="N215" s="9"/>
      <c r="O215" s="9"/>
      <c r="P215" s="9"/>
      <c r="Q215" s="9"/>
      <c r="R215" s="14"/>
      <c r="S215" s="14"/>
    </row>
    <row r="216" spans="1:19" ht="14.25">
      <c r="A216" s="14"/>
      <c r="B216" s="9"/>
      <c r="C216" s="9"/>
      <c r="D216" s="9"/>
      <c r="E216" s="9"/>
      <c r="F216" s="9"/>
      <c r="G216" s="9"/>
      <c r="H216" s="9"/>
      <c r="I216" s="9"/>
      <c r="J216" s="9"/>
      <c r="K216" s="357"/>
      <c r="L216" s="9"/>
      <c r="M216" s="9"/>
      <c r="N216" s="9"/>
      <c r="O216" s="9"/>
      <c r="P216" s="9"/>
      <c r="Q216" s="9"/>
      <c r="R216" s="14"/>
      <c r="S216" s="14"/>
    </row>
    <row r="217" spans="1:19" ht="14.25">
      <c r="A217" s="14"/>
      <c r="B217" s="9"/>
      <c r="C217" s="9"/>
      <c r="D217" s="9"/>
      <c r="E217" s="9"/>
      <c r="F217" s="9"/>
      <c r="G217" s="9"/>
      <c r="H217" s="9"/>
      <c r="I217" s="9"/>
      <c r="J217" s="9"/>
      <c r="K217" s="357"/>
      <c r="L217" s="9"/>
      <c r="M217" s="9"/>
      <c r="N217" s="9"/>
      <c r="O217" s="9"/>
      <c r="P217" s="9"/>
      <c r="Q217" s="9"/>
      <c r="R217" s="14"/>
      <c r="S217" s="14"/>
    </row>
    <row r="218" spans="1:19" ht="14.25">
      <c r="A218" s="14"/>
      <c r="B218" s="9"/>
      <c r="C218" s="9"/>
      <c r="D218" s="9"/>
      <c r="E218" s="9"/>
      <c r="F218" s="9"/>
      <c r="G218" s="9"/>
      <c r="H218" s="9"/>
      <c r="I218" s="9"/>
      <c r="J218" s="9"/>
      <c r="K218" s="357"/>
      <c r="L218" s="9"/>
      <c r="M218" s="9"/>
      <c r="N218" s="9"/>
      <c r="O218" s="9"/>
      <c r="P218" s="9"/>
      <c r="Q218" s="9"/>
      <c r="R218" s="14"/>
      <c r="S218" s="14"/>
    </row>
    <row r="219" spans="1:19" ht="14.25">
      <c r="A219" s="14"/>
      <c r="B219" s="9"/>
      <c r="C219" s="9"/>
      <c r="D219" s="9"/>
      <c r="E219" s="9"/>
      <c r="F219" s="9"/>
      <c r="G219" s="9"/>
      <c r="H219" s="9"/>
      <c r="I219" s="9"/>
      <c r="J219" s="9"/>
      <c r="K219" s="357"/>
      <c r="L219" s="9"/>
      <c r="M219" s="9"/>
      <c r="N219" s="9"/>
      <c r="O219" s="9"/>
      <c r="P219" s="9"/>
      <c r="Q219" s="9"/>
      <c r="R219" s="14"/>
      <c r="S219" s="14"/>
    </row>
    <row r="220" spans="1:19" ht="14.25">
      <c r="A220" s="14"/>
      <c r="B220" s="9"/>
      <c r="C220" s="9"/>
      <c r="D220" s="9"/>
      <c r="E220" s="9"/>
      <c r="F220" s="9"/>
      <c r="G220" s="9"/>
      <c r="H220" s="9"/>
      <c r="I220" s="9"/>
      <c r="J220" s="9"/>
      <c r="K220" s="357"/>
      <c r="L220" s="9"/>
      <c r="M220" s="9"/>
      <c r="N220" s="9"/>
      <c r="O220" s="9"/>
      <c r="P220" s="9"/>
      <c r="Q220" s="9"/>
      <c r="R220" s="14"/>
      <c r="S220" s="14"/>
    </row>
    <row r="221" spans="1:19" ht="14.25">
      <c r="A221" s="14"/>
      <c r="B221" s="9"/>
      <c r="C221" s="9"/>
      <c r="D221" s="9"/>
      <c r="E221" s="9"/>
      <c r="F221" s="9"/>
      <c r="G221" s="9"/>
      <c r="H221" s="9"/>
      <c r="I221" s="9"/>
      <c r="J221" s="9"/>
      <c r="K221" s="357"/>
      <c r="L221" s="9"/>
      <c r="M221" s="9"/>
      <c r="N221" s="9"/>
      <c r="O221" s="9"/>
      <c r="P221" s="9"/>
      <c r="Q221" s="9"/>
      <c r="R221" s="14"/>
      <c r="S221" s="14"/>
    </row>
    <row r="222" spans="1:19" ht="14.25">
      <c r="A222" s="14"/>
      <c r="B222" s="9"/>
      <c r="C222" s="9"/>
      <c r="D222" s="9"/>
      <c r="E222" s="9"/>
      <c r="F222" s="9"/>
      <c r="G222" s="9"/>
      <c r="H222" s="9"/>
      <c r="I222" s="9"/>
      <c r="J222" s="9"/>
      <c r="K222" s="357"/>
      <c r="L222" s="9"/>
      <c r="M222" s="9"/>
      <c r="N222" s="9"/>
      <c r="O222" s="9"/>
      <c r="P222" s="9"/>
      <c r="Q222" s="9"/>
      <c r="R222" s="14"/>
      <c r="S222" s="14"/>
    </row>
    <row r="223" spans="1:19" ht="14.25">
      <c r="A223" s="14"/>
      <c r="B223" s="9"/>
      <c r="C223" s="9"/>
      <c r="D223" s="9"/>
      <c r="E223" s="9"/>
      <c r="F223" s="9"/>
      <c r="G223" s="9"/>
      <c r="H223" s="9"/>
      <c r="I223" s="9"/>
      <c r="J223" s="9"/>
      <c r="K223" s="357"/>
      <c r="L223" s="9"/>
      <c r="M223" s="9"/>
      <c r="N223" s="9"/>
      <c r="O223" s="9"/>
      <c r="P223" s="9"/>
      <c r="Q223" s="9"/>
      <c r="R223" s="14"/>
      <c r="S223" s="14"/>
    </row>
    <row r="224" spans="1:19" ht="14.25">
      <c r="A224" s="14"/>
      <c r="B224" s="9"/>
      <c r="C224" s="9"/>
      <c r="D224" s="9"/>
      <c r="E224" s="9"/>
      <c r="F224" s="9"/>
      <c r="G224" s="9"/>
      <c r="H224" s="9"/>
      <c r="I224" s="9"/>
      <c r="J224" s="9"/>
      <c r="K224" s="357"/>
      <c r="L224" s="9"/>
      <c r="M224" s="9"/>
      <c r="N224" s="9"/>
      <c r="O224" s="9"/>
      <c r="P224" s="9"/>
      <c r="Q224" s="9"/>
      <c r="R224" s="14"/>
      <c r="S224" s="14"/>
    </row>
    <row r="225" spans="1:19" ht="14.25">
      <c r="A225" s="14"/>
      <c r="B225" s="9"/>
      <c r="C225" s="9"/>
      <c r="D225" s="9"/>
      <c r="E225" s="9"/>
      <c r="F225" s="9"/>
      <c r="G225" s="9"/>
      <c r="H225" s="9"/>
      <c r="I225" s="9"/>
      <c r="J225" s="9"/>
      <c r="K225" s="357"/>
      <c r="L225" s="9"/>
      <c r="M225" s="9"/>
      <c r="N225" s="9"/>
      <c r="O225" s="9"/>
      <c r="P225" s="9"/>
      <c r="Q225" s="9"/>
      <c r="R225" s="14"/>
      <c r="S225" s="14"/>
    </row>
    <row r="226" spans="1:19" ht="14.25">
      <c r="A226" s="14"/>
      <c r="B226" s="9"/>
      <c r="C226" s="9"/>
      <c r="D226" s="9"/>
      <c r="E226" s="9"/>
      <c r="F226" s="9"/>
      <c r="G226" s="9"/>
      <c r="H226" s="9"/>
      <c r="I226" s="9"/>
      <c r="J226" s="9"/>
      <c r="K226" s="357"/>
      <c r="L226" s="9"/>
      <c r="M226" s="9"/>
      <c r="N226" s="9"/>
      <c r="O226" s="9"/>
      <c r="P226" s="9"/>
      <c r="Q226" s="9"/>
      <c r="R226" s="14"/>
      <c r="S226" s="14"/>
    </row>
    <row r="227" spans="1:19" ht="14.25">
      <c r="A227" s="14"/>
      <c r="B227" s="9"/>
      <c r="C227" s="9"/>
      <c r="D227" s="9"/>
      <c r="E227" s="9"/>
      <c r="F227" s="9"/>
      <c r="G227" s="9"/>
      <c r="H227" s="9"/>
      <c r="I227" s="9"/>
      <c r="J227" s="9"/>
      <c r="K227" s="357"/>
      <c r="L227" s="9"/>
      <c r="M227" s="9"/>
      <c r="N227" s="9"/>
      <c r="O227" s="9"/>
      <c r="P227" s="9"/>
      <c r="Q227" s="9"/>
      <c r="R227" s="14"/>
      <c r="S227" s="14"/>
    </row>
    <row r="228" spans="1:19" ht="14.25">
      <c r="A228" s="14"/>
      <c r="B228" s="9"/>
      <c r="C228" s="9"/>
      <c r="D228" s="9"/>
      <c r="E228" s="9"/>
      <c r="F228" s="9"/>
      <c r="G228" s="9"/>
      <c r="H228" s="9"/>
      <c r="I228" s="9"/>
      <c r="J228" s="9"/>
      <c r="K228" s="357"/>
      <c r="L228" s="9"/>
      <c r="M228" s="9"/>
      <c r="N228" s="9"/>
      <c r="O228" s="9"/>
      <c r="P228" s="9"/>
      <c r="Q228" s="9"/>
      <c r="R228" s="14"/>
      <c r="S228" s="14"/>
    </row>
    <row r="229" spans="1:19" ht="14.25">
      <c r="A229" s="14"/>
      <c r="B229" s="9"/>
      <c r="C229" s="9"/>
      <c r="D229" s="9"/>
      <c r="E229" s="9"/>
      <c r="F229" s="9"/>
      <c r="G229" s="9"/>
      <c r="H229" s="9"/>
      <c r="I229" s="9"/>
      <c r="J229" s="9"/>
      <c r="K229" s="357"/>
      <c r="L229" s="9"/>
      <c r="M229" s="9"/>
      <c r="N229" s="9"/>
      <c r="O229" s="9"/>
      <c r="P229" s="9"/>
      <c r="Q229" s="9"/>
      <c r="R229" s="14"/>
      <c r="S229" s="14"/>
    </row>
    <row r="230" spans="1:19" ht="14.25">
      <c r="A230" s="14"/>
      <c r="B230" s="9"/>
      <c r="C230" s="9"/>
      <c r="D230" s="9"/>
      <c r="E230" s="9"/>
      <c r="F230" s="9"/>
      <c r="G230" s="9"/>
      <c r="H230" s="9"/>
      <c r="I230" s="9"/>
      <c r="J230" s="9"/>
      <c r="K230" s="357"/>
      <c r="L230" s="9"/>
      <c r="M230" s="9"/>
      <c r="N230" s="9"/>
      <c r="O230" s="9"/>
      <c r="P230" s="9"/>
      <c r="Q230" s="9"/>
      <c r="R230" s="14"/>
      <c r="S230" s="14"/>
    </row>
    <row r="231" spans="1:19" ht="14.25">
      <c r="A231" s="14"/>
      <c r="B231" s="9"/>
      <c r="C231" s="9"/>
      <c r="D231" s="9"/>
      <c r="E231" s="9"/>
      <c r="F231" s="9"/>
      <c r="G231" s="9"/>
      <c r="H231" s="9"/>
      <c r="I231" s="9"/>
      <c r="J231" s="9"/>
      <c r="K231" s="357"/>
      <c r="L231" s="9"/>
      <c r="M231" s="9"/>
      <c r="N231" s="9"/>
      <c r="O231" s="9"/>
      <c r="P231" s="9"/>
      <c r="Q231" s="9"/>
      <c r="R231" s="14"/>
      <c r="S231" s="14"/>
    </row>
    <row r="232" spans="1:19" ht="14.25">
      <c r="A232" s="14"/>
      <c r="B232" s="9"/>
      <c r="C232" s="9"/>
      <c r="D232" s="9"/>
      <c r="E232" s="9"/>
      <c r="F232" s="9"/>
      <c r="G232" s="9"/>
      <c r="H232" s="9"/>
      <c r="I232" s="9"/>
      <c r="J232" s="9"/>
      <c r="K232" s="357"/>
      <c r="L232" s="9"/>
      <c r="M232" s="9"/>
      <c r="N232" s="9"/>
      <c r="O232" s="9"/>
      <c r="P232" s="9"/>
      <c r="Q232" s="9"/>
      <c r="R232" s="14"/>
      <c r="S232" s="14"/>
    </row>
    <row r="233" spans="1:19" ht="14.25">
      <c r="A233" s="14"/>
      <c r="B233" s="9"/>
      <c r="C233" s="9"/>
      <c r="D233" s="9"/>
      <c r="E233" s="9"/>
      <c r="F233" s="9"/>
      <c r="G233" s="9"/>
      <c r="H233" s="9"/>
      <c r="I233" s="9"/>
      <c r="J233" s="9"/>
      <c r="K233" s="357"/>
      <c r="L233" s="9"/>
      <c r="M233" s="9"/>
      <c r="N233" s="9"/>
      <c r="O233" s="9"/>
      <c r="P233" s="9"/>
      <c r="Q233" s="9"/>
      <c r="R233" s="14"/>
      <c r="S233" s="14"/>
    </row>
    <row r="234" spans="1:19" ht="14.25">
      <c r="A234" s="14"/>
      <c r="B234" s="9"/>
      <c r="C234" s="9"/>
      <c r="D234" s="9"/>
      <c r="E234" s="9"/>
      <c r="F234" s="9"/>
      <c r="G234" s="9"/>
      <c r="H234" s="9"/>
      <c r="I234" s="9"/>
      <c r="J234" s="9"/>
      <c r="K234" s="357"/>
      <c r="L234" s="9"/>
      <c r="M234" s="9"/>
      <c r="N234" s="9"/>
      <c r="O234" s="9"/>
      <c r="P234" s="9"/>
      <c r="Q234" s="9"/>
      <c r="R234" s="14"/>
      <c r="S234" s="14"/>
    </row>
    <row r="235" spans="1:19" ht="14.25">
      <c r="A235" s="14"/>
      <c r="B235" s="9"/>
      <c r="C235" s="9"/>
      <c r="D235" s="9"/>
      <c r="E235" s="9"/>
      <c r="F235" s="9"/>
      <c r="G235" s="9"/>
      <c r="H235" s="9"/>
      <c r="I235" s="9"/>
      <c r="J235" s="9"/>
      <c r="K235" s="357"/>
      <c r="L235" s="9"/>
      <c r="M235" s="9"/>
      <c r="N235" s="9"/>
      <c r="O235" s="9"/>
      <c r="P235" s="9"/>
      <c r="Q235" s="9"/>
      <c r="R235" s="14"/>
      <c r="S235" s="14"/>
    </row>
    <row r="236" spans="1:19" ht="14.25">
      <c r="A236" s="14"/>
      <c r="B236" s="9"/>
      <c r="C236" s="9"/>
      <c r="D236" s="9"/>
      <c r="E236" s="9"/>
      <c r="F236" s="9"/>
      <c r="G236" s="9"/>
      <c r="H236" s="9"/>
      <c r="I236" s="9"/>
      <c r="J236" s="9"/>
      <c r="K236" s="357"/>
      <c r="L236" s="9"/>
      <c r="M236" s="9"/>
      <c r="N236" s="9"/>
      <c r="O236" s="9"/>
      <c r="P236" s="9"/>
      <c r="Q236" s="9"/>
      <c r="R236" s="14"/>
      <c r="S236" s="14"/>
    </row>
    <row r="237" spans="1:19" ht="14.25">
      <c r="A237" s="14"/>
      <c r="B237" s="9"/>
      <c r="C237" s="9"/>
      <c r="D237" s="9"/>
      <c r="E237" s="9"/>
      <c r="F237" s="9"/>
      <c r="G237" s="9"/>
      <c r="H237" s="9"/>
      <c r="I237" s="9"/>
      <c r="J237" s="9"/>
      <c r="K237" s="357"/>
      <c r="L237" s="9"/>
      <c r="M237" s="9"/>
      <c r="N237" s="9"/>
      <c r="O237" s="9"/>
      <c r="P237" s="9"/>
      <c r="Q237" s="9"/>
      <c r="R237" s="14"/>
      <c r="S237" s="14"/>
    </row>
    <row r="238" spans="1:19" ht="14.25">
      <c r="A238" s="14"/>
      <c r="B238" s="9"/>
      <c r="C238" s="9"/>
      <c r="D238" s="9"/>
      <c r="E238" s="9"/>
      <c r="F238" s="9"/>
      <c r="G238" s="9"/>
      <c r="H238" s="9"/>
      <c r="I238" s="9"/>
      <c r="J238" s="9"/>
      <c r="K238" s="357"/>
      <c r="L238" s="9"/>
      <c r="M238" s="9"/>
      <c r="N238" s="9"/>
      <c r="O238" s="9"/>
      <c r="P238" s="9"/>
      <c r="Q238" s="9"/>
      <c r="R238" s="14"/>
      <c r="S238" s="14"/>
    </row>
    <row r="239" spans="1:19" ht="14.25">
      <c r="A239" s="14"/>
      <c r="B239" s="9"/>
      <c r="C239" s="9"/>
      <c r="D239" s="9"/>
      <c r="E239" s="9"/>
      <c r="F239" s="9"/>
      <c r="G239" s="9"/>
      <c r="H239" s="9"/>
      <c r="I239" s="9"/>
      <c r="J239" s="9"/>
      <c r="K239" s="357"/>
      <c r="L239" s="9"/>
      <c r="M239" s="9"/>
      <c r="N239" s="9"/>
      <c r="O239" s="9"/>
      <c r="P239" s="9"/>
      <c r="Q239" s="9"/>
      <c r="R239" s="14"/>
      <c r="S239" s="14"/>
    </row>
    <row r="240" spans="1:19" ht="14.25">
      <c r="A240" s="14"/>
      <c r="B240" s="9"/>
      <c r="C240" s="9"/>
      <c r="D240" s="9"/>
      <c r="E240" s="9"/>
      <c r="F240" s="9"/>
      <c r="G240" s="9"/>
      <c r="H240" s="9"/>
      <c r="I240" s="9"/>
      <c r="J240" s="9"/>
      <c r="K240" s="357"/>
      <c r="L240" s="9"/>
      <c r="M240" s="9"/>
      <c r="N240" s="9"/>
      <c r="O240" s="9"/>
      <c r="P240" s="9"/>
      <c r="Q240" s="9"/>
      <c r="R240" s="14"/>
      <c r="S240" s="14"/>
    </row>
    <row r="241" spans="1:19" ht="14.25">
      <c r="A241" s="14"/>
      <c r="B241" s="9"/>
      <c r="C241" s="9"/>
      <c r="D241" s="9"/>
      <c r="E241" s="9"/>
      <c r="F241" s="9"/>
      <c r="G241" s="9"/>
      <c r="H241" s="9"/>
      <c r="I241" s="9"/>
      <c r="J241" s="9"/>
      <c r="K241" s="357"/>
      <c r="L241" s="9"/>
      <c r="M241" s="9"/>
      <c r="N241" s="9"/>
      <c r="O241" s="9"/>
      <c r="P241" s="9"/>
      <c r="Q241" s="9"/>
      <c r="R241" s="14"/>
      <c r="S241" s="14"/>
    </row>
    <row r="242" spans="1:19" ht="14.25">
      <c r="A242" s="14"/>
      <c r="B242" s="9"/>
      <c r="C242" s="9"/>
      <c r="D242" s="9"/>
      <c r="E242" s="9"/>
      <c r="F242" s="9"/>
      <c r="G242" s="9"/>
      <c r="H242" s="9"/>
      <c r="I242" s="9"/>
      <c r="J242" s="9"/>
      <c r="K242" s="357"/>
      <c r="L242" s="9"/>
      <c r="M242" s="9"/>
      <c r="N242" s="9"/>
      <c r="O242" s="9"/>
      <c r="P242" s="9"/>
      <c r="Q242" s="9"/>
      <c r="R242" s="14"/>
      <c r="S242" s="14"/>
    </row>
    <row r="243" spans="1:19" ht="14.25">
      <c r="A243" s="14"/>
      <c r="B243" s="9"/>
      <c r="C243" s="9"/>
      <c r="D243" s="9"/>
      <c r="E243" s="9"/>
      <c r="F243" s="9"/>
      <c r="G243" s="9"/>
      <c r="H243" s="9"/>
      <c r="I243" s="9"/>
      <c r="J243" s="9"/>
      <c r="K243" s="357"/>
      <c r="L243" s="9"/>
      <c r="M243" s="9"/>
      <c r="N243" s="9"/>
      <c r="O243" s="9"/>
      <c r="P243" s="9"/>
      <c r="Q243" s="9"/>
      <c r="R243" s="14"/>
      <c r="S243" s="14"/>
    </row>
    <row r="244" spans="1:19" ht="14.25">
      <c r="A244" s="14"/>
      <c r="B244" s="9"/>
      <c r="C244" s="9"/>
      <c r="D244" s="9"/>
      <c r="E244" s="9"/>
      <c r="F244" s="9"/>
      <c r="G244" s="9"/>
      <c r="H244" s="9"/>
      <c r="I244" s="9"/>
      <c r="J244" s="9"/>
      <c r="K244" s="357"/>
      <c r="L244" s="9"/>
      <c r="M244" s="9"/>
      <c r="N244" s="9"/>
      <c r="O244" s="9"/>
      <c r="P244" s="9"/>
      <c r="Q244" s="9"/>
      <c r="R244" s="14"/>
      <c r="S244" s="14"/>
    </row>
    <row r="245" spans="1:19" ht="14.25">
      <c r="A245" s="14"/>
      <c r="B245" s="9"/>
      <c r="C245" s="9"/>
      <c r="D245" s="9"/>
      <c r="E245" s="9"/>
      <c r="F245" s="9"/>
      <c r="G245" s="9"/>
      <c r="H245" s="9"/>
      <c r="I245" s="9"/>
      <c r="J245" s="9"/>
      <c r="K245" s="357"/>
      <c r="L245" s="9"/>
      <c r="M245" s="9"/>
      <c r="N245" s="9"/>
      <c r="O245" s="9"/>
      <c r="P245" s="9"/>
      <c r="Q245" s="9"/>
      <c r="R245" s="14"/>
      <c r="S245" s="14"/>
    </row>
    <row r="246" spans="1:19" ht="14.25">
      <c r="A246" s="14"/>
      <c r="B246" s="9"/>
      <c r="C246" s="9"/>
      <c r="D246" s="9"/>
      <c r="E246" s="9"/>
      <c r="F246" s="9"/>
      <c r="G246" s="9"/>
      <c r="H246" s="9"/>
      <c r="I246" s="9"/>
      <c r="J246" s="9"/>
      <c r="K246" s="357"/>
      <c r="L246" s="9"/>
      <c r="M246" s="9"/>
      <c r="N246" s="9"/>
      <c r="O246" s="9"/>
      <c r="P246" s="9"/>
      <c r="Q246" s="9"/>
      <c r="R246" s="14"/>
      <c r="S246" s="14"/>
    </row>
    <row r="247" spans="1:19" ht="14.25">
      <c r="A247" s="14"/>
      <c r="B247" s="9"/>
      <c r="C247" s="9"/>
      <c r="D247" s="9"/>
      <c r="E247" s="9"/>
      <c r="F247" s="9"/>
      <c r="G247" s="9"/>
      <c r="H247" s="9"/>
      <c r="I247" s="9"/>
      <c r="J247" s="9"/>
      <c r="K247" s="357"/>
      <c r="L247" s="9"/>
      <c r="M247" s="9"/>
      <c r="N247" s="9"/>
      <c r="O247" s="9"/>
      <c r="P247" s="9"/>
      <c r="Q247" s="9"/>
      <c r="R247" s="14"/>
      <c r="S247" s="14"/>
    </row>
    <row r="248" spans="1:19" ht="14.25">
      <c r="A248" s="14"/>
      <c r="B248" s="9"/>
      <c r="C248" s="9"/>
      <c r="D248" s="9"/>
      <c r="E248" s="9"/>
      <c r="F248" s="9"/>
      <c r="G248" s="9"/>
      <c r="H248" s="9"/>
      <c r="I248" s="9"/>
      <c r="J248" s="9"/>
      <c r="K248" s="357"/>
      <c r="L248" s="9"/>
      <c r="M248" s="9"/>
      <c r="N248" s="9"/>
      <c r="O248" s="9"/>
      <c r="P248" s="9"/>
      <c r="Q248" s="9"/>
      <c r="R248" s="14"/>
      <c r="S248" s="14"/>
    </row>
    <row r="249" spans="1:19" ht="14.25">
      <c r="A249" s="14"/>
      <c r="B249" s="9"/>
      <c r="C249" s="9"/>
      <c r="D249" s="9"/>
      <c r="E249" s="9"/>
      <c r="F249" s="9"/>
      <c r="G249" s="9"/>
      <c r="H249" s="9"/>
      <c r="I249" s="9"/>
      <c r="J249" s="9"/>
      <c r="K249" s="357"/>
      <c r="L249" s="9"/>
      <c r="M249" s="9"/>
      <c r="N249" s="9"/>
      <c r="O249" s="9"/>
      <c r="P249" s="9"/>
      <c r="Q249" s="9"/>
      <c r="R249" s="14"/>
      <c r="S249" s="14"/>
    </row>
    <row r="250" spans="1:19" ht="14.25">
      <c r="A250" s="14"/>
      <c r="B250" s="9"/>
      <c r="C250" s="9"/>
      <c r="D250" s="9"/>
      <c r="E250" s="9"/>
      <c r="F250" s="9"/>
      <c r="G250" s="9"/>
      <c r="H250" s="9"/>
      <c r="I250" s="9"/>
      <c r="J250" s="9"/>
      <c r="K250" s="357"/>
      <c r="L250" s="9"/>
      <c r="M250" s="9"/>
      <c r="N250" s="9"/>
      <c r="O250" s="9"/>
      <c r="P250" s="9"/>
      <c r="Q250" s="9"/>
      <c r="R250" s="14"/>
      <c r="S250" s="14"/>
    </row>
    <row r="251" spans="1:19" ht="14.25">
      <c r="A251" s="14"/>
      <c r="B251" s="9"/>
      <c r="C251" s="9"/>
      <c r="D251" s="9"/>
      <c r="E251" s="9"/>
      <c r="F251" s="9"/>
      <c r="G251" s="9"/>
      <c r="H251" s="9"/>
      <c r="I251" s="9"/>
      <c r="J251" s="9"/>
      <c r="K251" s="357"/>
      <c r="L251" s="9"/>
      <c r="M251" s="9"/>
      <c r="N251" s="9"/>
      <c r="O251" s="9"/>
      <c r="P251" s="9"/>
      <c r="Q251" s="9"/>
      <c r="R251" s="14"/>
      <c r="S251" s="14"/>
    </row>
    <row r="252" spans="1:19" ht="14.25">
      <c r="A252" s="14"/>
      <c r="B252" s="9"/>
      <c r="C252" s="9"/>
      <c r="D252" s="9"/>
      <c r="E252" s="9"/>
      <c r="F252" s="9"/>
      <c r="G252" s="9"/>
      <c r="H252" s="9"/>
      <c r="I252" s="9"/>
      <c r="J252" s="9"/>
      <c r="K252" s="357"/>
      <c r="L252" s="9"/>
      <c r="M252" s="9"/>
      <c r="N252" s="9"/>
      <c r="O252" s="9"/>
      <c r="P252" s="9"/>
      <c r="Q252" s="9"/>
      <c r="R252" s="14"/>
      <c r="S252" s="14"/>
    </row>
    <row r="253" spans="1:19" ht="14.25">
      <c r="A253" s="14"/>
      <c r="B253" s="9"/>
      <c r="C253" s="9"/>
      <c r="D253" s="9"/>
      <c r="E253" s="9"/>
      <c r="F253" s="9"/>
      <c r="G253" s="9"/>
      <c r="H253" s="9"/>
      <c r="I253" s="9"/>
      <c r="J253" s="9"/>
      <c r="K253" s="357"/>
      <c r="L253" s="9"/>
      <c r="M253" s="9"/>
      <c r="N253" s="9"/>
      <c r="O253" s="9"/>
      <c r="P253" s="9"/>
      <c r="Q253" s="9"/>
      <c r="R253" s="14"/>
      <c r="S253" s="14"/>
    </row>
    <row r="254" spans="1:19" ht="14.25">
      <c r="A254" s="14"/>
      <c r="B254" s="9"/>
      <c r="C254" s="9"/>
      <c r="D254" s="9"/>
      <c r="E254" s="9"/>
      <c r="F254" s="9"/>
      <c r="G254" s="9"/>
      <c r="H254" s="9"/>
      <c r="I254" s="9"/>
      <c r="J254" s="9"/>
      <c r="K254" s="357"/>
      <c r="L254" s="9"/>
      <c r="M254" s="9"/>
      <c r="N254" s="9"/>
      <c r="O254" s="9"/>
      <c r="P254" s="9"/>
      <c r="Q254" s="9"/>
      <c r="R254" s="14"/>
      <c r="S254" s="14"/>
    </row>
    <row r="255" spans="1:19" ht="14.25">
      <c r="A255" s="14"/>
      <c r="B255" s="9"/>
      <c r="C255" s="9"/>
      <c r="D255" s="9"/>
      <c r="E255" s="9"/>
      <c r="F255" s="9"/>
      <c r="G255" s="9"/>
      <c r="H255" s="9"/>
      <c r="I255" s="9"/>
      <c r="J255" s="9"/>
      <c r="K255" s="357"/>
      <c r="L255" s="9"/>
      <c r="M255" s="9"/>
      <c r="N255" s="9"/>
      <c r="O255" s="9"/>
      <c r="P255" s="9"/>
      <c r="Q255" s="9"/>
      <c r="R255" s="14"/>
      <c r="S255" s="14"/>
    </row>
    <row r="256" spans="1:19" ht="14.25">
      <c r="A256" s="14"/>
      <c r="B256" s="9"/>
      <c r="C256" s="9"/>
      <c r="D256" s="9"/>
      <c r="E256" s="9"/>
      <c r="F256" s="9"/>
      <c r="G256" s="9"/>
      <c r="H256" s="9"/>
      <c r="I256" s="9"/>
      <c r="J256" s="9"/>
      <c r="K256" s="357"/>
      <c r="L256" s="9"/>
      <c r="M256" s="9"/>
      <c r="N256" s="9"/>
      <c r="O256" s="9"/>
      <c r="P256" s="9"/>
      <c r="Q256" s="9"/>
      <c r="R256" s="14"/>
      <c r="S256" s="14"/>
    </row>
    <row r="257" spans="1:19" ht="14.25">
      <c r="A257" s="14"/>
      <c r="B257" s="9"/>
      <c r="C257" s="9"/>
      <c r="D257" s="9"/>
      <c r="E257" s="9"/>
      <c r="F257" s="9"/>
      <c r="G257" s="9"/>
      <c r="H257" s="9"/>
      <c r="I257" s="9"/>
      <c r="J257" s="9"/>
      <c r="K257" s="357"/>
      <c r="L257" s="9"/>
      <c r="M257" s="9"/>
      <c r="N257" s="9"/>
      <c r="O257" s="9"/>
      <c r="P257" s="9"/>
      <c r="Q257" s="9"/>
      <c r="R257" s="14"/>
      <c r="S257" s="14"/>
    </row>
    <row r="258" spans="1:19" ht="14.25">
      <c r="A258" s="14"/>
      <c r="B258" s="9"/>
      <c r="C258" s="9"/>
      <c r="D258" s="9"/>
      <c r="E258" s="9"/>
      <c r="F258" s="9"/>
      <c r="G258" s="9"/>
      <c r="H258" s="9"/>
      <c r="I258" s="9"/>
      <c r="J258" s="9"/>
      <c r="K258" s="357"/>
      <c r="L258" s="9"/>
      <c r="M258" s="9"/>
      <c r="N258" s="9"/>
      <c r="O258" s="9"/>
      <c r="P258" s="9"/>
      <c r="Q258" s="9"/>
      <c r="R258" s="14"/>
      <c r="S258" s="14"/>
    </row>
    <row r="259" spans="1:19" ht="14.25">
      <c r="A259" s="14"/>
      <c r="B259" s="9"/>
      <c r="C259" s="9"/>
      <c r="D259" s="9"/>
      <c r="E259" s="9"/>
      <c r="F259" s="9"/>
      <c r="G259" s="9"/>
      <c r="H259" s="9"/>
      <c r="I259" s="9"/>
      <c r="J259" s="9"/>
      <c r="K259" s="357"/>
      <c r="L259" s="9"/>
      <c r="M259" s="9"/>
      <c r="N259" s="9"/>
      <c r="O259" s="9"/>
      <c r="P259" s="9"/>
      <c r="Q259" s="9"/>
      <c r="R259" s="14"/>
      <c r="S259" s="14"/>
    </row>
    <row r="260" spans="1:19" ht="14.25">
      <c r="A260" s="14"/>
      <c r="B260" s="9"/>
      <c r="C260" s="9"/>
      <c r="D260" s="9"/>
      <c r="E260" s="9"/>
      <c r="F260" s="9"/>
      <c r="G260" s="9"/>
      <c r="H260" s="9"/>
      <c r="I260" s="9"/>
      <c r="J260" s="9"/>
      <c r="K260" s="357"/>
      <c r="L260" s="9"/>
      <c r="M260" s="9"/>
      <c r="N260" s="9"/>
      <c r="O260" s="9"/>
      <c r="P260" s="9"/>
      <c r="Q260" s="9"/>
      <c r="R260" s="14"/>
      <c r="S260" s="14"/>
    </row>
    <row r="261" spans="1:19" ht="14.25">
      <c r="A261" s="14"/>
      <c r="B261" s="9"/>
      <c r="C261" s="9"/>
      <c r="D261" s="9"/>
      <c r="E261" s="9"/>
      <c r="F261" s="9"/>
      <c r="G261" s="9"/>
      <c r="H261" s="9"/>
      <c r="I261" s="9"/>
      <c r="J261" s="9"/>
      <c r="K261" s="357"/>
      <c r="L261" s="9"/>
      <c r="M261" s="9"/>
      <c r="N261" s="9"/>
      <c r="O261" s="9"/>
      <c r="P261" s="9"/>
      <c r="Q261" s="9"/>
      <c r="R261" s="14"/>
      <c r="S261" s="14"/>
    </row>
    <row r="262" spans="1:19" ht="14.25">
      <c r="A262" s="14"/>
      <c r="B262" s="9"/>
      <c r="C262" s="9"/>
      <c r="D262" s="9"/>
      <c r="E262" s="9"/>
      <c r="F262" s="9"/>
      <c r="G262" s="9"/>
      <c r="H262" s="9"/>
      <c r="I262" s="9"/>
      <c r="J262" s="9"/>
      <c r="K262" s="357"/>
      <c r="L262" s="9"/>
      <c r="M262" s="9"/>
      <c r="N262" s="9"/>
      <c r="O262" s="9"/>
      <c r="P262" s="9"/>
      <c r="Q262" s="9"/>
      <c r="R262" s="14"/>
      <c r="S262" s="14"/>
    </row>
    <row r="263" spans="1:19" ht="14.25">
      <c r="A263" s="14"/>
      <c r="B263" s="9"/>
      <c r="C263" s="9"/>
      <c r="D263" s="9"/>
      <c r="E263" s="9"/>
      <c r="F263" s="9"/>
      <c r="G263" s="9"/>
      <c r="H263" s="9"/>
      <c r="I263" s="9"/>
      <c r="J263" s="9"/>
      <c r="K263" s="357"/>
      <c r="L263" s="9"/>
      <c r="M263" s="9"/>
      <c r="N263" s="9"/>
      <c r="O263" s="9"/>
      <c r="P263" s="9"/>
      <c r="Q263" s="9"/>
      <c r="R263" s="14"/>
      <c r="S263" s="14"/>
    </row>
    <row r="264" spans="1:19" ht="14.25">
      <c r="A264" s="14"/>
      <c r="B264" s="9"/>
      <c r="C264" s="9"/>
      <c r="D264" s="9"/>
      <c r="E264" s="9"/>
      <c r="F264" s="9"/>
      <c r="G264" s="9"/>
      <c r="H264" s="9"/>
      <c r="I264" s="9"/>
      <c r="J264" s="9"/>
      <c r="K264" s="357"/>
      <c r="L264" s="9"/>
      <c r="M264" s="9"/>
      <c r="N264" s="9"/>
      <c r="O264" s="9"/>
      <c r="P264" s="9"/>
      <c r="Q264" s="9"/>
      <c r="R264" s="14"/>
      <c r="S264" s="14"/>
    </row>
    <row r="265" spans="1:19" ht="14.25">
      <c r="A265" s="14"/>
      <c r="B265" s="9"/>
      <c r="C265" s="9"/>
      <c r="D265" s="9"/>
      <c r="E265" s="9"/>
      <c r="F265" s="9"/>
      <c r="G265" s="9"/>
      <c r="H265" s="9"/>
      <c r="I265" s="9"/>
      <c r="J265" s="9"/>
      <c r="K265" s="357"/>
      <c r="L265" s="9"/>
      <c r="M265" s="9"/>
      <c r="N265" s="9"/>
      <c r="O265" s="9"/>
      <c r="P265" s="9"/>
      <c r="Q265" s="9"/>
      <c r="R265" s="14"/>
      <c r="S265" s="14"/>
    </row>
    <row r="266" spans="1:19" ht="14.25">
      <c r="A266" s="14"/>
      <c r="B266" s="9"/>
      <c r="C266" s="9"/>
      <c r="D266" s="9"/>
      <c r="E266" s="9"/>
      <c r="F266" s="9"/>
      <c r="G266" s="9"/>
      <c r="H266" s="9"/>
      <c r="I266" s="9"/>
      <c r="J266" s="9"/>
      <c r="K266" s="357"/>
      <c r="L266" s="9"/>
      <c r="M266" s="9"/>
      <c r="N266" s="9"/>
      <c r="O266" s="9"/>
      <c r="P266" s="9"/>
      <c r="Q266" s="9"/>
      <c r="R266" s="14"/>
      <c r="S266" s="14"/>
    </row>
    <row r="267" spans="1:19" ht="14.25">
      <c r="A267" s="14"/>
      <c r="B267" s="9"/>
      <c r="C267" s="9"/>
      <c r="D267" s="9"/>
      <c r="E267" s="9"/>
      <c r="F267" s="9"/>
      <c r="G267" s="9"/>
      <c r="H267" s="9"/>
      <c r="I267" s="9"/>
      <c r="J267" s="9"/>
      <c r="K267" s="357"/>
      <c r="L267" s="9"/>
      <c r="M267" s="9"/>
      <c r="N267" s="9"/>
      <c r="O267" s="9"/>
      <c r="P267" s="9"/>
      <c r="Q267" s="9"/>
      <c r="R267" s="14"/>
      <c r="S267" s="14"/>
    </row>
    <row r="268" spans="1:19" ht="14.25">
      <c r="A268" s="14"/>
      <c r="B268" s="9"/>
      <c r="C268" s="9"/>
      <c r="D268" s="9"/>
      <c r="E268" s="9"/>
      <c r="F268" s="9"/>
      <c r="G268" s="9"/>
      <c r="H268" s="9"/>
      <c r="I268" s="9"/>
      <c r="J268" s="9"/>
      <c r="K268" s="357"/>
      <c r="L268" s="9"/>
      <c r="M268" s="9"/>
      <c r="N268" s="9"/>
      <c r="O268" s="9"/>
      <c r="P268" s="9"/>
      <c r="Q268" s="9"/>
      <c r="R268" s="14"/>
      <c r="S268" s="14"/>
    </row>
    <row r="269" spans="1:19" ht="14.25">
      <c r="A269" s="14"/>
      <c r="B269" s="9"/>
      <c r="C269" s="9"/>
      <c r="D269" s="9"/>
      <c r="E269" s="9"/>
      <c r="F269" s="9"/>
      <c r="G269" s="9"/>
      <c r="H269" s="9"/>
      <c r="I269" s="9"/>
      <c r="J269" s="9"/>
      <c r="K269" s="357"/>
      <c r="L269" s="9"/>
      <c r="M269" s="9"/>
      <c r="N269" s="9"/>
      <c r="O269" s="9"/>
      <c r="P269" s="9"/>
      <c r="Q269" s="9"/>
      <c r="R269" s="14"/>
      <c r="S269" s="14"/>
    </row>
    <row r="270" spans="1:19" ht="14.25">
      <c r="A270" s="14"/>
      <c r="B270" s="9"/>
      <c r="C270" s="9"/>
      <c r="D270" s="9"/>
      <c r="E270" s="9"/>
      <c r="F270" s="9"/>
      <c r="G270" s="9"/>
      <c r="H270" s="9"/>
      <c r="I270" s="9"/>
      <c r="J270" s="9"/>
      <c r="K270" s="357"/>
      <c r="L270" s="9"/>
      <c r="M270" s="9"/>
      <c r="N270" s="9"/>
      <c r="O270" s="9"/>
      <c r="P270" s="9"/>
      <c r="Q270" s="9"/>
      <c r="R270" s="14"/>
      <c r="S270" s="14"/>
    </row>
    <row r="271" spans="1:19" ht="14.25">
      <c r="A271" s="14"/>
      <c r="B271" s="9"/>
      <c r="C271" s="9"/>
      <c r="D271" s="9"/>
      <c r="E271" s="9"/>
      <c r="F271" s="9"/>
      <c r="G271" s="9"/>
      <c r="H271" s="9"/>
      <c r="I271" s="9"/>
      <c r="J271" s="9"/>
      <c r="K271" s="357"/>
      <c r="L271" s="9"/>
      <c r="M271" s="9"/>
      <c r="N271" s="9"/>
      <c r="O271" s="9"/>
      <c r="P271" s="9"/>
      <c r="Q271" s="9"/>
      <c r="R271" s="14"/>
      <c r="S271" s="14"/>
    </row>
    <row r="272" spans="1:19" ht="14.25">
      <c r="A272" s="14"/>
      <c r="B272" s="9"/>
      <c r="C272" s="9"/>
      <c r="D272" s="9"/>
      <c r="E272" s="9"/>
      <c r="F272" s="9"/>
      <c r="G272" s="9"/>
      <c r="H272" s="9"/>
      <c r="I272" s="9"/>
      <c r="J272" s="9"/>
      <c r="K272" s="357"/>
      <c r="L272" s="9"/>
      <c r="M272" s="9"/>
      <c r="N272" s="9"/>
      <c r="O272" s="9"/>
      <c r="P272" s="9"/>
      <c r="Q272" s="9"/>
      <c r="R272" s="14"/>
      <c r="S272" s="14"/>
    </row>
    <row r="273" spans="1:19" ht="14.25">
      <c r="A273" s="14"/>
      <c r="B273" s="9"/>
      <c r="C273" s="9"/>
      <c r="D273" s="9"/>
      <c r="E273" s="9"/>
      <c r="F273" s="9"/>
      <c r="G273" s="9"/>
      <c r="H273" s="9"/>
      <c r="I273" s="9"/>
      <c r="J273" s="9"/>
      <c r="K273" s="357"/>
      <c r="L273" s="9"/>
      <c r="M273" s="9"/>
      <c r="N273" s="9"/>
      <c r="O273" s="9"/>
      <c r="P273" s="9"/>
      <c r="Q273" s="9"/>
      <c r="R273" s="14"/>
      <c r="S273" s="14"/>
    </row>
    <row r="274" spans="1:19" ht="14.25">
      <c r="A274" s="14"/>
      <c r="B274" s="9"/>
      <c r="C274" s="9"/>
      <c r="D274" s="9"/>
      <c r="E274" s="9"/>
      <c r="F274" s="9"/>
      <c r="G274" s="9"/>
      <c r="H274" s="9"/>
      <c r="I274" s="9"/>
      <c r="J274" s="9"/>
      <c r="K274" s="357"/>
      <c r="L274" s="9"/>
      <c r="M274" s="9"/>
      <c r="N274" s="9"/>
      <c r="O274" s="9"/>
      <c r="P274" s="9"/>
      <c r="Q274" s="9"/>
      <c r="R274" s="14"/>
      <c r="S274" s="14"/>
    </row>
    <row r="275" spans="1:19" ht="14.25">
      <c r="A275" s="14"/>
      <c r="B275" s="9"/>
      <c r="C275" s="9"/>
      <c r="D275" s="9"/>
      <c r="E275" s="9"/>
      <c r="F275" s="9"/>
      <c r="G275" s="9"/>
      <c r="H275" s="9"/>
      <c r="I275" s="9"/>
      <c r="J275" s="9"/>
      <c r="K275" s="357"/>
      <c r="L275" s="9"/>
      <c r="M275" s="9"/>
      <c r="N275" s="9"/>
      <c r="O275" s="9"/>
      <c r="P275" s="9"/>
      <c r="Q275" s="9"/>
      <c r="R275" s="14"/>
      <c r="S275" s="14"/>
    </row>
    <row r="276" spans="1:19" ht="14.25">
      <c r="A276" s="14"/>
      <c r="B276" s="9"/>
      <c r="C276" s="9"/>
      <c r="D276" s="9"/>
      <c r="E276" s="9"/>
      <c r="F276" s="9"/>
      <c r="G276" s="9"/>
      <c r="H276" s="9"/>
      <c r="I276" s="9"/>
      <c r="J276" s="9"/>
      <c r="K276" s="357"/>
      <c r="L276" s="9"/>
      <c r="M276" s="9"/>
      <c r="N276" s="9"/>
      <c r="O276" s="9"/>
      <c r="P276" s="9"/>
      <c r="Q276" s="9"/>
      <c r="R276" s="14"/>
      <c r="S276" s="14"/>
    </row>
    <row r="277" spans="1:19" ht="14.25">
      <c r="A277" s="14"/>
      <c r="B277" s="9"/>
      <c r="C277" s="9"/>
      <c r="D277" s="9"/>
      <c r="E277" s="9"/>
      <c r="F277" s="9"/>
      <c r="G277" s="9"/>
      <c r="H277" s="9"/>
      <c r="I277" s="9"/>
      <c r="J277" s="9"/>
      <c r="K277" s="357"/>
      <c r="L277" s="9"/>
      <c r="M277" s="9"/>
      <c r="N277" s="9"/>
      <c r="O277" s="9"/>
      <c r="P277" s="9"/>
      <c r="Q277" s="9"/>
      <c r="R277" s="14"/>
      <c r="S277" s="14"/>
    </row>
    <row r="278" spans="1:19" ht="14.25">
      <c r="A278" s="14"/>
      <c r="B278" s="9"/>
      <c r="C278" s="9"/>
      <c r="D278" s="9"/>
      <c r="E278" s="9"/>
      <c r="F278" s="9"/>
      <c r="G278" s="9"/>
      <c r="H278" s="9"/>
      <c r="I278" s="9"/>
      <c r="J278" s="9"/>
      <c r="K278" s="357"/>
      <c r="L278" s="9"/>
      <c r="M278" s="9"/>
      <c r="N278" s="9"/>
      <c r="O278" s="9"/>
      <c r="P278" s="9"/>
      <c r="Q278" s="9"/>
      <c r="R278" s="14"/>
      <c r="S278" s="14"/>
    </row>
    <row r="279" spans="1:19" ht="14.25">
      <c r="A279" s="14"/>
      <c r="B279" s="9"/>
      <c r="C279" s="9"/>
      <c r="D279" s="9"/>
      <c r="E279" s="9"/>
      <c r="F279" s="9"/>
      <c r="G279" s="9"/>
      <c r="H279" s="9"/>
      <c r="I279" s="9"/>
      <c r="J279" s="9"/>
      <c r="K279" s="357"/>
      <c r="L279" s="9"/>
      <c r="M279" s="9"/>
      <c r="N279" s="9"/>
      <c r="O279" s="9"/>
      <c r="P279" s="9"/>
      <c r="Q279" s="9"/>
      <c r="R279" s="14"/>
      <c r="S279" s="14"/>
    </row>
    <row r="280" spans="1:19" ht="14.25">
      <c r="A280" s="14"/>
      <c r="B280" s="9"/>
      <c r="C280" s="9"/>
      <c r="D280" s="9"/>
      <c r="E280" s="9"/>
      <c r="F280" s="9"/>
      <c r="G280" s="9"/>
      <c r="H280" s="9"/>
      <c r="I280" s="9"/>
      <c r="J280" s="9"/>
      <c r="K280" s="357"/>
      <c r="L280" s="9"/>
      <c r="M280" s="9"/>
      <c r="N280" s="9"/>
      <c r="O280" s="9"/>
      <c r="P280" s="9"/>
      <c r="Q280" s="9"/>
      <c r="R280" s="14"/>
      <c r="S280" s="14"/>
    </row>
    <row r="281" spans="1:19" ht="14.25">
      <c r="A281" s="14"/>
      <c r="B281" s="9"/>
      <c r="C281" s="9"/>
      <c r="D281" s="9"/>
      <c r="E281" s="9"/>
      <c r="F281" s="9"/>
      <c r="G281" s="9"/>
      <c r="H281" s="9"/>
      <c r="I281" s="9"/>
      <c r="J281" s="9"/>
      <c r="K281" s="357"/>
      <c r="L281" s="9"/>
      <c r="M281" s="9"/>
      <c r="N281" s="9"/>
      <c r="O281" s="9"/>
      <c r="P281" s="9"/>
      <c r="Q281" s="9"/>
      <c r="R281" s="14"/>
      <c r="S281" s="14"/>
    </row>
    <row r="282" spans="1:19" ht="14.25">
      <c r="A282" s="14"/>
      <c r="B282" s="9"/>
      <c r="C282" s="9"/>
      <c r="D282" s="9"/>
      <c r="E282" s="9"/>
      <c r="F282" s="9"/>
      <c r="G282" s="9"/>
      <c r="H282" s="9"/>
      <c r="I282" s="9"/>
      <c r="J282" s="9"/>
      <c r="K282" s="357"/>
      <c r="L282" s="9"/>
      <c r="M282" s="9"/>
      <c r="N282" s="9"/>
      <c r="O282" s="9"/>
      <c r="P282" s="9"/>
      <c r="Q282" s="9"/>
      <c r="R282" s="14"/>
      <c r="S282" s="14"/>
    </row>
    <row r="283" spans="1:19" ht="14.25">
      <c r="A283" s="14"/>
      <c r="B283" s="9"/>
      <c r="C283" s="9"/>
      <c r="D283" s="9"/>
      <c r="E283" s="9"/>
      <c r="F283" s="9"/>
      <c r="G283" s="9"/>
      <c r="H283" s="9"/>
      <c r="I283" s="9"/>
      <c r="J283" s="9"/>
      <c r="K283" s="357"/>
      <c r="L283" s="9"/>
      <c r="M283" s="9"/>
      <c r="N283" s="9"/>
      <c r="O283" s="9"/>
      <c r="P283" s="9"/>
      <c r="Q283" s="9"/>
      <c r="R283" s="14"/>
      <c r="S283" s="14"/>
    </row>
    <row r="284" spans="1:19" ht="14.25">
      <c r="A284" s="14"/>
      <c r="B284" s="9"/>
      <c r="C284" s="9"/>
      <c r="D284" s="9"/>
      <c r="E284" s="9"/>
      <c r="F284" s="9"/>
      <c r="G284" s="9"/>
      <c r="H284" s="9"/>
      <c r="I284" s="9"/>
      <c r="J284" s="9"/>
      <c r="K284" s="357"/>
      <c r="L284" s="9"/>
      <c r="M284" s="9"/>
      <c r="N284" s="9"/>
      <c r="O284" s="9"/>
      <c r="P284" s="9"/>
      <c r="Q284" s="9"/>
      <c r="R284" s="14"/>
      <c r="S284" s="14"/>
    </row>
    <row r="285" spans="1:19" ht="14.25">
      <c r="A285" s="14"/>
      <c r="B285" s="9"/>
      <c r="C285" s="9"/>
      <c r="D285" s="9"/>
      <c r="E285" s="9"/>
      <c r="F285" s="9"/>
      <c r="G285" s="9"/>
      <c r="H285" s="9"/>
      <c r="I285" s="9"/>
      <c r="J285" s="9"/>
      <c r="K285" s="357"/>
      <c r="L285" s="9"/>
      <c r="M285" s="9"/>
      <c r="N285" s="9"/>
      <c r="O285" s="9"/>
      <c r="P285" s="9"/>
      <c r="Q285" s="9"/>
      <c r="R285" s="14"/>
      <c r="S285" s="14"/>
    </row>
    <row r="286" spans="1:19" ht="14.25">
      <c r="A286" s="14"/>
      <c r="B286" s="9"/>
      <c r="C286" s="9"/>
      <c r="D286" s="9"/>
      <c r="E286" s="9"/>
      <c r="F286" s="9"/>
      <c r="G286" s="9"/>
      <c r="H286" s="9"/>
      <c r="I286" s="9"/>
      <c r="J286" s="9"/>
      <c r="K286" s="357"/>
      <c r="L286" s="9"/>
      <c r="M286" s="9"/>
      <c r="N286" s="9"/>
      <c r="O286" s="9"/>
      <c r="P286" s="9"/>
      <c r="Q286" s="9"/>
      <c r="R286" s="14"/>
      <c r="S286" s="14"/>
    </row>
    <row r="287" spans="1:19" ht="14.25">
      <c r="A287" s="14"/>
      <c r="B287" s="9"/>
      <c r="C287" s="9"/>
      <c r="D287" s="9"/>
      <c r="E287" s="9"/>
      <c r="F287" s="9"/>
      <c r="G287" s="9"/>
      <c r="H287" s="9"/>
      <c r="I287" s="9"/>
      <c r="J287" s="9"/>
      <c r="K287" s="357"/>
      <c r="L287" s="9"/>
      <c r="M287" s="9"/>
      <c r="N287" s="9"/>
      <c r="O287" s="9"/>
      <c r="P287" s="9"/>
      <c r="Q287" s="9"/>
      <c r="R287" s="14"/>
      <c r="S287" s="14"/>
    </row>
    <row r="288" spans="1:19" ht="14.25">
      <c r="A288" s="14"/>
      <c r="B288" s="9"/>
      <c r="C288" s="9"/>
      <c r="D288" s="9"/>
      <c r="E288" s="9"/>
      <c r="F288" s="9"/>
      <c r="G288" s="9"/>
      <c r="H288" s="9"/>
      <c r="I288" s="9"/>
      <c r="J288" s="9"/>
      <c r="K288" s="357"/>
      <c r="L288" s="9"/>
      <c r="M288" s="9"/>
      <c r="N288" s="9"/>
      <c r="O288" s="9"/>
      <c r="P288" s="9"/>
      <c r="Q288" s="9"/>
      <c r="R288" s="14"/>
      <c r="S288" s="14"/>
    </row>
    <row r="289" spans="1:19" ht="14.25">
      <c r="A289" s="14"/>
      <c r="B289" s="9"/>
      <c r="C289" s="9"/>
      <c r="D289" s="9"/>
      <c r="E289" s="9"/>
      <c r="F289" s="9"/>
      <c r="G289" s="9"/>
      <c r="H289" s="9"/>
      <c r="I289" s="9"/>
      <c r="J289" s="9"/>
      <c r="K289" s="357"/>
      <c r="L289" s="9"/>
      <c r="M289" s="9"/>
      <c r="N289" s="9"/>
      <c r="O289" s="9"/>
      <c r="P289" s="9"/>
      <c r="Q289" s="9"/>
      <c r="R289" s="14"/>
      <c r="S289" s="14"/>
    </row>
    <row r="290" spans="1:19" ht="14.25">
      <c r="A290" s="14"/>
      <c r="B290" s="9"/>
      <c r="C290" s="9"/>
      <c r="D290" s="9"/>
      <c r="E290" s="9"/>
      <c r="F290" s="9"/>
      <c r="G290" s="9"/>
      <c r="H290" s="9"/>
      <c r="I290" s="9"/>
      <c r="J290" s="9"/>
      <c r="K290" s="357"/>
      <c r="L290" s="9"/>
      <c r="M290" s="9"/>
      <c r="N290" s="9"/>
      <c r="O290" s="9"/>
      <c r="P290" s="9"/>
      <c r="Q290" s="9"/>
      <c r="R290" s="14"/>
      <c r="S290" s="14"/>
    </row>
    <row r="291" spans="1:19" ht="14.25">
      <c r="A291" s="14"/>
      <c r="B291" s="9"/>
      <c r="C291" s="9"/>
      <c r="D291" s="9"/>
      <c r="E291" s="9"/>
      <c r="F291" s="9"/>
      <c r="G291" s="9"/>
      <c r="H291" s="9"/>
      <c r="I291" s="9"/>
      <c r="J291" s="9"/>
      <c r="K291" s="357"/>
      <c r="L291" s="9"/>
      <c r="M291" s="9"/>
      <c r="N291" s="9"/>
      <c r="O291" s="9"/>
      <c r="P291" s="9"/>
      <c r="Q291" s="9"/>
      <c r="R291" s="14"/>
      <c r="S291" s="14"/>
    </row>
    <row r="292" spans="1:19" ht="14.25">
      <c r="A292" s="14"/>
      <c r="B292" s="9"/>
      <c r="C292" s="9"/>
      <c r="D292" s="9"/>
      <c r="E292" s="9"/>
      <c r="F292" s="9"/>
      <c r="G292" s="9"/>
      <c r="H292" s="9"/>
      <c r="I292" s="9"/>
      <c r="J292" s="9"/>
      <c r="K292" s="357"/>
      <c r="L292" s="9"/>
      <c r="M292" s="9"/>
      <c r="N292" s="9"/>
      <c r="O292" s="9"/>
      <c r="P292" s="9"/>
      <c r="Q292" s="9"/>
      <c r="R292" s="14"/>
      <c r="S292" s="14"/>
    </row>
    <row r="293" spans="1:19" ht="14.25">
      <c r="A293" s="14"/>
      <c r="B293" s="9"/>
      <c r="C293" s="9"/>
      <c r="D293" s="9"/>
      <c r="E293" s="9"/>
      <c r="F293" s="9"/>
      <c r="G293" s="9"/>
      <c r="H293" s="9"/>
      <c r="I293" s="9"/>
      <c r="J293" s="9"/>
      <c r="K293" s="357"/>
      <c r="L293" s="9"/>
      <c r="M293" s="9"/>
      <c r="N293" s="9"/>
      <c r="O293" s="9"/>
      <c r="P293" s="9"/>
      <c r="Q293" s="9"/>
      <c r="R293" s="14"/>
      <c r="S293" s="14"/>
    </row>
    <row r="294" spans="1:19" ht="14.25">
      <c r="A294" s="14"/>
      <c r="B294" s="9"/>
      <c r="C294" s="9"/>
      <c r="D294" s="9"/>
      <c r="E294" s="9"/>
      <c r="F294" s="9"/>
      <c r="G294" s="9"/>
      <c r="H294" s="9"/>
      <c r="I294" s="9"/>
      <c r="J294" s="9"/>
      <c r="K294" s="357"/>
      <c r="L294" s="9"/>
      <c r="M294" s="9"/>
      <c r="N294" s="9"/>
      <c r="O294" s="9"/>
      <c r="P294" s="9"/>
      <c r="Q294" s="9"/>
      <c r="R294" s="14"/>
      <c r="S294" s="14"/>
    </row>
    <row r="295" spans="1:19" ht="14.25">
      <c r="A295" s="14"/>
      <c r="B295" s="9"/>
      <c r="C295" s="9"/>
      <c r="D295" s="9"/>
      <c r="E295" s="9"/>
      <c r="F295" s="9"/>
      <c r="G295" s="9"/>
      <c r="H295" s="9"/>
      <c r="I295" s="9"/>
      <c r="J295" s="9"/>
      <c r="K295" s="357"/>
      <c r="L295" s="9"/>
      <c r="M295" s="9"/>
      <c r="N295" s="9"/>
      <c r="O295" s="9"/>
      <c r="P295" s="9"/>
      <c r="Q295" s="9"/>
      <c r="R295" s="14"/>
      <c r="S295" s="14"/>
    </row>
    <row r="296" spans="1:19" ht="14.25">
      <c r="A296" s="14"/>
      <c r="B296" s="9"/>
      <c r="C296" s="9"/>
      <c r="D296" s="9"/>
      <c r="E296" s="9"/>
      <c r="F296" s="9"/>
      <c r="G296" s="9"/>
      <c r="H296" s="9"/>
      <c r="I296" s="9"/>
      <c r="J296" s="9"/>
      <c r="K296" s="357"/>
      <c r="L296" s="9"/>
      <c r="M296" s="9"/>
      <c r="N296" s="9"/>
      <c r="O296" s="9"/>
      <c r="P296" s="9"/>
      <c r="Q296" s="9"/>
      <c r="R296" s="14"/>
      <c r="S296" s="14"/>
    </row>
    <row r="297" spans="1:19" ht="14.25">
      <c r="A297" s="14"/>
      <c r="B297" s="9"/>
      <c r="C297" s="9"/>
      <c r="D297" s="9"/>
      <c r="E297" s="9"/>
      <c r="F297" s="9"/>
      <c r="G297" s="9"/>
      <c r="H297" s="9"/>
      <c r="I297" s="9"/>
      <c r="J297" s="9"/>
      <c r="K297" s="357"/>
      <c r="L297" s="9"/>
      <c r="M297" s="9"/>
      <c r="N297" s="9"/>
      <c r="O297" s="9"/>
      <c r="P297" s="9"/>
      <c r="Q297" s="9"/>
      <c r="R297" s="14"/>
      <c r="S297" s="14"/>
    </row>
    <row r="298" spans="1:19" ht="14.25">
      <c r="A298" s="14"/>
      <c r="B298" s="9"/>
      <c r="C298" s="9"/>
      <c r="D298" s="9"/>
      <c r="E298" s="9"/>
      <c r="F298" s="9"/>
      <c r="G298" s="9"/>
      <c r="H298" s="9"/>
      <c r="I298" s="9"/>
      <c r="J298" s="9"/>
      <c r="K298" s="357"/>
      <c r="L298" s="9"/>
      <c r="M298" s="9"/>
      <c r="N298" s="9"/>
      <c r="O298" s="9"/>
      <c r="P298" s="9"/>
      <c r="Q298" s="9"/>
      <c r="R298" s="14"/>
      <c r="S298" s="14"/>
    </row>
    <row r="299" spans="1:19" ht="14.25">
      <c r="A299" s="14"/>
      <c r="B299" s="9"/>
      <c r="C299" s="9"/>
      <c r="D299" s="9"/>
      <c r="E299" s="9"/>
      <c r="F299" s="9"/>
      <c r="G299" s="9"/>
      <c r="H299" s="9"/>
      <c r="I299" s="9"/>
      <c r="J299" s="9"/>
      <c r="K299" s="357"/>
      <c r="L299" s="9"/>
      <c r="M299" s="9"/>
      <c r="N299" s="9"/>
      <c r="O299" s="9"/>
      <c r="P299" s="9"/>
      <c r="Q299" s="9"/>
      <c r="R299" s="14"/>
      <c r="S299" s="14"/>
    </row>
    <row r="300" spans="1:19" ht="14.25">
      <c r="A300" s="14"/>
      <c r="B300" s="9"/>
      <c r="C300" s="9"/>
      <c r="D300" s="9"/>
      <c r="E300" s="9"/>
      <c r="F300" s="9"/>
      <c r="G300" s="9"/>
      <c r="H300" s="9"/>
      <c r="I300" s="9"/>
      <c r="J300" s="9"/>
      <c r="K300" s="357"/>
      <c r="L300" s="9"/>
      <c r="M300" s="9"/>
      <c r="N300" s="9"/>
      <c r="O300" s="9"/>
      <c r="P300" s="9"/>
      <c r="Q300" s="9"/>
      <c r="R300" s="14"/>
      <c r="S300" s="14"/>
    </row>
    <row r="301" spans="1:19" ht="14.25">
      <c r="A301" s="14"/>
      <c r="B301" s="9"/>
      <c r="C301" s="9"/>
      <c r="D301" s="9"/>
      <c r="E301" s="9"/>
      <c r="F301" s="9"/>
      <c r="G301" s="9"/>
      <c r="H301" s="9"/>
      <c r="I301" s="9"/>
      <c r="J301" s="9"/>
      <c r="K301" s="357"/>
      <c r="L301" s="9"/>
      <c r="M301" s="9"/>
      <c r="N301" s="9"/>
      <c r="O301" s="9"/>
      <c r="P301" s="9"/>
      <c r="Q301" s="9"/>
      <c r="R301" s="14"/>
      <c r="S301" s="14"/>
    </row>
    <row r="302" spans="1:19" ht="14.25">
      <c r="A302" s="14"/>
      <c r="B302" s="9"/>
      <c r="C302" s="9"/>
      <c r="D302" s="9"/>
      <c r="E302" s="9"/>
      <c r="F302" s="9"/>
      <c r="G302" s="9"/>
      <c r="H302" s="9"/>
      <c r="I302" s="9"/>
      <c r="J302" s="9"/>
      <c r="K302" s="357"/>
      <c r="L302" s="9"/>
      <c r="M302" s="9"/>
      <c r="N302" s="9"/>
      <c r="O302" s="9"/>
      <c r="P302" s="9"/>
      <c r="Q302" s="9"/>
      <c r="R302" s="14"/>
      <c r="S302" s="14"/>
    </row>
    <row r="303" spans="1:19" ht="14.25">
      <c r="A303" s="14"/>
      <c r="B303" s="9"/>
      <c r="C303" s="9"/>
      <c r="D303" s="9"/>
      <c r="E303" s="9"/>
      <c r="F303" s="9"/>
      <c r="G303" s="9"/>
      <c r="H303" s="9"/>
      <c r="I303" s="9"/>
      <c r="J303" s="9"/>
      <c r="K303" s="357"/>
      <c r="L303" s="9"/>
      <c r="M303" s="9"/>
      <c r="N303" s="9"/>
      <c r="O303" s="9"/>
      <c r="P303" s="9"/>
      <c r="Q303" s="9"/>
      <c r="R303" s="14"/>
      <c r="S303" s="14"/>
    </row>
    <row r="304" spans="1:19" ht="14.25">
      <c r="A304" s="14"/>
      <c r="B304" s="9"/>
      <c r="C304" s="9"/>
      <c r="D304" s="9"/>
      <c r="E304" s="9"/>
      <c r="F304" s="9"/>
      <c r="G304" s="9"/>
      <c r="H304" s="9"/>
      <c r="I304" s="9"/>
      <c r="J304" s="9"/>
      <c r="K304" s="357"/>
      <c r="L304" s="9"/>
      <c r="M304" s="9"/>
      <c r="N304" s="9"/>
      <c r="O304" s="9"/>
      <c r="P304" s="9"/>
      <c r="Q304" s="9"/>
      <c r="R304" s="14"/>
      <c r="S304" s="14"/>
    </row>
    <row r="305" spans="1:19" ht="14.25">
      <c r="A305" s="14"/>
      <c r="B305" s="9"/>
      <c r="C305" s="9"/>
      <c r="D305" s="9"/>
      <c r="E305" s="9"/>
      <c r="F305" s="9"/>
      <c r="G305" s="9"/>
      <c r="H305" s="9"/>
      <c r="I305" s="9"/>
      <c r="J305" s="9"/>
      <c r="K305" s="357"/>
      <c r="L305" s="9"/>
      <c r="M305" s="9"/>
      <c r="N305" s="9"/>
      <c r="O305" s="9"/>
      <c r="P305" s="9"/>
      <c r="Q305" s="9"/>
      <c r="R305" s="14"/>
      <c r="S305" s="14"/>
    </row>
    <row r="306" spans="1:19" ht="14.25">
      <c r="A306" s="14"/>
      <c r="B306" s="9"/>
      <c r="C306" s="9"/>
      <c r="D306" s="9"/>
      <c r="E306" s="9"/>
      <c r="F306" s="9"/>
      <c r="G306" s="9"/>
      <c r="H306" s="9"/>
      <c r="I306" s="9"/>
      <c r="J306" s="9"/>
      <c r="K306" s="357"/>
      <c r="L306" s="9"/>
      <c r="M306" s="9"/>
      <c r="N306" s="9"/>
      <c r="O306" s="9"/>
      <c r="P306" s="9"/>
      <c r="Q306" s="9"/>
      <c r="R306" s="14"/>
      <c r="S306" s="14"/>
    </row>
    <row r="307" spans="1:19" ht="14.25">
      <c r="A307" s="14"/>
      <c r="B307" s="9"/>
      <c r="C307" s="9"/>
      <c r="D307" s="9"/>
      <c r="E307" s="9"/>
      <c r="F307" s="9"/>
      <c r="G307" s="9"/>
      <c r="H307" s="9"/>
      <c r="I307" s="9"/>
      <c r="J307" s="9"/>
      <c r="K307" s="357"/>
      <c r="L307" s="9"/>
      <c r="M307" s="9"/>
      <c r="N307" s="9"/>
      <c r="O307" s="9"/>
      <c r="P307" s="9"/>
      <c r="Q307" s="9"/>
      <c r="R307" s="14"/>
      <c r="S307" s="14"/>
    </row>
    <row r="308" spans="1:19" ht="14.25">
      <c r="A308" s="14"/>
      <c r="B308" s="9"/>
      <c r="C308" s="9"/>
      <c r="D308" s="9"/>
      <c r="E308" s="9"/>
      <c r="F308" s="9"/>
      <c r="G308" s="9"/>
      <c r="H308" s="9"/>
      <c r="I308" s="9"/>
      <c r="J308" s="9"/>
      <c r="K308" s="357"/>
      <c r="L308" s="9"/>
      <c r="M308" s="9"/>
      <c r="N308" s="9"/>
      <c r="O308" s="9"/>
      <c r="P308" s="9"/>
      <c r="Q308" s="9"/>
      <c r="R308" s="14"/>
      <c r="S308" s="14"/>
    </row>
    <row r="309" spans="1:19" ht="14.25">
      <c r="A309" s="14"/>
      <c r="B309" s="9"/>
      <c r="C309" s="9"/>
      <c r="D309" s="9"/>
      <c r="E309" s="9"/>
      <c r="F309" s="9"/>
      <c r="G309" s="9"/>
      <c r="H309" s="9"/>
      <c r="I309" s="9"/>
      <c r="J309" s="9"/>
      <c r="K309" s="357"/>
      <c r="L309" s="9"/>
      <c r="M309" s="9"/>
      <c r="N309" s="9"/>
      <c r="O309" s="9"/>
      <c r="P309" s="9"/>
      <c r="Q309" s="9"/>
      <c r="R309" s="14"/>
      <c r="S309" s="14"/>
    </row>
    <row r="310" spans="1:19" ht="14.25">
      <c r="A310" s="14"/>
      <c r="B310" s="9"/>
      <c r="C310" s="9"/>
      <c r="D310" s="9"/>
      <c r="E310" s="9"/>
      <c r="F310" s="9"/>
      <c r="G310" s="9"/>
      <c r="H310" s="9"/>
      <c r="I310" s="9"/>
      <c r="J310" s="9"/>
      <c r="K310" s="357"/>
      <c r="L310" s="9"/>
      <c r="M310" s="9"/>
      <c r="N310" s="9"/>
      <c r="O310" s="9"/>
      <c r="P310" s="9"/>
      <c r="Q310" s="9"/>
      <c r="R310" s="14"/>
      <c r="S310" s="14"/>
    </row>
    <row r="311" spans="1:19" ht="14.25">
      <c r="A311" s="14"/>
      <c r="B311" s="9"/>
      <c r="C311" s="9"/>
      <c r="D311" s="9"/>
      <c r="E311" s="9"/>
      <c r="F311" s="9"/>
      <c r="G311" s="9"/>
      <c r="H311" s="9"/>
      <c r="I311" s="9"/>
      <c r="J311" s="9"/>
      <c r="K311" s="357"/>
      <c r="L311" s="9"/>
      <c r="M311" s="9"/>
      <c r="N311" s="9"/>
      <c r="O311" s="9"/>
      <c r="P311" s="9"/>
      <c r="Q311" s="9"/>
      <c r="R311" s="14"/>
      <c r="S311" s="14"/>
    </row>
    <row r="312" spans="1:19" ht="14.25">
      <c r="A312" s="14"/>
      <c r="B312" s="9"/>
      <c r="C312" s="9"/>
      <c r="D312" s="9"/>
      <c r="E312" s="9"/>
      <c r="F312" s="9"/>
      <c r="G312" s="9"/>
      <c r="H312" s="9"/>
      <c r="I312" s="9"/>
      <c r="J312" s="9"/>
      <c r="K312" s="357"/>
      <c r="L312" s="9"/>
      <c r="M312" s="9"/>
      <c r="N312" s="9"/>
      <c r="O312" s="9"/>
      <c r="P312" s="9"/>
      <c r="Q312" s="9"/>
      <c r="R312" s="14"/>
      <c r="S312" s="14"/>
    </row>
    <row r="313" spans="1:19" ht="14.25">
      <c r="A313" s="14"/>
      <c r="B313" s="9"/>
      <c r="C313" s="9"/>
      <c r="D313" s="9"/>
      <c r="E313" s="9"/>
      <c r="F313" s="9"/>
      <c r="G313" s="9"/>
      <c r="H313" s="9"/>
      <c r="I313" s="9"/>
      <c r="J313" s="9"/>
      <c r="K313" s="357"/>
      <c r="L313" s="9"/>
      <c r="M313" s="9"/>
      <c r="N313" s="9"/>
      <c r="O313" s="9"/>
      <c r="P313" s="9"/>
      <c r="Q313" s="9"/>
      <c r="R313" s="14"/>
      <c r="S313" s="14"/>
    </row>
    <row r="314" spans="1:19" ht="14.25">
      <c r="A314" s="14"/>
      <c r="B314" s="9"/>
      <c r="C314" s="9"/>
      <c r="D314" s="9"/>
      <c r="E314" s="9"/>
      <c r="F314" s="9"/>
      <c r="G314" s="9"/>
      <c r="H314" s="9"/>
      <c r="I314" s="9"/>
      <c r="J314" s="9"/>
      <c r="K314" s="357"/>
      <c r="L314" s="9"/>
      <c r="M314" s="9"/>
      <c r="N314" s="9"/>
      <c r="O314" s="9"/>
      <c r="P314" s="9"/>
      <c r="Q314" s="9"/>
      <c r="R314" s="14"/>
      <c r="S314" s="14"/>
    </row>
    <row r="315" spans="1:19" ht="14.25">
      <c r="A315" s="14"/>
      <c r="B315" s="9"/>
      <c r="C315" s="9"/>
      <c r="D315" s="9"/>
      <c r="E315" s="9"/>
      <c r="F315" s="9"/>
      <c r="G315" s="9"/>
      <c r="H315" s="9"/>
      <c r="I315" s="9"/>
      <c r="J315" s="9"/>
      <c r="K315" s="357"/>
      <c r="L315" s="9"/>
      <c r="M315" s="9"/>
      <c r="N315" s="9"/>
      <c r="O315" s="9"/>
      <c r="P315" s="9"/>
      <c r="Q315" s="9"/>
      <c r="R315" s="14"/>
      <c r="S315" s="14"/>
    </row>
    <row r="316" spans="1:19" ht="14.25">
      <c r="A316" s="14"/>
      <c r="B316" s="9"/>
      <c r="C316" s="9"/>
      <c r="D316" s="9"/>
      <c r="E316" s="9"/>
      <c r="F316" s="9"/>
      <c r="G316" s="9"/>
      <c r="H316" s="9"/>
      <c r="I316" s="9"/>
      <c r="J316" s="9"/>
      <c r="K316" s="357"/>
      <c r="L316" s="9"/>
      <c r="M316" s="9"/>
      <c r="N316" s="9"/>
      <c r="O316" s="9"/>
      <c r="P316" s="9"/>
      <c r="Q316" s="9"/>
      <c r="R316" s="14"/>
      <c r="S316" s="14"/>
    </row>
    <row r="317" spans="1:19" ht="14.25">
      <c r="A317" s="14"/>
      <c r="B317" s="9"/>
      <c r="C317" s="9"/>
      <c r="D317" s="9"/>
      <c r="E317" s="9"/>
      <c r="F317" s="9"/>
      <c r="G317" s="9"/>
      <c r="H317" s="9"/>
      <c r="I317" s="9"/>
      <c r="J317" s="9"/>
      <c r="K317" s="357"/>
      <c r="L317" s="9"/>
      <c r="M317" s="9"/>
      <c r="N317" s="9"/>
      <c r="O317" s="9"/>
      <c r="P317" s="9"/>
      <c r="Q317" s="9"/>
      <c r="R317" s="14"/>
      <c r="S317" s="14"/>
    </row>
    <row r="318" spans="1:19" ht="14.25">
      <c r="A318" s="14"/>
      <c r="B318" s="9"/>
      <c r="C318" s="9"/>
      <c r="D318" s="9"/>
      <c r="E318" s="9"/>
      <c r="F318" s="9"/>
      <c r="G318" s="9"/>
      <c r="H318" s="9"/>
      <c r="I318" s="9"/>
      <c r="J318" s="9"/>
      <c r="K318" s="357"/>
      <c r="L318" s="9"/>
      <c r="M318" s="9"/>
      <c r="N318" s="9"/>
      <c r="O318" s="9"/>
      <c r="P318" s="9"/>
      <c r="Q318" s="9"/>
      <c r="R318" s="14"/>
      <c r="S318" s="14"/>
    </row>
    <row r="319" spans="1:19" ht="14.25">
      <c r="A319" s="14"/>
      <c r="B319" s="9"/>
      <c r="C319" s="9"/>
      <c r="D319" s="9"/>
      <c r="E319" s="9"/>
      <c r="F319" s="9"/>
      <c r="G319" s="9"/>
      <c r="H319" s="9"/>
      <c r="I319" s="9"/>
      <c r="J319" s="9"/>
      <c r="K319" s="357"/>
      <c r="L319" s="9"/>
      <c r="M319" s="9"/>
      <c r="N319" s="9"/>
      <c r="O319" s="9"/>
      <c r="P319" s="9"/>
      <c r="Q319" s="9"/>
      <c r="R319" s="14"/>
      <c r="S319" s="14"/>
    </row>
    <row r="320" spans="1:19" ht="14.25">
      <c r="A320" s="14"/>
      <c r="B320" s="9"/>
      <c r="C320" s="9"/>
      <c r="D320" s="9"/>
      <c r="E320" s="9"/>
      <c r="F320" s="9"/>
      <c r="G320" s="9"/>
      <c r="H320" s="9"/>
      <c r="I320" s="9"/>
      <c r="J320" s="9"/>
      <c r="K320" s="357"/>
      <c r="L320" s="9"/>
      <c r="M320" s="9"/>
      <c r="N320" s="9"/>
      <c r="O320" s="9"/>
      <c r="P320" s="9"/>
      <c r="Q320" s="9"/>
      <c r="R320" s="14"/>
      <c r="S320" s="14"/>
    </row>
    <row r="321" spans="1:19" ht="14.25">
      <c r="A321" s="14"/>
      <c r="B321" s="9"/>
      <c r="C321" s="9"/>
      <c r="D321" s="9"/>
      <c r="E321" s="9"/>
      <c r="F321" s="9"/>
      <c r="G321" s="9"/>
      <c r="H321" s="9"/>
      <c r="I321" s="9"/>
      <c r="J321" s="9"/>
      <c r="K321" s="357"/>
      <c r="L321" s="9"/>
      <c r="M321" s="9"/>
      <c r="N321" s="9"/>
      <c r="O321" s="9"/>
      <c r="P321" s="9"/>
      <c r="Q321" s="9"/>
      <c r="R321" s="14"/>
      <c r="S321" s="14"/>
    </row>
    <row r="322" spans="1:19" ht="14.25">
      <c r="A322" s="14"/>
      <c r="B322" s="9"/>
      <c r="C322" s="9"/>
      <c r="D322" s="9"/>
      <c r="E322" s="9"/>
      <c r="F322" s="9"/>
      <c r="G322" s="9"/>
      <c r="H322" s="9"/>
      <c r="I322" s="9"/>
      <c r="J322" s="9"/>
      <c r="K322" s="357"/>
      <c r="L322" s="9"/>
      <c r="M322" s="9"/>
      <c r="N322" s="9"/>
      <c r="O322" s="9"/>
      <c r="P322" s="9"/>
      <c r="Q322" s="9"/>
      <c r="R322" s="14"/>
      <c r="S322" s="14"/>
    </row>
    <row r="323" spans="1:19" ht="14.25">
      <c r="A323" s="14"/>
      <c r="B323" s="9"/>
      <c r="C323" s="9"/>
      <c r="D323" s="9"/>
      <c r="E323" s="9"/>
      <c r="F323" s="9"/>
      <c r="G323" s="9"/>
      <c r="H323" s="9"/>
      <c r="I323" s="9"/>
      <c r="J323" s="9"/>
      <c r="K323" s="357"/>
      <c r="L323" s="9"/>
      <c r="M323" s="9"/>
      <c r="N323" s="9"/>
      <c r="O323" s="9"/>
      <c r="P323" s="9"/>
      <c r="Q323" s="9"/>
      <c r="R323" s="14"/>
      <c r="S323" s="14"/>
    </row>
    <row r="324" spans="1:19" ht="14.25">
      <c r="A324" s="14"/>
      <c r="B324" s="9"/>
      <c r="C324" s="9"/>
      <c r="D324" s="9"/>
      <c r="E324" s="9"/>
      <c r="F324" s="9"/>
      <c r="G324" s="9"/>
      <c r="H324" s="9"/>
      <c r="I324" s="9"/>
      <c r="J324" s="9"/>
      <c r="K324" s="357"/>
      <c r="L324" s="9"/>
      <c r="M324" s="9"/>
      <c r="N324" s="9"/>
      <c r="O324" s="9"/>
      <c r="P324" s="9"/>
      <c r="Q324" s="9"/>
      <c r="R324" s="14"/>
      <c r="S324" s="14"/>
    </row>
    <row r="325" spans="1:19" ht="14.25">
      <c r="A325" s="14"/>
      <c r="B325" s="9"/>
      <c r="C325" s="9"/>
      <c r="D325" s="9"/>
      <c r="E325" s="9"/>
      <c r="F325" s="9"/>
      <c r="G325" s="9"/>
      <c r="H325" s="9"/>
      <c r="I325" s="9"/>
      <c r="J325" s="9"/>
      <c r="K325" s="357"/>
      <c r="L325" s="9"/>
      <c r="M325" s="9"/>
      <c r="N325" s="9"/>
      <c r="O325" s="9"/>
      <c r="P325" s="9"/>
      <c r="Q325" s="9"/>
      <c r="R325" s="14"/>
      <c r="S325" s="14"/>
    </row>
    <row r="326" spans="1:19" ht="14.25">
      <c r="A326" s="14"/>
      <c r="B326" s="9"/>
      <c r="C326" s="9"/>
      <c r="D326" s="9"/>
      <c r="E326" s="9"/>
      <c r="F326" s="9"/>
      <c r="G326" s="9"/>
      <c r="H326" s="9"/>
      <c r="I326" s="9"/>
      <c r="J326" s="9"/>
      <c r="K326" s="357"/>
      <c r="L326" s="9"/>
      <c r="M326" s="9"/>
      <c r="N326" s="9"/>
      <c r="O326" s="9"/>
      <c r="P326" s="9"/>
      <c r="Q326" s="9"/>
      <c r="R326" s="14"/>
      <c r="S326" s="14"/>
    </row>
    <row r="327" spans="1:19" ht="14.25">
      <c r="A327" s="14"/>
      <c r="B327" s="9"/>
      <c r="C327" s="9"/>
      <c r="D327" s="9"/>
      <c r="E327" s="9"/>
      <c r="F327" s="9"/>
      <c r="G327" s="9"/>
      <c r="H327" s="9"/>
      <c r="I327" s="9"/>
      <c r="J327" s="9"/>
      <c r="K327" s="357"/>
      <c r="L327" s="9"/>
      <c r="M327" s="9"/>
      <c r="N327" s="9"/>
      <c r="O327" s="9"/>
      <c r="P327" s="9"/>
      <c r="Q327" s="9"/>
      <c r="R327" s="14"/>
      <c r="S327" s="14"/>
    </row>
    <row r="328" spans="1:19" ht="14.25">
      <c r="A328" s="14"/>
      <c r="B328" s="9"/>
      <c r="C328" s="9"/>
      <c r="D328" s="9"/>
      <c r="E328" s="9"/>
      <c r="F328" s="9"/>
      <c r="G328" s="9"/>
      <c r="H328" s="9"/>
      <c r="I328" s="9"/>
      <c r="J328" s="9"/>
      <c r="K328" s="357"/>
      <c r="L328" s="9"/>
      <c r="M328" s="9"/>
      <c r="N328" s="9"/>
      <c r="O328" s="9"/>
      <c r="P328" s="9"/>
      <c r="Q328" s="9"/>
      <c r="R328" s="14"/>
      <c r="S328" s="14"/>
    </row>
    <row r="329" spans="1:19" ht="14.25">
      <c r="A329" s="14"/>
      <c r="B329" s="9"/>
      <c r="C329" s="9"/>
      <c r="D329" s="9"/>
      <c r="E329" s="9"/>
      <c r="F329" s="9"/>
      <c r="G329" s="9"/>
      <c r="H329" s="9"/>
      <c r="I329" s="9"/>
      <c r="J329" s="9"/>
      <c r="K329" s="357"/>
      <c r="L329" s="9"/>
      <c r="M329" s="9"/>
      <c r="N329" s="9"/>
      <c r="O329" s="9"/>
      <c r="P329" s="9"/>
      <c r="Q329" s="9"/>
      <c r="R329" s="14"/>
      <c r="S329" s="14"/>
    </row>
    <row r="330" spans="1:19" ht="14.25">
      <c r="A330" s="14"/>
      <c r="B330" s="9"/>
      <c r="C330" s="9"/>
      <c r="D330" s="9"/>
      <c r="E330" s="9"/>
      <c r="F330" s="9"/>
      <c r="G330" s="9"/>
      <c r="H330" s="9"/>
      <c r="I330" s="9"/>
      <c r="J330" s="9"/>
      <c r="K330" s="357"/>
      <c r="L330" s="9"/>
      <c r="M330" s="9"/>
      <c r="N330" s="9"/>
      <c r="O330" s="9"/>
      <c r="P330" s="9"/>
      <c r="Q330" s="9"/>
      <c r="R330" s="14"/>
      <c r="S330" s="14"/>
    </row>
    <row r="331" spans="1:19" ht="14.25">
      <c r="A331" s="14"/>
      <c r="B331" s="9"/>
      <c r="C331" s="9"/>
      <c r="D331" s="9"/>
      <c r="E331" s="9"/>
      <c r="F331" s="9"/>
      <c r="G331" s="9"/>
      <c r="H331" s="9"/>
      <c r="I331" s="9"/>
      <c r="J331" s="9"/>
      <c r="K331" s="357"/>
      <c r="L331" s="9"/>
      <c r="M331" s="9"/>
      <c r="N331" s="9"/>
      <c r="O331" s="9"/>
      <c r="P331" s="9"/>
      <c r="Q331" s="9"/>
      <c r="R331" s="14"/>
      <c r="S331" s="14"/>
    </row>
    <row r="332" spans="1:19" ht="14.25">
      <c r="A332" s="14"/>
      <c r="B332" s="9"/>
      <c r="C332" s="9"/>
      <c r="D332" s="9"/>
      <c r="E332" s="9"/>
      <c r="F332" s="9"/>
      <c r="G332" s="9"/>
      <c r="H332" s="9"/>
      <c r="I332" s="9"/>
      <c r="J332" s="9"/>
      <c r="K332" s="357"/>
      <c r="L332" s="9"/>
      <c r="M332" s="9"/>
      <c r="N332" s="9"/>
      <c r="O332" s="9"/>
      <c r="P332" s="9"/>
      <c r="Q332" s="9"/>
      <c r="R332" s="14"/>
      <c r="S332" s="14"/>
    </row>
    <row r="333" spans="1:19" ht="14.25">
      <c r="A333" s="14"/>
      <c r="B333" s="9"/>
      <c r="C333" s="9"/>
      <c r="D333" s="9"/>
      <c r="E333" s="9"/>
      <c r="F333" s="9"/>
      <c r="G333" s="9"/>
      <c r="H333" s="9"/>
      <c r="I333" s="9"/>
      <c r="J333" s="9"/>
      <c r="K333" s="357"/>
      <c r="L333" s="9"/>
      <c r="M333" s="9"/>
      <c r="N333" s="9"/>
      <c r="O333" s="9"/>
      <c r="P333" s="9"/>
      <c r="Q333" s="9"/>
      <c r="R333" s="14"/>
      <c r="S333" s="14"/>
    </row>
    <row r="334" spans="1:19" ht="14.25">
      <c r="A334" s="14"/>
      <c r="B334" s="9"/>
      <c r="C334" s="9"/>
      <c r="D334" s="9"/>
      <c r="E334" s="9"/>
      <c r="F334" s="9"/>
      <c r="G334" s="9"/>
      <c r="H334" s="9"/>
      <c r="I334" s="9"/>
      <c r="J334" s="9"/>
      <c r="K334" s="357"/>
      <c r="L334" s="9"/>
      <c r="M334" s="9"/>
      <c r="N334" s="9"/>
      <c r="O334" s="9"/>
      <c r="P334" s="9"/>
      <c r="Q334" s="9"/>
      <c r="R334" s="14"/>
      <c r="S334" s="14"/>
    </row>
    <row r="335" spans="1:19" ht="14.25">
      <c r="A335" s="14"/>
      <c r="B335" s="9"/>
      <c r="C335" s="9"/>
      <c r="D335" s="9"/>
      <c r="E335" s="9"/>
      <c r="F335" s="9"/>
      <c r="G335" s="9"/>
      <c r="H335" s="9"/>
      <c r="I335" s="9"/>
      <c r="J335" s="9"/>
      <c r="K335" s="357"/>
      <c r="L335" s="9"/>
      <c r="M335" s="9"/>
      <c r="N335" s="9"/>
      <c r="O335" s="9"/>
      <c r="P335" s="9"/>
      <c r="Q335" s="9"/>
      <c r="R335" s="14"/>
      <c r="S335" s="14"/>
    </row>
    <row r="336" spans="1:19" ht="14.25">
      <c r="A336" s="14"/>
      <c r="B336" s="9"/>
      <c r="C336" s="9"/>
      <c r="D336" s="9"/>
      <c r="E336" s="9"/>
      <c r="F336" s="9"/>
      <c r="G336" s="9"/>
      <c r="H336" s="9"/>
      <c r="I336" s="9"/>
      <c r="J336" s="9"/>
      <c r="K336" s="357"/>
      <c r="L336" s="9"/>
      <c r="M336" s="9"/>
      <c r="N336" s="9"/>
      <c r="O336" s="9"/>
      <c r="P336" s="9"/>
      <c r="Q336" s="9"/>
      <c r="R336" s="14"/>
      <c r="S336" s="14"/>
    </row>
    <row r="337" spans="1:19" ht="14.25">
      <c r="A337" s="14"/>
      <c r="B337" s="9"/>
      <c r="C337" s="9"/>
      <c r="D337" s="9"/>
      <c r="E337" s="9"/>
      <c r="F337" s="9"/>
      <c r="G337" s="9"/>
      <c r="H337" s="9"/>
      <c r="I337" s="9"/>
      <c r="J337" s="9"/>
      <c r="K337" s="357"/>
      <c r="L337" s="9"/>
      <c r="M337" s="9"/>
      <c r="N337" s="9"/>
      <c r="O337" s="9"/>
      <c r="P337" s="9"/>
      <c r="Q337" s="9"/>
      <c r="R337" s="14"/>
      <c r="S337" s="14"/>
    </row>
    <row r="338" spans="1:19" ht="14.25">
      <c r="A338" s="14"/>
      <c r="B338" s="9"/>
      <c r="C338" s="9"/>
      <c r="D338" s="9"/>
      <c r="E338" s="9"/>
      <c r="F338" s="9"/>
      <c r="G338" s="9"/>
      <c r="H338" s="9"/>
      <c r="I338" s="9"/>
      <c r="J338" s="9"/>
      <c r="K338" s="357"/>
      <c r="L338" s="9"/>
      <c r="M338" s="9"/>
      <c r="N338" s="9"/>
      <c r="O338" s="9"/>
      <c r="P338" s="9"/>
      <c r="Q338" s="9"/>
      <c r="R338" s="14"/>
      <c r="S338" s="14"/>
    </row>
    <row r="339" spans="1:19" ht="14.25">
      <c r="A339" s="14"/>
      <c r="B339" s="9"/>
      <c r="C339" s="9"/>
      <c r="D339" s="9"/>
      <c r="E339" s="9"/>
      <c r="F339" s="9"/>
      <c r="G339" s="9"/>
      <c r="H339" s="9"/>
      <c r="I339" s="9"/>
      <c r="J339" s="9"/>
      <c r="K339" s="357"/>
      <c r="L339" s="9"/>
      <c r="M339" s="9"/>
      <c r="N339" s="9"/>
      <c r="O339" s="9"/>
      <c r="P339" s="9"/>
      <c r="Q339" s="9"/>
      <c r="R339" s="14"/>
      <c r="S339" s="14"/>
    </row>
    <row r="340" spans="1:19" ht="14.25">
      <c r="A340" s="14"/>
      <c r="B340" s="9"/>
      <c r="C340" s="9"/>
      <c r="D340" s="9"/>
      <c r="E340" s="9"/>
      <c r="F340" s="9"/>
      <c r="G340" s="9"/>
      <c r="H340" s="9"/>
      <c r="I340" s="9"/>
      <c r="J340" s="9"/>
      <c r="K340" s="357"/>
      <c r="L340" s="9"/>
      <c r="M340" s="9"/>
      <c r="N340" s="9"/>
      <c r="O340" s="9"/>
      <c r="P340" s="9"/>
      <c r="Q340" s="9"/>
      <c r="R340" s="14"/>
      <c r="S340" s="14"/>
    </row>
    <row r="341" spans="1:19" ht="14.25">
      <c r="A341" s="14"/>
      <c r="B341" s="9"/>
      <c r="C341" s="9"/>
      <c r="D341" s="9"/>
      <c r="E341" s="9"/>
      <c r="F341" s="9"/>
      <c r="G341" s="9"/>
      <c r="H341" s="9"/>
      <c r="I341" s="9"/>
      <c r="J341" s="9"/>
      <c r="K341" s="357"/>
      <c r="L341" s="9"/>
      <c r="M341" s="9"/>
      <c r="N341" s="9"/>
      <c r="O341" s="9"/>
      <c r="P341" s="9"/>
      <c r="Q341" s="9"/>
      <c r="R341" s="14"/>
      <c r="S341" s="14"/>
    </row>
    <row r="342" spans="1:19" ht="14.25">
      <c r="A342" s="14"/>
      <c r="B342" s="9"/>
      <c r="C342" s="9"/>
      <c r="D342" s="9"/>
      <c r="E342" s="9"/>
      <c r="F342" s="9"/>
      <c r="G342" s="9"/>
      <c r="H342" s="9"/>
      <c r="I342" s="9"/>
      <c r="J342" s="9"/>
      <c r="K342" s="357"/>
      <c r="L342" s="9"/>
      <c r="M342" s="9"/>
      <c r="N342" s="9"/>
      <c r="O342" s="9"/>
      <c r="P342" s="9"/>
      <c r="Q342" s="9"/>
      <c r="R342" s="14"/>
      <c r="S342" s="14"/>
    </row>
    <row r="343" spans="1:19" ht="14.25">
      <c r="A343" s="14"/>
      <c r="B343" s="9"/>
      <c r="C343" s="9"/>
      <c r="D343" s="9"/>
      <c r="E343" s="9"/>
      <c r="F343" s="9"/>
      <c r="G343" s="9"/>
      <c r="H343" s="9"/>
      <c r="I343" s="9"/>
      <c r="J343" s="9"/>
      <c r="K343" s="357"/>
      <c r="L343" s="9"/>
      <c r="M343" s="9"/>
      <c r="N343" s="9"/>
      <c r="O343" s="9"/>
      <c r="P343" s="9"/>
      <c r="Q343" s="9"/>
      <c r="R343" s="14"/>
      <c r="S343" s="14"/>
    </row>
    <row r="344" spans="1:19" ht="14.25">
      <c r="A344" s="14"/>
      <c r="B344" s="9"/>
      <c r="C344" s="9"/>
      <c r="D344" s="9"/>
      <c r="E344" s="9"/>
      <c r="F344" s="9"/>
      <c r="G344" s="9"/>
      <c r="H344" s="9"/>
      <c r="I344" s="9"/>
      <c r="J344" s="9"/>
      <c r="K344" s="357"/>
      <c r="L344" s="9"/>
      <c r="M344" s="9"/>
      <c r="N344" s="9"/>
      <c r="O344" s="9"/>
      <c r="P344" s="9"/>
      <c r="Q344" s="9"/>
      <c r="R344" s="14"/>
      <c r="S344" s="14"/>
    </row>
    <row r="345" spans="1:19" ht="14.25">
      <c r="A345" s="14"/>
      <c r="B345" s="9"/>
      <c r="C345" s="9"/>
      <c r="D345" s="9"/>
      <c r="E345" s="9"/>
      <c r="F345" s="9"/>
      <c r="G345" s="9"/>
      <c r="H345" s="9"/>
      <c r="I345" s="9"/>
      <c r="J345" s="9"/>
      <c r="K345" s="357"/>
      <c r="L345" s="9"/>
      <c r="M345" s="9"/>
      <c r="N345" s="9"/>
      <c r="O345" s="9"/>
      <c r="P345" s="9"/>
      <c r="Q345" s="9"/>
      <c r="R345" s="14"/>
      <c r="S345" s="14"/>
    </row>
    <row r="346" spans="1:19" ht="14.25">
      <c r="A346" s="14"/>
      <c r="B346" s="9"/>
      <c r="C346" s="9"/>
      <c r="D346" s="9"/>
      <c r="E346" s="9"/>
      <c r="F346" s="9"/>
      <c r="G346" s="9"/>
      <c r="H346" s="9"/>
      <c r="I346" s="9"/>
      <c r="J346" s="9"/>
      <c r="K346" s="357"/>
      <c r="L346" s="9"/>
      <c r="M346" s="9"/>
      <c r="N346" s="9"/>
      <c r="O346" s="9"/>
      <c r="P346" s="9"/>
      <c r="Q346" s="9"/>
      <c r="R346" s="14"/>
      <c r="S346" s="14"/>
    </row>
    <row r="347" spans="1:19" ht="14.25">
      <c r="A347" s="14"/>
      <c r="B347" s="9"/>
      <c r="C347" s="9"/>
      <c r="D347" s="9"/>
      <c r="E347" s="9"/>
      <c r="F347" s="9"/>
      <c r="G347" s="9"/>
      <c r="H347" s="9"/>
      <c r="I347" s="9"/>
      <c r="J347" s="9"/>
      <c r="K347" s="357"/>
      <c r="L347" s="9"/>
      <c r="M347" s="9"/>
      <c r="N347" s="9"/>
      <c r="O347" s="9"/>
      <c r="P347" s="9"/>
      <c r="Q347" s="9"/>
      <c r="R347" s="14"/>
      <c r="S347" s="14"/>
    </row>
    <row r="348" spans="1:19" ht="14.25">
      <c r="A348" s="14"/>
      <c r="B348" s="9"/>
      <c r="C348" s="9"/>
      <c r="D348" s="9"/>
      <c r="E348" s="9"/>
      <c r="F348" s="9"/>
      <c r="G348" s="9"/>
      <c r="H348" s="9"/>
      <c r="I348" s="9"/>
      <c r="J348" s="9"/>
      <c r="K348" s="357"/>
      <c r="L348" s="9"/>
      <c r="M348" s="9"/>
      <c r="N348" s="9"/>
      <c r="O348" s="9"/>
      <c r="P348" s="9"/>
      <c r="Q348" s="9"/>
      <c r="R348" s="14"/>
      <c r="S348" s="14"/>
    </row>
    <row r="349" spans="1:19" ht="14.25">
      <c r="A349" s="14"/>
      <c r="B349" s="9"/>
      <c r="C349" s="9"/>
      <c r="D349" s="9"/>
      <c r="E349" s="9"/>
      <c r="F349" s="9"/>
      <c r="G349" s="9"/>
      <c r="H349" s="9"/>
      <c r="I349" s="9"/>
      <c r="J349" s="9"/>
      <c r="K349" s="357"/>
      <c r="L349" s="9"/>
      <c r="M349" s="9"/>
      <c r="N349" s="9"/>
      <c r="O349" s="9"/>
      <c r="P349" s="9"/>
      <c r="Q349" s="9"/>
      <c r="R349" s="14"/>
      <c r="S349" s="14"/>
    </row>
    <row r="350" spans="1:19" ht="14.25">
      <c r="A350" s="14"/>
      <c r="B350" s="9"/>
      <c r="C350" s="9"/>
      <c r="D350" s="9"/>
      <c r="E350" s="9"/>
      <c r="F350" s="9"/>
      <c r="G350" s="9"/>
      <c r="H350" s="9"/>
      <c r="I350" s="9"/>
      <c r="J350" s="9"/>
      <c r="K350" s="357"/>
      <c r="L350" s="9"/>
      <c r="M350" s="9"/>
      <c r="N350" s="9"/>
      <c r="O350" s="9"/>
      <c r="P350" s="9"/>
      <c r="Q350" s="9"/>
      <c r="R350" s="14"/>
      <c r="S350" s="14"/>
    </row>
    <row r="351" spans="1:19" ht="14.25">
      <c r="A351" s="14"/>
      <c r="B351" s="9"/>
      <c r="C351" s="9"/>
      <c r="D351" s="9"/>
      <c r="E351" s="9"/>
      <c r="F351" s="9"/>
      <c r="G351" s="9"/>
      <c r="H351" s="9"/>
      <c r="I351" s="9"/>
      <c r="J351" s="9"/>
      <c r="K351" s="357"/>
      <c r="L351" s="9"/>
      <c r="M351" s="9"/>
      <c r="N351" s="9"/>
      <c r="O351" s="9"/>
      <c r="P351" s="9"/>
      <c r="Q351" s="9"/>
      <c r="R351" s="14"/>
      <c r="S351" s="14"/>
    </row>
    <row r="352" spans="1:19" ht="14.25">
      <c r="A352" s="14"/>
      <c r="B352" s="9"/>
      <c r="C352" s="9"/>
      <c r="D352" s="9"/>
      <c r="E352" s="9"/>
      <c r="F352" s="9"/>
      <c r="G352" s="9"/>
      <c r="H352" s="9"/>
      <c r="I352" s="9"/>
      <c r="J352" s="9"/>
      <c r="K352" s="357"/>
      <c r="L352" s="9"/>
      <c r="M352" s="9"/>
      <c r="N352" s="9"/>
      <c r="O352" s="9"/>
      <c r="P352" s="9"/>
      <c r="Q352" s="9"/>
      <c r="R352" s="14"/>
      <c r="S352" s="14"/>
    </row>
    <row r="353" spans="1:19" ht="14.25">
      <c r="A353" s="14"/>
      <c r="B353" s="9"/>
      <c r="C353" s="9"/>
      <c r="D353" s="9"/>
      <c r="E353" s="9"/>
      <c r="F353" s="9"/>
      <c r="G353" s="9"/>
      <c r="H353" s="9"/>
      <c r="I353" s="9"/>
      <c r="J353" s="9"/>
      <c r="K353" s="357"/>
      <c r="L353" s="9"/>
      <c r="M353" s="9"/>
      <c r="N353" s="9"/>
      <c r="O353" s="9"/>
      <c r="P353" s="9"/>
      <c r="Q353" s="9"/>
      <c r="R353" s="14"/>
      <c r="S353" s="14"/>
    </row>
    <row r="354" spans="1:19" ht="14.25">
      <c r="A354" s="14"/>
      <c r="B354" s="9"/>
      <c r="C354" s="9"/>
      <c r="D354" s="9"/>
      <c r="E354" s="9"/>
      <c r="F354" s="9"/>
      <c r="G354" s="9"/>
      <c r="H354" s="9"/>
      <c r="I354" s="9"/>
      <c r="J354" s="9"/>
      <c r="K354" s="357"/>
      <c r="L354" s="9"/>
      <c r="M354" s="9"/>
      <c r="N354" s="9"/>
      <c r="O354" s="9"/>
      <c r="P354" s="9"/>
      <c r="Q354" s="9"/>
      <c r="R354" s="14"/>
      <c r="S354" s="14"/>
    </row>
    <row r="355" spans="1:19" ht="14.25">
      <c r="A355" s="14"/>
      <c r="B355" s="9"/>
      <c r="C355" s="9"/>
      <c r="D355" s="9"/>
      <c r="E355" s="9"/>
      <c r="F355" s="9"/>
      <c r="G355" s="9"/>
      <c r="H355" s="9"/>
      <c r="I355" s="9"/>
      <c r="J355" s="9"/>
      <c r="K355" s="357"/>
      <c r="L355" s="9"/>
      <c r="M355" s="9"/>
      <c r="N355" s="9"/>
      <c r="O355" s="9"/>
      <c r="P355" s="9"/>
      <c r="Q355" s="9"/>
      <c r="R355" s="14"/>
      <c r="S355" s="14"/>
    </row>
    <row r="356" spans="1:19" ht="14.25">
      <c r="A356" s="14"/>
      <c r="B356" s="9"/>
      <c r="C356" s="9"/>
      <c r="D356" s="9"/>
      <c r="E356" s="9"/>
      <c r="F356" s="9"/>
      <c r="G356" s="9"/>
      <c r="H356" s="9"/>
      <c r="I356" s="9"/>
      <c r="J356" s="9"/>
      <c r="K356" s="357"/>
      <c r="L356" s="9"/>
      <c r="M356" s="9"/>
      <c r="N356" s="9"/>
      <c r="O356" s="9"/>
      <c r="P356" s="9"/>
      <c r="Q356" s="9"/>
      <c r="R356" s="14"/>
      <c r="S356" s="14"/>
    </row>
    <row r="357" spans="1:19" ht="14.25">
      <c r="A357" s="14"/>
      <c r="B357" s="9"/>
      <c r="C357" s="9"/>
      <c r="D357" s="9"/>
      <c r="E357" s="9"/>
      <c r="F357" s="9"/>
      <c r="G357" s="9"/>
      <c r="H357" s="9"/>
      <c r="I357" s="9"/>
      <c r="J357" s="9"/>
      <c r="K357" s="357"/>
      <c r="L357" s="9"/>
      <c r="M357" s="9"/>
      <c r="N357" s="9"/>
      <c r="O357" s="9"/>
      <c r="P357" s="9"/>
      <c r="Q357" s="9"/>
      <c r="R357" s="14"/>
      <c r="S357" s="14"/>
    </row>
    <row r="358" spans="1:19" ht="14.25">
      <c r="A358" s="14"/>
      <c r="B358" s="9"/>
      <c r="C358" s="9"/>
      <c r="D358" s="9"/>
      <c r="E358" s="9"/>
      <c r="F358" s="9"/>
      <c r="G358" s="9"/>
      <c r="H358" s="9"/>
      <c r="I358" s="9"/>
      <c r="J358" s="9"/>
      <c r="K358" s="357"/>
      <c r="L358" s="9"/>
      <c r="M358" s="9"/>
      <c r="N358" s="9"/>
      <c r="O358" s="9"/>
      <c r="P358" s="9"/>
      <c r="Q358" s="9"/>
      <c r="R358" s="14"/>
      <c r="S358" s="14"/>
    </row>
    <row r="359" spans="1:19" ht="14.25">
      <c r="A359" s="14"/>
      <c r="B359" s="9"/>
      <c r="C359" s="9"/>
      <c r="D359" s="9"/>
      <c r="E359" s="9"/>
      <c r="F359" s="9"/>
      <c r="G359" s="9"/>
      <c r="H359" s="9"/>
      <c r="I359" s="9"/>
      <c r="J359" s="9"/>
      <c r="K359" s="357"/>
      <c r="L359" s="9"/>
      <c r="M359" s="9"/>
      <c r="N359" s="9"/>
      <c r="O359" s="9"/>
      <c r="P359" s="9"/>
      <c r="Q359" s="9"/>
      <c r="R359" s="14"/>
      <c r="S359" s="14"/>
    </row>
    <row r="360" spans="1:19" ht="14.25">
      <c r="A360" s="14"/>
      <c r="B360" s="9"/>
      <c r="C360" s="9"/>
      <c r="D360" s="9"/>
      <c r="E360" s="9"/>
      <c r="F360" s="9"/>
      <c r="G360" s="9"/>
      <c r="H360" s="9"/>
      <c r="I360" s="9"/>
      <c r="J360" s="9"/>
      <c r="K360" s="357"/>
      <c r="L360" s="9"/>
      <c r="M360" s="9"/>
      <c r="N360" s="9"/>
      <c r="O360" s="9"/>
      <c r="P360" s="9"/>
      <c r="Q360" s="9"/>
      <c r="R360" s="14"/>
      <c r="S360" s="14"/>
    </row>
    <row r="361" spans="1:19" ht="14.25">
      <c r="A361" s="14"/>
      <c r="B361" s="9"/>
      <c r="C361" s="9"/>
      <c r="D361" s="9"/>
      <c r="E361" s="9"/>
      <c r="F361" s="9"/>
      <c r="G361" s="9"/>
      <c r="H361" s="9"/>
      <c r="I361" s="9"/>
      <c r="J361" s="9"/>
      <c r="K361" s="357"/>
      <c r="L361" s="9"/>
      <c r="M361" s="9"/>
      <c r="N361" s="9"/>
      <c r="O361" s="9"/>
      <c r="P361" s="9"/>
      <c r="Q361" s="9"/>
      <c r="R361" s="14"/>
      <c r="S361" s="14"/>
    </row>
    <row r="362" spans="1:19" ht="14.25">
      <c r="A362" s="14"/>
      <c r="B362" s="9"/>
      <c r="C362" s="9"/>
      <c r="D362" s="9"/>
      <c r="E362" s="9"/>
      <c r="F362" s="9"/>
      <c r="G362" s="9"/>
      <c r="H362" s="9"/>
      <c r="I362" s="9"/>
      <c r="J362" s="9"/>
      <c r="K362" s="357"/>
      <c r="L362" s="9"/>
      <c r="M362" s="9"/>
      <c r="N362" s="9"/>
      <c r="O362" s="9"/>
      <c r="P362" s="9"/>
      <c r="Q362" s="9"/>
      <c r="R362" s="14"/>
      <c r="S362" s="14"/>
    </row>
    <row r="363" spans="1:19" ht="14.25">
      <c r="A363" s="14"/>
      <c r="B363" s="9"/>
      <c r="C363" s="9"/>
      <c r="D363" s="9"/>
      <c r="E363" s="9"/>
      <c r="F363" s="9"/>
      <c r="G363" s="9"/>
      <c r="H363" s="9"/>
      <c r="I363" s="9"/>
      <c r="J363" s="9"/>
      <c r="K363" s="357"/>
      <c r="L363" s="9"/>
      <c r="M363" s="9"/>
      <c r="N363" s="9"/>
      <c r="O363" s="9"/>
      <c r="P363" s="9"/>
      <c r="Q363" s="9"/>
      <c r="R363" s="14"/>
      <c r="S363" s="14"/>
    </row>
    <row r="364" spans="1:19" ht="14.25">
      <c r="A364" s="14"/>
      <c r="B364" s="9"/>
      <c r="C364" s="9"/>
      <c r="D364" s="9"/>
      <c r="E364" s="9"/>
      <c r="F364" s="9"/>
      <c r="G364" s="9"/>
      <c r="H364" s="9"/>
      <c r="I364" s="9"/>
      <c r="J364" s="9"/>
      <c r="K364" s="357"/>
      <c r="L364" s="9"/>
      <c r="M364" s="9"/>
      <c r="N364" s="9"/>
      <c r="O364" s="9"/>
      <c r="P364" s="9"/>
      <c r="Q364" s="9"/>
      <c r="R364" s="14"/>
      <c r="S364" s="14"/>
    </row>
    <row r="365" spans="1:19" ht="14.25">
      <c r="A365" s="14"/>
      <c r="B365" s="9"/>
      <c r="C365" s="9"/>
      <c r="D365" s="9"/>
      <c r="E365" s="9"/>
      <c r="F365" s="9"/>
      <c r="G365" s="9"/>
      <c r="H365" s="9"/>
      <c r="I365" s="9"/>
      <c r="J365" s="9"/>
      <c r="K365" s="357"/>
      <c r="L365" s="9"/>
      <c r="M365" s="9"/>
      <c r="N365" s="9"/>
      <c r="O365" s="9"/>
      <c r="P365" s="9"/>
      <c r="Q365" s="9"/>
      <c r="R365" s="14"/>
      <c r="S365" s="14"/>
    </row>
    <row r="366" spans="1:19" ht="14.25">
      <c r="A366" s="14"/>
      <c r="B366" s="9"/>
      <c r="C366" s="9"/>
      <c r="D366" s="9"/>
      <c r="E366" s="9"/>
      <c r="F366" s="9"/>
      <c r="G366" s="9"/>
      <c r="H366" s="9"/>
      <c r="I366" s="9"/>
      <c r="J366" s="9"/>
      <c r="K366" s="357"/>
      <c r="L366" s="9"/>
      <c r="M366" s="9"/>
      <c r="N366" s="9"/>
      <c r="O366" s="9"/>
      <c r="P366" s="9"/>
      <c r="Q366" s="9"/>
      <c r="R366" s="14"/>
      <c r="S366" s="14"/>
    </row>
    <row r="367" spans="1:19" ht="14.25">
      <c r="A367" s="14"/>
      <c r="B367" s="9"/>
      <c r="C367" s="9"/>
      <c r="D367" s="9"/>
      <c r="E367" s="9"/>
      <c r="F367" s="9"/>
      <c r="G367" s="9"/>
      <c r="H367" s="9"/>
      <c r="I367" s="9"/>
      <c r="J367" s="9"/>
      <c r="K367" s="357"/>
      <c r="L367" s="9"/>
      <c r="M367" s="9"/>
      <c r="N367" s="9"/>
      <c r="O367" s="9"/>
      <c r="P367" s="9"/>
      <c r="Q367" s="9"/>
      <c r="R367" s="14"/>
      <c r="S367" s="14"/>
    </row>
    <row r="368" spans="1:19" ht="14.25">
      <c r="A368" s="14"/>
      <c r="B368" s="9"/>
      <c r="C368" s="9"/>
      <c r="D368" s="9"/>
      <c r="E368" s="9"/>
      <c r="F368" s="9"/>
      <c r="G368" s="9"/>
      <c r="H368" s="9"/>
      <c r="I368" s="9"/>
      <c r="J368" s="9"/>
      <c r="K368" s="357"/>
      <c r="L368" s="9"/>
      <c r="M368" s="9"/>
      <c r="N368" s="9"/>
      <c r="O368" s="9"/>
      <c r="P368" s="9"/>
      <c r="Q368" s="9"/>
      <c r="R368" s="14"/>
      <c r="S368" s="14"/>
    </row>
    <row r="369" spans="1:19" ht="14.25">
      <c r="A369" s="14"/>
      <c r="B369" s="9"/>
      <c r="C369" s="9"/>
      <c r="D369" s="9"/>
      <c r="E369" s="9"/>
      <c r="F369" s="9"/>
      <c r="G369" s="9"/>
      <c r="H369" s="9"/>
      <c r="I369" s="9"/>
      <c r="J369" s="9"/>
      <c r="K369" s="357"/>
      <c r="L369" s="9"/>
      <c r="M369" s="9"/>
      <c r="N369" s="9"/>
      <c r="O369" s="9"/>
      <c r="P369" s="9"/>
      <c r="Q369" s="9"/>
      <c r="R369" s="14"/>
      <c r="S369" s="14"/>
    </row>
    <row r="370" spans="1:19" ht="14.25">
      <c r="A370" s="14"/>
      <c r="B370" s="9"/>
      <c r="C370" s="9"/>
      <c r="D370" s="9"/>
      <c r="E370" s="9"/>
      <c r="F370" s="9"/>
      <c r="G370" s="9"/>
      <c r="H370" s="9"/>
      <c r="I370" s="9"/>
      <c r="J370" s="9"/>
      <c r="K370" s="357"/>
      <c r="L370" s="9"/>
      <c r="M370" s="9"/>
      <c r="N370" s="9"/>
      <c r="O370" s="9"/>
      <c r="P370" s="9"/>
      <c r="Q370" s="9"/>
      <c r="R370" s="14"/>
      <c r="S370" s="14"/>
    </row>
    <row r="371" spans="1:19" ht="14.25">
      <c r="A371" s="14"/>
      <c r="B371" s="9"/>
      <c r="C371" s="9"/>
      <c r="D371" s="9"/>
      <c r="E371" s="9"/>
      <c r="F371" s="9"/>
      <c r="G371" s="9"/>
      <c r="H371" s="9"/>
      <c r="I371" s="9"/>
      <c r="J371" s="9"/>
      <c r="K371" s="357"/>
      <c r="L371" s="9"/>
      <c r="M371" s="9"/>
      <c r="N371" s="9"/>
      <c r="O371" s="9"/>
      <c r="P371" s="9"/>
      <c r="Q371" s="9"/>
      <c r="R371" s="14"/>
      <c r="S371" s="14"/>
    </row>
    <row r="372" spans="1:19" ht="14.25">
      <c r="A372" s="14"/>
      <c r="B372" s="9"/>
      <c r="C372" s="9"/>
      <c r="D372" s="9"/>
      <c r="E372" s="9"/>
      <c r="F372" s="9"/>
      <c r="G372" s="9"/>
      <c r="H372" s="9"/>
      <c r="I372" s="9"/>
      <c r="J372" s="9"/>
      <c r="K372" s="357"/>
      <c r="L372" s="9"/>
      <c r="M372" s="9"/>
      <c r="N372" s="9"/>
      <c r="O372" s="9"/>
      <c r="P372" s="9"/>
      <c r="Q372" s="9"/>
      <c r="R372" s="14"/>
      <c r="S372" s="14"/>
    </row>
    <row r="373" spans="1:19" ht="14.25">
      <c r="A373" s="14"/>
      <c r="B373" s="9"/>
      <c r="C373" s="9"/>
      <c r="D373" s="9"/>
      <c r="E373" s="9"/>
      <c r="F373" s="9"/>
      <c r="G373" s="9"/>
      <c r="H373" s="9"/>
      <c r="I373" s="9"/>
      <c r="J373" s="9"/>
      <c r="K373" s="357"/>
      <c r="L373" s="9"/>
      <c r="M373" s="9"/>
      <c r="N373" s="9"/>
      <c r="O373" s="9"/>
      <c r="P373" s="9"/>
      <c r="Q373" s="9"/>
      <c r="R373" s="14"/>
      <c r="S373" s="14"/>
    </row>
    <row r="374" spans="1:19" ht="14.25">
      <c r="A374" s="14"/>
      <c r="B374" s="9"/>
      <c r="C374" s="9"/>
      <c r="D374" s="9"/>
      <c r="E374" s="9"/>
      <c r="F374" s="9"/>
      <c r="G374" s="9"/>
      <c r="H374" s="9"/>
      <c r="I374" s="9"/>
      <c r="J374" s="9"/>
      <c r="K374" s="357"/>
      <c r="L374" s="9"/>
      <c r="M374" s="9"/>
      <c r="N374" s="9"/>
      <c r="O374" s="9"/>
      <c r="P374" s="9"/>
      <c r="Q374" s="9"/>
      <c r="R374" s="14"/>
      <c r="S374" s="14"/>
    </row>
    <row r="375" spans="1:19" ht="14.25">
      <c r="A375" s="14"/>
      <c r="B375" s="9"/>
      <c r="C375" s="9"/>
      <c r="D375" s="9"/>
      <c r="E375" s="9"/>
      <c r="F375" s="9"/>
      <c r="G375" s="9"/>
      <c r="H375" s="9"/>
      <c r="I375" s="9"/>
      <c r="J375" s="9"/>
      <c r="K375" s="357"/>
      <c r="L375" s="9"/>
      <c r="M375" s="9"/>
      <c r="N375" s="9"/>
      <c r="O375" s="9"/>
      <c r="P375" s="9"/>
      <c r="Q375" s="9"/>
      <c r="R375" s="14"/>
      <c r="S375" s="14"/>
    </row>
    <row r="376" spans="1:19" ht="14.25">
      <c r="A376" s="14"/>
      <c r="B376" s="9"/>
      <c r="C376" s="9"/>
      <c r="D376" s="9"/>
      <c r="E376" s="9"/>
      <c r="F376" s="9"/>
      <c r="G376" s="9"/>
      <c r="H376" s="9"/>
      <c r="I376" s="9"/>
      <c r="J376" s="9"/>
      <c r="K376" s="357"/>
      <c r="L376" s="9"/>
      <c r="M376" s="9"/>
      <c r="N376" s="9"/>
      <c r="O376" s="9"/>
      <c r="P376" s="9"/>
      <c r="Q376" s="9"/>
      <c r="R376" s="14"/>
      <c r="S376" s="14"/>
    </row>
    <row r="377" spans="1:19" ht="14.25">
      <c r="A377" s="14"/>
      <c r="B377" s="9"/>
      <c r="C377" s="9"/>
      <c r="D377" s="9"/>
      <c r="E377" s="9"/>
      <c r="F377" s="9"/>
      <c r="G377" s="9"/>
      <c r="H377" s="9"/>
      <c r="I377" s="9"/>
      <c r="J377" s="9"/>
      <c r="K377" s="357"/>
      <c r="L377" s="9"/>
      <c r="M377" s="9"/>
      <c r="N377" s="9"/>
      <c r="O377" s="9"/>
      <c r="P377" s="9"/>
      <c r="Q377" s="9"/>
      <c r="R377" s="14"/>
      <c r="S377" s="14"/>
    </row>
    <row r="378" spans="1:19" ht="14.25">
      <c r="A378" s="14"/>
      <c r="B378" s="9"/>
      <c r="C378" s="9"/>
      <c r="D378" s="9"/>
      <c r="E378" s="9"/>
      <c r="F378" s="9"/>
      <c r="G378" s="9"/>
      <c r="H378" s="9"/>
      <c r="I378" s="9"/>
      <c r="J378" s="9"/>
      <c r="K378" s="357"/>
      <c r="L378" s="9"/>
      <c r="M378" s="9"/>
      <c r="N378" s="9"/>
      <c r="O378" s="9"/>
      <c r="P378" s="9"/>
      <c r="Q378" s="9"/>
      <c r="R378" s="14"/>
      <c r="S378" s="14"/>
    </row>
    <row r="379" spans="1:19" ht="14.25">
      <c r="A379" s="14"/>
      <c r="B379" s="9"/>
      <c r="C379" s="9"/>
      <c r="D379" s="9"/>
      <c r="E379" s="9"/>
      <c r="F379" s="9"/>
      <c r="G379" s="9"/>
      <c r="H379" s="9"/>
      <c r="I379" s="9"/>
      <c r="J379" s="9"/>
      <c r="K379" s="357"/>
      <c r="L379" s="9"/>
      <c r="M379" s="9"/>
      <c r="N379" s="9"/>
      <c r="O379" s="9"/>
      <c r="P379" s="9"/>
      <c r="Q379" s="9"/>
      <c r="R379" s="14"/>
      <c r="S379" s="14"/>
    </row>
    <row r="380" spans="1:19" ht="14.25">
      <c r="A380" s="14"/>
      <c r="B380" s="9"/>
      <c r="C380" s="9"/>
      <c r="D380" s="9"/>
      <c r="E380" s="9"/>
      <c r="F380" s="9"/>
      <c r="G380" s="9"/>
      <c r="H380" s="9"/>
      <c r="I380" s="9"/>
      <c r="J380" s="9"/>
      <c r="K380" s="357"/>
      <c r="L380" s="9"/>
      <c r="M380" s="9"/>
      <c r="N380" s="9"/>
      <c r="O380" s="9"/>
      <c r="P380" s="9"/>
      <c r="Q380" s="9"/>
      <c r="R380" s="14"/>
      <c r="S380" s="14"/>
    </row>
    <row r="381" spans="1:19" ht="14.25">
      <c r="A381" s="14"/>
      <c r="B381" s="9"/>
      <c r="C381" s="9"/>
      <c r="D381" s="9"/>
      <c r="E381" s="9"/>
      <c r="F381" s="9"/>
      <c r="G381" s="9"/>
      <c r="H381" s="9"/>
      <c r="I381" s="9"/>
      <c r="J381" s="9"/>
      <c r="K381" s="357"/>
      <c r="L381" s="9"/>
      <c r="M381" s="9"/>
      <c r="N381" s="9"/>
      <c r="O381" s="9"/>
      <c r="P381" s="9"/>
      <c r="Q381" s="9"/>
      <c r="R381" s="14"/>
      <c r="S381" s="14"/>
    </row>
    <row r="382" spans="1:19" ht="14.25">
      <c r="A382" s="14"/>
      <c r="B382" s="9"/>
      <c r="C382" s="9"/>
      <c r="D382" s="9"/>
      <c r="E382" s="9"/>
      <c r="F382" s="9"/>
      <c r="G382" s="9"/>
      <c r="H382" s="9"/>
      <c r="I382" s="9"/>
      <c r="J382" s="9"/>
      <c r="K382" s="357"/>
      <c r="L382" s="9"/>
      <c r="M382" s="9"/>
      <c r="N382" s="9"/>
      <c r="O382" s="9"/>
      <c r="P382" s="9"/>
      <c r="Q382" s="9"/>
      <c r="R382" s="14"/>
      <c r="S382" s="14"/>
    </row>
    <row r="383" spans="1:19" ht="14.25">
      <c r="A383" s="14"/>
      <c r="B383" s="9"/>
      <c r="C383" s="9"/>
      <c r="D383" s="9"/>
      <c r="E383" s="9"/>
      <c r="F383" s="9"/>
      <c r="G383" s="9"/>
      <c r="H383" s="9"/>
      <c r="I383" s="9"/>
      <c r="J383" s="9"/>
      <c r="K383" s="357"/>
      <c r="L383" s="9"/>
      <c r="M383" s="9"/>
      <c r="N383" s="9"/>
      <c r="O383" s="9"/>
      <c r="P383" s="9"/>
      <c r="Q383" s="9"/>
      <c r="R383" s="14"/>
      <c r="S383" s="14"/>
    </row>
    <row r="384" spans="1:19" ht="14.25">
      <c r="A384" s="14"/>
      <c r="B384" s="9"/>
      <c r="C384" s="9"/>
      <c r="D384" s="9"/>
      <c r="E384" s="9"/>
      <c r="F384" s="9"/>
      <c r="G384" s="9"/>
      <c r="H384" s="9"/>
      <c r="I384" s="9"/>
      <c r="J384" s="9"/>
      <c r="K384" s="357"/>
      <c r="L384" s="9"/>
      <c r="M384" s="9"/>
      <c r="N384" s="9"/>
      <c r="O384" s="9"/>
      <c r="P384" s="9"/>
      <c r="Q384" s="9"/>
      <c r="R384" s="14"/>
      <c r="S384" s="14"/>
    </row>
    <row r="385" spans="1:19" ht="14.25">
      <c r="A385" s="14"/>
      <c r="B385" s="9"/>
      <c r="C385" s="9"/>
      <c r="D385" s="9"/>
      <c r="E385" s="9"/>
      <c r="F385" s="9"/>
      <c r="G385" s="9"/>
      <c r="H385" s="9"/>
      <c r="I385" s="9"/>
      <c r="J385" s="9"/>
      <c r="K385" s="357"/>
      <c r="L385" s="9"/>
      <c r="M385" s="9"/>
      <c r="N385" s="9"/>
      <c r="O385" s="9"/>
      <c r="P385" s="9"/>
      <c r="Q385" s="9"/>
      <c r="R385" s="14"/>
      <c r="S385" s="14"/>
    </row>
    <row r="386" spans="1:19" ht="14.25">
      <c r="A386" s="14"/>
      <c r="B386" s="9"/>
      <c r="C386" s="9"/>
      <c r="D386" s="9"/>
      <c r="E386" s="9"/>
      <c r="F386" s="9"/>
      <c r="G386" s="9"/>
      <c r="H386" s="9"/>
      <c r="I386" s="9"/>
      <c r="J386" s="9"/>
      <c r="K386" s="357"/>
      <c r="L386" s="9"/>
      <c r="M386" s="9"/>
      <c r="N386" s="9"/>
      <c r="O386" s="9"/>
      <c r="P386" s="9"/>
      <c r="Q386" s="9"/>
      <c r="R386" s="14"/>
      <c r="S386" s="14"/>
    </row>
    <row r="387" spans="1:19" ht="14.25">
      <c r="A387" s="14"/>
      <c r="B387" s="9"/>
      <c r="C387" s="9"/>
      <c r="D387" s="9"/>
      <c r="E387" s="9"/>
      <c r="F387" s="9"/>
      <c r="G387" s="9"/>
      <c r="H387" s="9"/>
      <c r="I387" s="9"/>
      <c r="J387" s="9"/>
      <c r="K387" s="357"/>
      <c r="L387" s="9"/>
      <c r="M387" s="9"/>
      <c r="N387" s="9"/>
      <c r="O387" s="9"/>
      <c r="P387" s="9"/>
      <c r="Q387" s="9"/>
      <c r="R387" s="14"/>
      <c r="S387" s="14"/>
    </row>
    <row r="388" spans="1:19" ht="14.25">
      <c r="A388" s="14"/>
      <c r="B388" s="9"/>
      <c r="C388" s="9"/>
      <c r="D388" s="9"/>
      <c r="E388" s="9"/>
      <c r="F388" s="9"/>
      <c r="G388" s="9"/>
      <c r="H388" s="9"/>
      <c r="I388" s="9"/>
      <c r="J388" s="9"/>
      <c r="K388" s="357"/>
      <c r="L388" s="9"/>
      <c r="M388" s="9"/>
      <c r="N388" s="9"/>
      <c r="O388" s="9"/>
      <c r="P388" s="9"/>
      <c r="Q388" s="9"/>
      <c r="R388" s="14"/>
      <c r="S388" s="14"/>
    </row>
    <row r="389" spans="1:19" ht="14.25">
      <c r="A389" s="14"/>
      <c r="B389" s="9"/>
      <c r="C389" s="9"/>
      <c r="D389" s="9"/>
      <c r="E389" s="9"/>
      <c r="F389" s="9"/>
      <c r="G389" s="9"/>
      <c r="H389" s="9"/>
      <c r="I389" s="9"/>
      <c r="J389" s="9"/>
      <c r="K389" s="357"/>
      <c r="L389" s="9"/>
      <c r="M389" s="9"/>
      <c r="N389" s="9"/>
      <c r="O389" s="9"/>
      <c r="P389" s="9"/>
      <c r="Q389" s="9"/>
      <c r="R389" s="14"/>
      <c r="S389" s="14"/>
    </row>
    <row r="390" spans="1:19" ht="14.25">
      <c r="A390" s="14"/>
      <c r="B390" s="9"/>
      <c r="C390" s="9"/>
      <c r="D390" s="9"/>
      <c r="E390" s="9"/>
      <c r="F390" s="9"/>
      <c r="G390" s="9"/>
      <c r="H390" s="9"/>
      <c r="I390" s="9"/>
      <c r="J390" s="9"/>
      <c r="K390" s="357"/>
      <c r="L390" s="9"/>
      <c r="M390" s="9"/>
      <c r="N390" s="9"/>
      <c r="O390" s="9"/>
      <c r="P390" s="9"/>
      <c r="Q390" s="9"/>
      <c r="R390" s="14"/>
      <c r="S390" s="14"/>
    </row>
    <row r="391" spans="1:19" ht="14.25">
      <c r="A391" s="14"/>
      <c r="B391" s="9"/>
      <c r="C391" s="9"/>
      <c r="D391" s="9"/>
      <c r="E391" s="9"/>
      <c r="F391" s="9"/>
      <c r="G391" s="9"/>
      <c r="H391" s="9"/>
      <c r="I391" s="9"/>
      <c r="J391" s="9"/>
      <c r="K391" s="357"/>
      <c r="L391" s="9"/>
      <c r="M391" s="9"/>
      <c r="N391" s="9"/>
      <c r="O391" s="9"/>
      <c r="P391" s="9"/>
      <c r="Q391" s="9"/>
      <c r="R391" s="14"/>
      <c r="S391" s="14"/>
    </row>
    <row r="392" spans="1:19" ht="14.25">
      <c r="A392" s="14"/>
      <c r="B392" s="9"/>
      <c r="C392" s="9"/>
      <c r="D392" s="9"/>
      <c r="E392" s="9"/>
      <c r="F392" s="9"/>
      <c r="G392" s="9"/>
      <c r="H392" s="9"/>
      <c r="I392" s="9"/>
      <c r="J392" s="9"/>
      <c r="K392" s="357"/>
      <c r="L392" s="9"/>
      <c r="M392" s="9"/>
      <c r="N392" s="9"/>
      <c r="O392" s="9"/>
      <c r="P392" s="9"/>
      <c r="Q392" s="9"/>
      <c r="R392" s="14"/>
      <c r="S392" s="14"/>
    </row>
    <row r="393" spans="1:19" ht="14.25">
      <c r="A393" s="14"/>
      <c r="B393" s="9"/>
      <c r="C393" s="9"/>
      <c r="D393" s="9"/>
      <c r="E393" s="9"/>
      <c r="F393" s="9"/>
      <c r="G393" s="9"/>
      <c r="H393" s="9"/>
      <c r="I393" s="9"/>
      <c r="J393" s="9"/>
      <c r="K393" s="357"/>
      <c r="L393" s="9"/>
      <c r="M393" s="9"/>
      <c r="N393" s="9"/>
      <c r="O393" s="9"/>
      <c r="P393" s="9"/>
      <c r="Q393" s="9"/>
      <c r="R393" s="14"/>
      <c r="S393" s="14"/>
    </row>
    <row r="394" spans="1:19" ht="14.25">
      <c r="A394" s="14"/>
      <c r="B394" s="9"/>
      <c r="C394" s="9"/>
      <c r="D394" s="9"/>
      <c r="E394" s="9"/>
      <c r="F394" s="9"/>
      <c r="G394" s="9"/>
      <c r="H394" s="9"/>
      <c r="I394" s="9"/>
      <c r="J394" s="9"/>
      <c r="K394" s="357"/>
      <c r="L394" s="9"/>
      <c r="M394" s="9"/>
      <c r="N394" s="9"/>
      <c r="O394" s="9"/>
      <c r="P394" s="9"/>
      <c r="Q394" s="9"/>
      <c r="R394" s="14"/>
      <c r="S394" s="14"/>
    </row>
    <row r="395" spans="1:19" ht="14.25">
      <c r="A395" s="14"/>
      <c r="B395" s="9"/>
      <c r="C395" s="9"/>
      <c r="D395" s="9"/>
      <c r="E395" s="9"/>
      <c r="F395" s="9"/>
      <c r="G395" s="9"/>
      <c r="H395" s="9"/>
      <c r="I395" s="9"/>
      <c r="J395" s="9"/>
      <c r="K395" s="357"/>
      <c r="L395" s="9"/>
      <c r="M395" s="9"/>
      <c r="N395" s="9"/>
      <c r="O395" s="9"/>
      <c r="P395" s="9"/>
      <c r="Q395" s="9"/>
      <c r="R395" s="14"/>
      <c r="S395" s="14"/>
    </row>
    <row r="396" spans="1:19" ht="14.25">
      <c r="A396" s="14"/>
      <c r="B396" s="9"/>
      <c r="C396" s="9"/>
      <c r="D396" s="9"/>
      <c r="E396" s="9"/>
      <c r="F396" s="9"/>
      <c r="G396" s="9"/>
      <c r="H396" s="9"/>
      <c r="I396" s="9"/>
      <c r="J396" s="9"/>
      <c r="K396" s="357"/>
      <c r="L396" s="9"/>
      <c r="M396" s="9"/>
      <c r="N396" s="9"/>
      <c r="O396" s="9"/>
      <c r="P396" s="9"/>
      <c r="Q396" s="9"/>
      <c r="R396" s="14"/>
      <c r="S396" s="14"/>
    </row>
    <row r="397" spans="1:19" ht="14.25">
      <c r="A397" s="14"/>
      <c r="B397" s="9"/>
      <c r="C397" s="9"/>
      <c r="D397" s="9"/>
      <c r="E397" s="9"/>
      <c r="F397" s="9"/>
      <c r="G397" s="9"/>
      <c r="H397" s="9"/>
      <c r="I397" s="9"/>
      <c r="J397" s="9"/>
      <c r="K397" s="357"/>
      <c r="L397" s="9"/>
      <c r="M397" s="9"/>
      <c r="N397" s="9"/>
      <c r="O397" s="9"/>
      <c r="P397" s="9"/>
      <c r="Q397" s="9"/>
      <c r="R397" s="14"/>
      <c r="S397" s="14"/>
    </row>
    <row r="398" spans="1:19" ht="14.25">
      <c r="A398" s="14"/>
      <c r="B398" s="9"/>
      <c r="C398" s="9"/>
      <c r="D398" s="9"/>
      <c r="E398" s="9"/>
      <c r="F398" s="9"/>
      <c r="G398" s="9"/>
      <c r="H398" s="9"/>
      <c r="I398" s="9"/>
      <c r="J398" s="9"/>
      <c r="K398" s="357"/>
      <c r="L398" s="9"/>
      <c r="M398" s="9"/>
      <c r="N398" s="9"/>
      <c r="O398" s="9"/>
      <c r="P398" s="9"/>
      <c r="Q398" s="9"/>
      <c r="R398" s="14"/>
      <c r="S398" s="14"/>
    </row>
    <row r="399" spans="1:19" ht="14.25">
      <c r="A399" s="14"/>
      <c r="B399" s="9"/>
      <c r="C399" s="9"/>
      <c r="D399" s="9"/>
      <c r="E399" s="9"/>
      <c r="F399" s="9"/>
      <c r="G399" s="9"/>
      <c r="H399" s="9"/>
      <c r="I399" s="9"/>
      <c r="J399" s="9"/>
      <c r="K399" s="357"/>
      <c r="L399" s="9"/>
      <c r="M399" s="9"/>
      <c r="N399" s="9"/>
      <c r="O399" s="9"/>
      <c r="P399" s="9"/>
      <c r="Q399" s="9"/>
      <c r="R399" s="14"/>
      <c r="S399" s="14"/>
    </row>
    <row r="400" spans="1:19" ht="14.25">
      <c r="A400" s="14"/>
      <c r="B400" s="9"/>
      <c r="C400" s="9"/>
      <c r="D400" s="9"/>
      <c r="E400" s="9"/>
      <c r="F400" s="9"/>
      <c r="G400" s="9"/>
      <c r="H400" s="9"/>
      <c r="I400" s="9"/>
      <c r="J400" s="9"/>
      <c r="K400" s="357"/>
      <c r="L400" s="9"/>
      <c r="M400" s="9"/>
      <c r="N400" s="9"/>
      <c r="O400" s="9"/>
      <c r="P400" s="9"/>
      <c r="Q400" s="9"/>
      <c r="R400" s="14"/>
      <c r="S400" s="14"/>
    </row>
    <row r="401" spans="1:19" ht="14.25">
      <c r="A401" s="14"/>
      <c r="B401" s="9"/>
      <c r="C401" s="9"/>
      <c r="D401" s="9"/>
      <c r="E401" s="9"/>
      <c r="F401" s="9"/>
      <c r="G401" s="9"/>
      <c r="H401" s="9"/>
      <c r="I401" s="9"/>
      <c r="J401" s="9"/>
      <c r="K401" s="357"/>
      <c r="L401" s="9"/>
      <c r="M401" s="9"/>
      <c r="N401" s="9"/>
      <c r="O401" s="9"/>
      <c r="P401" s="9"/>
      <c r="Q401" s="9"/>
      <c r="R401" s="14"/>
      <c r="S401" s="14"/>
    </row>
    <row r="402" spans="1:19" ht="14.25">
      <c r="A402" s="14"/>
      <c r="B402" s="9"/>
      <c r="C402" s="9"/>
      <c r="D402" s="9"/>
      <c r="E402" s="9"/>
      <c r="F402" s="9"/>
      <c r="G402" s="9"/>
      <c r="H402" s="9"/>
      <c r="I402" s="9"/>
      <c r="J402" s="9"/>
      <c r="K402" s="357"/>
      <c r="L402" s="9"/>
      <c r="M402" s="9"/>
      <c r="N402" s="9"/>
      <c r="O402" s="9"/>
      <c r="P402" s="9"/>
      <c r="Q402" s="9"/>
      <c r="R402" s="14"/>
      <c r="S402" s="14"/>
    </row>
    <row r="403" spans="1:19" ht="14.25">
      <c r="A403" s="14"/>
      <c r="B403" s="9"/>
      <c r="C403" s="9"/>
      <c r="D403" s="9"/>
      <c r="E403" s="9"/>
      <c r="F403" s="9"/>
      <c r="G403" s="9"/>
      <c r="H403" s="9"/>
      <c r="I403" s="9"/>
      <c r="J403" s="9"/>
      <c r="K403" s="357"/>
      <c r="L403" s="9"/>
      <c r="M403" s="9"/>
      <c r="N403" s="9"/>
      <c r="O403" s="9"/>
      <c r="P403" s="9"/>
      <c r="Q403" s="9"/>
      <c r="R403" s="14"/>
      <c r="S403" s="14"/>
    </row>
    <row r="404" spans="1:19" ht="14.25">
      <c r="A404" s="14"/>
      <c r="B404" s="9"/>
      <c r="C404" s="9"/>
      <c r="D404" s="9"/>
      <c r="E404" s="9"/>
      <c r="F404" s="9"/>
      <c r="G404" s="9"/>
      <c r="H404" s="9"/>
      <c r="I404" s="9"/>
      <c r="J404" s="9"/>
      <c r="K404" s="357"/>
      <c r="L404" s="9"/>
      <c r="M404" s="9"/>
      <c r="N404" s="9"/>
      <c r="O404" s="9"/>
      <c r="P404" s="9"/>
      <c r="Q404" s="9"/>
      <c r="R404" s="14"/>
      <c r="S404" s="14"/>
    </row>
    <row r="405" spans="1:19" ht="14.25">
      <c r="A405" s="14"/>
      <c r="B405" s="9"/>
      <c r="C405" s="9"/>
      <c r="D405" s="9"/>
      <c r="E405" s="9"/>
      <c r="F405" s="9"/>
      <c r="G405" s="9"/>
      <c r="H405" s="9"/>
      <c r="I405" s="9"/>
      <c r="J405" s="9"/>
      <c r="K405" s="357"/>
      <c r="L405" s="9"/>
      <c r="M405" s="9"/>
      <c r="N405" s="9"/>
      <c r="O405" s="9"/>
      <c r="P405" s="9"/>
      <c r="Q405" s="9"/>
      <c r="R405" s="14"/>
      <c r="S405" s="14"/>
    </row>
    <row r="406" spans="1:19" ht="14.25">
      <c r="A406" s="14"/>
      <c r="B406" s="9"/>
      <c r="C406" s="9"/>
      <c r="D406" s="9"/>
      <c r="E406" s="9"/>
      <c r="F406" s="9"/>
      <c r="G406" s="9"/>
      <c r="H406" s="9"/>
      <c r="I406" s="9"/>
      <c r="J406" s="9"/>
      <c r="K406" s="357"/>
      <c r="L406" s="9"/>
      <c r="M406" s="9"/>
      <c r="N406" s="9"/>
      <c r="O406" s="9"/>
      <c r="P406" s="9"/>
      <c r="Q406" s="9"/>
      <c r="R406" s="14"/>
      <c r="S406" s="14"/>
    </row>
    <row r="407" spans="1:19" ht="14.25">
      <c r="A407" s="14"/>
      <c r="B407" s="9"/>
      <c r="C407" s="9"/>
      <c r="D407" s="9"/>
      <c r="E407" s="9"/>
      <c r="F407" s="9"/>
      <c r="G407" s="9"/>
      <c r="H407" s="9"/>
      <c r="I407" s="9"/>
      <c r="J407" s="9"/>
      <c r="K407" s="357"/>
      <c r="L407" s="9"/>
      <c r="M407" s="9"/>
      <c r="N407" s="9"/>
      <c r="O407" s="9"/>
      <c r="P407" s="9"/>
      <c r="Q407" s="9"/>
      <c r="R407" s="14"/>
      <c r="S407" s="14"/>
    </row>
    <row r="408" spans="1:19" ht="14.25">
      <c r="A408" s="14"/>
      <c r="B408" s="9"/>
      <c r="C408" s="9"/>
      <c r="D408" s="9"/>
      <c r="E408" s="9"/>
      <c r="F408" s="9"/>
      <c r="G408" s="9"/>
      <c r="H408" s="9"/>
      <c r="I408" s="9"/>
      <c r="J408" s="9"/>
      <c r="K408" s="357"/>
      <c r="L408" s="9"/>
      <c r="M408" s="9"/>
      <c r="N408" s="9"/>
      <c r="O408" s="9"/>
      <c r="P408" s="9"/>
      <c r="Q408" s="9"/>
      <c r="R408" s="14"/>
      <c r="S408" s="14"/>
    </row>
    <row r="409" spans="1:19" ht="14.25">
      <c r="A409" s="14"/>
      <c r="B409" s="9"/>
      <c r="C409" s="9"/>
      <c r="D409" s="9"/>
      <c r="E409" s="9"/>
      <c r="F409" s="9"/>
      <c r="G409" s="9"/>
      <c r="H409" s="9"/>
      <c r="I409" s="9"/>
      <c r="J409" s="9"/>
      <c r="K409" s="357"/>
      <c r="L409" s="9"/>
      <c r="M409" s="9"/>
      <c r="N409" s="9"/>
      <c r="O409" s="9"/>
      <c r="P409" s="9"/>
      <c r="Q409" s="9"/>
      <c r="R409" s="14"/>
      <c r="S409" s="14"/>
    </row>
    <row r="410" spans="1:19" ht="14.25">
      <c r="A410" s="14"/>
      <c r="B410" s="9"/>
      <c r="C410" s="9"/>
      <c r="D410" s="9"/>
      <c r="E410" s="9"/>
      <c r="F410" s="9"/>
      <c r="G410" s="9"/>
      <c r="H410" s="9"/>
      <c r="I410" s="9"/>
      <c r="J410" s="9"/>
      <c r="K410" s="357"/>
      <c r="L410" s="9"/>
      <c r="M410" s="9"/>
      <c r="N410" s="9"/>
      <c r="O410" s="9"/>
      <c r="P410" s="9"/>
      <c r="Q410" s="9"/>
      <c r="R410" s="14"/>
      <c r="S410" s="14"/>
    </row>
    <row r="411" spans="1:19" ht="14.25">
      <c r="A411" s="14"/>
      <c r="B411" s="9"/>
      <c r="C411" s="9"/>
      <c r="D411" s="9"/>
      <c r="E411" s="9"/>
      <c r="F411" s="9"/>
      <c r="G411" s="9"/>
      <c r="H411" s="9"/>
      <c r="I411" s="9"/>
      <c r="J411" s="9"/>
      <c r="K411" s="357"/>
      <c r="L411" s="9"/>
      <c r="M411" s="9"/>
      <c r="N411" s="9"/>
      <c r="O411" s="9"/>
      <c r="P411" s="9"/>
      <c r="Q411" s="9"/>
      <c r="R411" s="14"/>
      <c r="S411" s="14"/>
    </row>
    <row r="412" spans="1:19" ht="14.25">
      <c r="A412" s="14"/>
      <c r="B412" s="9"/>
      <c r="C412" s="9"/>
      <c r="D412" s="9"/>
      <c r="E412" s="9"/>
      <c r="F412" s="9"/>
      <c r="G412" s="9"/>
      <c r="H412" s="9"/>
      <c r="I412" s="9"/>
      <c r="J412" s="9"/>
      <c r="K412" s="357"/>
      <c r="L412" s="9"/>
      <c r="M412" s="9"/>
      <c r="N412" s="9"/>
      <c r="O412" s="9"/>
      <c r="P412" s="9"/>
      <c r="Q412" s="9"/>
      <c r="R412" s="14"/>
      <c r="S412" s="14"/>
    </row>
    <row r="413" spans="1:19" ht="14.25">
      <c r="A413" s="14"/>
      <c r="B413" s="9"/>
      <c r="C413" s="9"/>
      <c r="D413" s="9"/>
      <c r="E413" s="9"/>
      <c r="F413" s="9"/>
      <c r="G413" s="9"/>
      <c r="H413" s="9"/>
      <c r="I413" s="9"/>
      <c r="J413" s="9"/>
      <c r="K413" s="357"/>
      <c r="L413" s="9"/>
      <c r="M413" s="9"/>
      <c r="N413" s="9"/>
      <c r="O413" s="9"/>
      <c r="P413" s="9"/>
      <c r="Q413" s="9"/>
      <c r="R413" s="14"/>
      <c r="S413" s="14"/>
    </row>
    <row r="414" spans="1:19" ht="14.25">
      <c r="A414" s="14"/>
      <c r="B414" s="9"/>
      <c r="C414" s="9"/>
      <c r="D414" s="9"/>
      <c r="E414" s="9"/>
      <c r="F414" s="9"/>
      <c r="G414" s="9"/>
      <c r="H414" s="9"/>
      <c r="I414" s="9"/>
      <c r="J414" s="9"/>
      <c r="K414" s="357"/>
      <c r="L414" s="9"/>
      <c r="M414" s="9"/>
      <c r="N414" s="9"/>
      <c r="O414" s="9"/>
      <c r="P414" s="9"/>
      <c r="Q414" s="9"/>
      <c r="R414" s="14"/>
      <c r="S414" s="14"/>
    </row>
    <row r="415" spans="1:19" ht="14.25">
      <c r="A415" s="14"/>
      <c r="B415" s="9"/>
      <c r="C415" s="9"/>
      <c r="D415" s="9"/>
      <c r="E415" s="9"/>
      <c r="F415" s="9"/>
      <c r="G415" s="9"/>
      <c r="H415" s="9"/>
      <c r="I415" s="9"/>
      <c r="J415" s="9"/>
      <c r="K415" s="357"/>
      <c r="L415" s="9"/>
      <c r="M415" s="9"/>
      <c r="N415" s="9"/>
      <c r="O415" s="9"/>
      <c r="P415" s="9"/>
      <c r="Q415" s="9"/>
      <c r="R415" s="14"/>
      <c r="S415" s="14"/>
    </row>
    <row r="416" spans="1:19" ht="14.25">
      <c r="A416" s="14"/>
      <c r="B416" s="9"/>
      <c r="C416" s="9"/>
      <c r="D416" s="9"/>
      <c r="E416" s="9"/>
      <c r="F416" s="9"/>
      <c r="G416" s="9"/>
      <c r="H416" s="9"/>
      <c r="I416" s="9"/>
      <c r="J416" s="9"/>
      <c r="K416" s="357"/>
      <c r="L416" s="9"/>
      <c r="M416" s="9"/>
      <c r="N416" s="9"/>
      <c r="O416" s="9"/>
      <c r="P416" s="9"/>
      <c r="Q416" s="9"/>
      <c r="R416" s="14"/>
      <c r="S416" s="14"/>
    </row>
    <row r="417" spans="1:19" ht="14.25">
      <c r="A417" s="14"/>
      <c r="B417" s="9"/>
      <c r="C417" s="9"/>
      <c r="D417" s="9"/>
      <c r="E417" s="9"/>
      <c r="F417" s="9"/>
      <c r="G417" s="9"/>
      <c r="H417" s="9"/>
      <c r="I417" s="9"/>
      <c r="J417" s="9"/>
      <c r="K417" s="357"/>
      <c r="L417" s="9"/>
      <c r="M417" s="9"/>
      <c r="N417" s="9"/>
      <c r="O417" s="9"/>
      <c r="P417" s="9"/>
      <c r="Q417" s="9"/>
      <c r="R417" s="14"/>
      <c r="S417" s="14"/>
    </row>
    <row r="418" spans="1:19" ht="14.25">
      <c r="A418" s="14"/>
      <c r="B418" s="9"/>
      <c r="C418" s="9"/>
      <c r="D418" s="9"/>
      <c r="E418" s="9"/>
      <c r="F418" s="9"/>
      <c r="G418" s="9"/>
      <c r="H418" s="9"/>
      <c r="I418" s="9"/>
      <c r="J418" s="9"/>
      <c r="K418" s="357"/>
      <c r="L418" s="9"/>
      <c r="M418" s="9"/>
      <c r="N418" s="9"/>
      <c r="O418" s="9"/>
      <c r="P418" s="9"/>
      <c r="Q418" s="9"/>
      <c r="R418" s="14"/>
      <c r="S418" s="14"/>
    </row>
    <row r="419" spans="1:19" ht="14.25">
      <c r="A419" s="14"/>
      <c r="B419" s="9"/>
      <c r="C419" s="9"/>
      <c r="D419" s="9"/>
      <c r="E419" s="9"/>
      <c r="F419" s="9"/>
      <c r="G419" s="9"/>
      <c r="H419" s="9"/>
      <c r="I419" s="9"/>
      <c r="J419" s="9"/>
      <c r="K419" s="357"/>
      <c r="L419" s="9"/>
      <c r="M419" s="9"/>
      <c r="N419" s="9"/>
      <c r="O419" s="9"/>
      <c r="P419" s="9"/>
      <c r="Q419" s="9"/>
      <c r="R419" s="14"/>
      <c r="S419" s="14"/>
    </row>
    <row r="420" spans="1:19" ht="14.25">
      <c r="A420" s="14"/>
      <c r="B420" s="9"/>
      <c r="C420" s="9"/>
      <c r="D420" s="9"/>
      <c r="E420" s="9"/>
      <c r="F420" s="9"/>
      <c r="G420" s="9"/>
      <c r="H420" s="9"/>
      <c r="I420" s="9"/>
      <c r="J420" s="9"/>
      <c r="K420" s="357"/>
      <c r="L420" s="9"/>
      <c r="M420" s="9"/>
      <c r="N420" s="9"/>
      <c r="O420" s="9"/>
      <c r="P420" s="9"/>
      <c r="Q420" s="9"/>
      <c r="R420" s="14"/>
      <c r="S420" s="14"/>
    </row>
    <row r="421" spans="1:19" ht="14.25">
      <c r="A421" s="14"/>
      <c r="B421" s="9"/>
      <c r="C421" s="9"/>
      <c r="D421" s="9"/>
      <c r="E421" s="9"/>
      <c r="F421" s="9"/>
      <c r="G421" s="9"/>
      <c r="H421" s="9"/>
      <c r="I421" s="9"/>
      <c r="J421" s="9"/>
      <c r="K421" s="357"/>
      <c r="L421" s="9"/>
      <c r="M421" s="9"/>
      <c r="N421" s="9"/>
      <c r="O421" s="9"/>
      <c r="P421" s="9"/>
      <c r="Q421" s="9"/>
      <c r="R421" s="14"/>
      <c r="S421" s="14"/>
    </row>
    <row r="422" spans="1:19" ht="14.25">
      <c r="A422" s="14"/>
      <c r="B422" s="9"/>
      <c r="C422" s="9"/>
      <c r="D422" s="9"/>
      <c r="E422" s="9"/>
      <c r="F422" s="9"/>
      <c r="G422" s="9"/>
      <c r="H422" s="9"/>
      <c r="I422" s="9"/>
      <c r="J422" s="9"/>
      <c r="K422" s="357"/>
      <c r="L422" s="9"/>
      <c r="M422" s="9"/>
      <c r="N422" s="9"/>
      <c r="O422" s="9"/>
      <c r="P422" s="9"/>
      <c r="Q422" s="9"/>
      <c r="R422" s="14"/>
      <c r="S422" s="14"/>
    </row>
    <row r="423" spans="1:19" ht="14.25">
      <c r="A423" s="14"/>
      <c r="B423" s="9"/>
      <c r="C423" s="9"/>
      <c r="D423" s="9"/>
      <c r="E423" s="9"/>
      <c r="F423" s="9"/>
      <c r="G423" s="9"/>
      <c r="H423" s="9"/>
      <c r="I423" s="9"/>
      <c r="J423" s="9"/>
      <c r="K423" s="357"/>
      <c r="L423" s="9"/>
      <c r="M423" s="9"/>
      <c r="N423" s="9"/>
      <c r="O423" s="9"/>
      <c r="P423" s="9"/>
      <c r="Q423" s="9"/>
      <c r="R423" s="14"/>
      <c r="S423" s="14"/>
    </row>
    <row r="424" spans="1:19" ht="14.25">
      <c r="A424" s="14"/>
      <c r="B424" s="9"/>
      <c r="C424" s="9"/>
      <c r="D424" s="9"/>
      <c r="E424" s="9"/>
      <c r="F424" s="9"/>
      <c r="G424" s="9"/>
      <c r="H424" s="9"/>
      <c r="I424" s="9"/>
      <c r="J424" s="9"/>
      <c r="K424" s="357"/>
      <c r="L424" s="9"/>
      <c r="M424" s="9"/>
      <c r="N424" s="9"/>
      <c r="O424" s="9"/>
      <c r="P424" s="9"/>
      <c r="Q424" s="9"/>
      <c r="R424" s="14"/>
      <c r="S424" s="14"/>
    </row>
    <row r="425" spans="1:19" ht="14.25">
      <c r="A425" s="14"/>
      <c r="B425" s="9"/>
      <c r="C425" s="9"/>
      <c r="D425" s="9"/>
      <c r="E425" s="9"/>
      <c r="F425" s="9"/>
      <c r="G425" s="9"/>
      <c r="H425" s="9"/>
      <c r="I425" s="9"/>
      <c r="J425" s="9"/>
      <c r="K425" s="357"/>
      <c r="L425" s="9"/>
      <c r="M425" s="9"/>
      <c r="N425" s="9"/>
      <c r="O425" s="9"/>
      <c r="P425" s="9"/>
      <c r="Q425" s="9"/>
      <c r="R425" s="14"/>
      <c r="S425" s="14"/>
    </row>
    <row r="426" spans="1:19" ht="14.25">
      <c r="A426" s="14"/>
      <c r="B426" s="9"/>
      <c r="C426" s="9"/>
      <c r="D426" s="9"/>
      <c r="E426" s="9"/>
      <c r="F426" s="9"/>
      <c r="G426" s="9"/>
      <c r="H426" s="9"/>
      <c r="I426" s="9"/>
      <c r="J426" s="9"/>
      <c r="K426" s="357"/>
      <c r="L426" s="9"/>
      <c r="M426" s="9"/>
      <c r="N426" s="9"/>
      <c r="O426" s="9"/>
      <c r="P426" s="9"/>
      <c r="Q426" s="9"/>
      <c r="R426" s="14"/>
      <c r="S426" s="14"/>
    </row>
    <row r="427" spans="1:19" ht="14.25">
      <c r="A427" s="14"/>
      <c r="B427" s="9"/>
      <c r="C427" s="9"/>
      <c r="D427" s="9"/>
      <c r="E427" s="9"/>
      <c r="F427" s="9"/>
      <c r="G427" s="9"/>
      <c r="H427" s="9"/>
      <c r="I427" s="9"/>
      <c r="J427" s="9"/>
      <c r="K427" s="357"/>
      <c r="L427" s="9"/>
      <c r="M427" s="9"/>
      <c r="N427" s="9"/>
      <c r="O427" s="9"/>
      <c r="P427" s="9"/>
      <c r="Q427" s="9"/>
      <c r="R427" s="14"/>
      <c r="S427" s="14"/>
    </row>
    <row r="428" spans="1:19" ht="14.25">
      <c r="A428" s="14"/>
      <c r="B428" s="9"/>
      <c r="C428" s="9"/>
      <c r="D428" s="9"/>
      <c r="E428" s="9"/>
      <c r="F428" s="9"/>
      <c r="G428" s="9"/>
      <c r="H428" s="9"/>
      <c r="I428" s="9"/>
      <c r="J428" s="9"/>
      <c r="K428" s="357"/>
      <c r="L428" s="9"/>
      <c r="M428" s="9"/>
      <c r="N428" s="9"/>
      <c r="O428" s="9"/>
      <c r="P428" s="9"/>
      <c r="Q428" s="9"/>
      <c r="R428" s="14"/>
      <c r="S428" s="14"/>
    </row>
    <row r="429" spans="1:19" ht="14.25">
      <c r="A429" s="14"/>
      <c r="B429" s="9"/>
      <c r="C429" s="9"/>
      <c r="D429" s="9"/>
      <c r="E429" s="9"/>
      <c r="F429" s="9"/>
      <c r="G429" s="9"/>
      <c r="H429" s="9"/>
      <c r="I429" s="9"/>
      <c r="J429" s="9"/>
      <c r="K429" s="357"/>
      <c r="L429" s="9"/>
      <c r="M429" s="9"/>
      <c r="N429" s="9"/>
      <c r="O429" s="9"/>
      <c r="P429" s="9"/>
      <c r="Q429" s="9"/>
      <c r="R429" s="14"/>
      <c r="S429" s="14"/>
    </row>
    <row r="430" spans="1:19" ht="14.25">
      <c r="A430" s="14"/>
      <c r="B430" s="9"/>
      <c r="C430" s="9"/>
      <c r="D430" s="9"/>
      <c r="E430" s="9"/>
      <c r="F430" s="9"/>
      <c r="G430" s="9"/>
      <c r="H430" s="9"/>
      <c r="I430" s="9"/>
      <c r="J430" s="9"/>
      <c r="K430" s="357"/>
      <c r="L430" s="9"/>
      <c r="M430" s="9"/>
      <c r="N430" s="9"/>
      <c r="O430" s="9"/>
      <c r="P430" s="9"/>
      <c r="Q430" s="9"/>
      <c r="R430" s="14"/>
      <c r="S430" s="14"/>
    </row>
    <row r="431" spans="1:19" ht="14.25">
      <c r="A431" s="14"/>
      <c r="B431" s="9"/>
      <c r="C431" s="9"/>
      <c r="D431" s="9"/>
      <c r="E431" s="9"/>
      <c r="F431" s="9"/>
      <c r="G431" s="9"/>
      <c r="H431" s="9"/>
      <c r="I431" s="9"/>
      <c r="J431" s="9"/>
      <c r="K431" s="357"/>
      <c r="L431" s="9"/>
      <c r="M431" s="9"/>
      <c r="N431" s="9"/>
      <c r="O431" s="9"/>
      <c r="P431" s="9"/>
      <c r="Q431" s="9"/>
      <c r="R431" s="14"/>
      <c r="S431" s="14"/>
    </row>
    <row r="432" spans="1:19" ht="14.25">
      <c r="A432" s="14"/>
      <c r="B432" s="9"/>
      <c r="C432" s="9"/>
      <c r="D432" s="9"/>
      <c r="E432" s="9"/>
      <c r="F432" s="9"/>
      <c r="G432" s="9"/>
      <c r="H432" s="9"/>
      <c r="I432" s="9"/>
      <c r="J432" s="9"/>
      <c r="K432" s="357"/>
      <c r="L432" s="9"/>
      <c r="M432" s="9"/>
      <c r="N432" s="9"/>
      <c r="O432" s="9"/>
      <c r="P432" s="9"/>
      <c r="Q432" s="9"/>
      <c r="R432" s="14"/>
      <c r="S432" s="14"/>
    </row>
    <row r="433" spans="1:19" ht="14.25">
      <c r="A433" s="14"/>
      <c r="B433" s="9"/>
      <c r="C433" s="9"/>
      <c r="D433" s="9"/>
      <c r="E433" s="9"/>
      <c r="F433" s="9"/>
      <c r="G433" s="9"/>
      <c r="H433" s="9"/>
      <c r="I433" s="9"/>
      <c r="J433" s="9"/>
      <c r="K433" s="357"/>
      <c r="L433" s="9"/>
      <c r="M433" s="9"/>
      <c r="N433" s="9"/>
      <c r="O433" s="9"/>
      <c r="P433" s="9"/>
      <c r="Q433" s="9"/>
      <c r="R433" s="14"/>
      <c r="S433" s="14"/>
    </row>
    <row r="434" spans="1:19" ht="14.25">
      <c r="A434" s="14"/>
      <c r="B434" s="9"/>
      <c r="C434" s="9"/>
      <c r="D434" s="9"/>
      <c r="E434" s="9"/>
      <c r="F434" s="9"/>
      <c r="G434" s="9"/>
      <c r="H434" s="9"/>
      <c r="I434" s="9"/>
      <c r="J434" s="9"/>
      <c r="K434" s="357"/>
      <c r="L434" s="9"/>
      <c r="M434" s="9"/>
      <c r="N434" s="9"/>
      <c r="O434" s="9"/>
      <c r="P434" s="9"/>
      <c r="Q434" s="9"/>
      <c r="R434" s="14"/>
      <c r="S434" s="14"/>
    </row>
    <row r="435" spans="1:19" ht="14.25">
      <c r="A435" s="14"/>
      <c r="B435" s="9"/>
      <c r="C435" s="9"/>
      <c r="D435" s="9"/>
      <c r="E435" s="9"/>
      <c r="F435" s="9"/>
      <c r="G435" s="9"/>
      <c r="H435" s="9"/>
      <c r="I435" s="9"/>
      <c r="J435" s="9"/>
      <c r="K435" s="357"/>
      <c r="L435" s="9"/>
      <c r="M435" s="9"/>
      <c r="N435" s="9"/>
      <c r="O435" s="9"/>
      <c r="P435" s="9"/>
      <c r="Q435" s="9"/>
      <c r="R435" s="14"/>
      <c r="S435" s="14"/>
    </row>
    <row r="436" spans="1:19" ht="14.25">
      <c r="A436" s="14"/>
      <c r="B436" s="9"/>
      <c r="C436" s="9"/>
      <c r="D436" s="9"/>
      <c r="E436" s="9"/>
      <c r="F436" s="9"/>
      <c r="G436" s="9"/>
      <c r="H436" s="9"/>
      <c r="I436" s="9"/>
      <c r="J436" s="9"/>
      <c r="K436" s="357"/>
      <c r="L436" s="9"/>
      <c r="M436" s="9"/>
      <c r="N436" s="9"/>
      <c r="O436" s="9"/>
      <c r="P436" s="9"/>
      <c r="Q436" s="9"/>
      <c r="R436" s="14"/>
      <c r="S436" s="14"/>
    </row>
    <row r="437" spans="1:19" ht="14.25">
      <c r="A437" s="14"/>
      <c r="B437" s="9"/>
      <c r="C437" s="9"/>
      <c r="D437" s="9"/>
      <c r="E437" s="9"/>
      <c r="F437" s="9"/>
      <c r="G437" s="9"/>
      <c r="H437" s="9"/>
      <c r="I437" s="9"/>
      <c r="J437" s="9"/>
      <c r="K437" s="357"/>
      <c r="L437" s="9"/>
      <c r="M437" s="9"/>
      <c r="N437" s="9"/>
      <c r="O437" s="9"/>
      <c r="P437" s="9"/>
      <c r="Q437" s="9"/>
      <c r="R437" s="14"/>
      <c r="S437" s="14"/>
    </row>
    <row r="438" spans="1:19" ht="14.25">
      <c r="A438" s="14"/>
      <c r="B438" s="9"/>
      <c r="C438" s="9"/>
      <c r="D438" s="9"/>
      <c r="E438" s="9"/>
      <c r="F438" s="9"/>
      <c r="G438" s="9"/>
      <c r="H438" s="9"/>
      <c r="I438" s="9"/>
      <c r="J438" s="9"/>
      <c r="K438" s="357"/>
      <c r="L438" s="9"/>
      <c r="M438" s="9"/>
      <c r="N438" s="9"/>
      <c r="O438" s="9"/>
      <c r="P438" s="9"/>
      <c r="Q438" s="9"/>
      <c r="R438" s="14"/>
      <c r="S438" s="14"/>
    </row>
    <row r="439" spans="1:19" ht="14.25">
      <c r="A439" s="14"/>
      <c r="B439" s="9"/>
      <c r="C439" s="9"/>
      <c r="D439" s="9"/>
      <c r="E439" s="9"/>
      <c r="F439" s="9"/>
      <c r="G439" s="9"/>
      <c r="H439" s="9"/>
      <c r="I439" s="9"/>
      <c r="J439" s="9"/>
      <c r="K439" s="357"/>
      <c r="L439" s="9"/>
      <c r="M439" s="9"/>
      <c r="N439" s="9"/>
      <c r="O439" s="9"/>
      <c r="P439" s="9"/>
      <c r="Q439" s="9"/>
      <c r="R439" s="14"/>
      <c r="S439" s="14"/>
    </row>
    <row r="440" spans="1:19" ht="14.25">
      <c r="A440" s="14"/>
      <c r="B440" s="9"/>
      <c r="C440" s="9"/>
      <c r="D440" s="9"/>
      <c r="E440" s="9"/>
      <c r="F440" s="9"/>
      <c r="G440" s="9"/>
      <c r="H440" s="9"/>
      <c r="I440" s="9"/>
      <c r="J440" s="9"/>
      <c r="K440" s="357"/>
      <c r="L440" s="9"/>
      <c r="M440" s="9"/>
      <c r="N440" s="9"/>
      <c r="O440" s="9"/>
      <c r="P440" s="9"/>
      <c r="Q440" s="9"/>
      <c r="R440" s="14"/>
      <c r="S440" s="14"/>
    </row>
    <row r="441" spans="1:19" ht="14.25">
      <c r="A441" s="14"/>
      <c r="B441" s="9"/>
      <c r="C441" s="9"/>
      <c r="D441" s="9"/>
      <c r="E441" s="9"/>
      <c r="F441" s="9"/>
      <c r="G441" s="9"/>
      <c r="H441" s="9"/>
      <c r="I441" s="9"/>
      <c r="J441" s="9"/>
      <c r="K441" s="357"/>
      <c r="L441" s="9"/>
      <c r="M441" s="9"/>
      <c r="N441" s="9"/>
      <c r="O441" s="9"/>
      <c r="P441" s="9"/>
      <c r="Q441" s="9"/>
      <c r="R441" s="14"/>
      <c r="S441" s="14"/>
    </row>
    <row r="442" spans="1:19" ht="14.25">
      <c r="A442" s="14"/>
      <c r="B442" s="9"/>
      <c r="C442" s="9"/>
      <c r="D442" s="9"/>
      <c r="E442" s="9"/>
      <c r="F442" s="9"/>
      <c r="G442" s="9"/>
      <c r="H442" s="9"/>
      <c r="I442" s="9"/>
      <c r="J442" s="9"/>
      <c r="K442" s="357"/>
      <c r="L442" s="9"/>
      <c r="M442" s="9"/>
      <c r="N442" s="9"/>
      <c r="O442" s="9"/>
      <c r="P442" s="9"/>
      <c r="Q442" s="9"/>
      <c r="R442" s="14"/>
      <c r="S442" s="14"/>
    </row>
    <row r="443" spans="1:19" ht="14.25">
      <c r="A443" s="14"/>
      <c r="B443" s="9"/>
      <c r="C443" s="9"/>
      <c r="D443" s="9"/>
      <c r="E443" s="9"/>
      <c r="F443" s="9"/>
      <c r="G443" s="9"/>
      <c r="H443" s="9"/>
      <c r="I443" s="9"/>
      <c r="J443" s="9"/>
      <c r="K443" s="357"/>
      <c r="L443" s="9"/>
      <c r="M443" s="9"/>
      <c r="N443" s="9"/>
      <c r="O443" s="9"/>
      <c r="P443" s="9"/>
      <c r="Q443" s="9"/>
      <c r="R443" s="14"/>
      <c r="S443" s="14"/>
    </row>
    <row r="444" spans="1:19" ht="14.25">
      <c r="A444" s="14"/>
      <c r="B444" s="9"/>
      <c r="C444" s="9"/>
      <c r="D444" s="9"/>
      <c r="E444" s="9"/>
      <c r="F444" s="9"/>
      <c r="G444" s="9"/>
      <c r="H444" s="9"/>
      <c r="I444" s="9"/>
      <c r="J444" s="9"/>
      <c r="K444" s="357"/>
      <c r="L444" s="9"/>
      <c r="M444" s="9"/>
      <c r="N444" s="9"/>
      <c r="O444" s="9"/>
      <c r="P444" s="9"/>
      <c r="Q444" s="9"/>
      <c r="R444" s="14"/>
      <c r="S444" s="14"/>
    </row>
    <row r="445" spans="1:19" ht="14.25">
      <c r="A445" s="14"/>
      <c r="B445" s="9"/>
      <c r="C445" s="9"/>
      <c r="D445" s="9"/>
      <c r="E445" s="9"/>
      <c r="F445" s="9"/>
      <c r="G445" s="9"/>
      <c r="H445" s="9"/>
      <c r="I445" s="9"/>
      <c r="J445" s="9"/>
      <c r="K445" s="357"/>
      <c r="L445" s="9"/>
      <c r="M445" s="9"/>
      <c r="N445" s="9"/>
      <c r="O445" s="9"/>
      <c r="P445" s="9"/>
      <c r="Q445" s="9"/>
      <c r="R445" s="14"/>
      <c r="S445" s="14"/>
    </row>
    <row r="446" spans="1:19" ht="14.25">
      <c r="A446" s="14"/>
      <c r="B446" s="9"/>
      <c r="C446" s="9"/>
      <c r="D446" s="9"/>
      <c r="E446" s="9"/>
      <c r="F446" s="9"/>
      <c r="G446" s="9"/>
      <c r="H446" s="9"/>
      <c r="I446" s="9"/>
      <c r="J446" s="9"/>
      <c r="K446" s="357"/>
      <c r="L446" s="9"/>
      <c r="M446" s="9"/>
      <c r="N446" s="9"/>
      <c r="O446" s="9"/>
      <c r="P446" s="9"/>
      <c r="Q446" s="9"/>
      <c r="R446" s="14"/>
      <c r="S446" s="14"/>
    </row>
    <row r="447" spans="1:19" ht="14.25">
      <c r="A447" s="14"/>
      <c r="B447" s="9"/>
      <c r="C447" s="9"/>
      <c r="D447" s="9"/>
      <c r="E447" s="9"/>
      <c r="F447" s="9"/>
      <c r="G447" s="9"/>
      <c r="H447" s="9"/>
      <c r="I447" s="9"/>
      <c r="J447" s="9"/>
      <c r="K447" s="357"/>
      <c r="L447" s="9"/>
      <c r="M447" s="9"/>
      <c r="N447" s="9"/>
      <c r="O447" s="9"/>
      <c r="P447" s="9"/>
      <c r="Q447" s="9"/>
      <c r="R447" s="14"/>
      <c r="S447" s="14"/>
    </row>
    <row r="448" spans="1:19" ht="14.25">
      <c r="A448" s="14"/>
      <c r="B448" s="9"/>
      <c r="C448" s="9"/>
      <c r="D448" s="9"/>
      <c r="E448" s="9"/>
      <c r="F448" s="9"/>
      <c r="G448" s="9"/>
      <c r="H448" s="9"/>
      <c r="I448" s="9"/>
      <c r="J448" s="9"/>
      <c r="K448" s="357"/>
      <c r="L448" s="9"/>
      <c r="M448" s="9"/>
      <c r="N448" s="9"/>
      <c r="O448" s="9"/>
      <c r="P448" s="9"/>
      <c r="Q448" s="9"/>
      <c r="R448" s="14"/>
      <c r="S448" s="14"/>
    </row>
    <row r="449" spans="1:19" ht="14.25">
      <c r="A449" s="14"/>
      <c r="B449" s="9"/>
      <c r="C449" s="9"/>
      <c r="D449" s="9"/>
      <c r="E449" s="9"/>
      <c r="F449" s="9"/>
      <c r="G449" s="9"/>
      <c r="H449" s="9"/>
      <c r="I449" s="9"/>
      <c r="J449" s="9"/>
      <c r="K449" s="357"/>
      <c r="L449" s="9"/>
      <c r="M449" s="9"/>
      <c r="N449" s="9"/>
      <c r="O449" s="9"/>
      <c r="P449" s="9"/>
      <c r="Q449" s="9"/>
      <c r="R449" s="14"/>
      <c r="S449" s="14"/>
    </row>
    <row r="450" spans="1:19" ht="14.25">
      <c r="A450" s="14"/>
      <c r="B450" s="9"/>
      <c r="C450" s="9"/>
      <c r="D450" s="9"/>
      <c r="E450" s="9"/>
      <c r="F450" s="9"/>
      <c r="G450" s="9"/>
      <c r="H450" s="9"/>
      <c r="I450" s="9"/>
      <c r="J450" s="9"/>
      <c r="K450" s="357"/>
      <c r="L450" s="9"/>
      <c r="M450" s="9"/>
      <c r="N450" s="9"/>
      <c r="O450" s="9"/>
      <c r="P450" s="9"/>
      <c r="Q450" s="9"/>
      <c r="R450" s="14"/>
      <c r="S450" s="14"/>
    </row>
    <row r="451" spans="1:19" ht="14.25">
      <c r="A451" s="14"/>
      <c r="B451" s="9"/>
      <c r="C451" s="9"/>
      <c r="D451" s="9"/>
      <c r="E451" s="9"/>
      <c r="F451" s="9"/>
      <c r="G451" s="9"/>
      <c r="H451" s="9"/>
      <c r="I451" s="9"/>
      <c r="J451" s="9"/>
      <c r="K451" s="357"/>
      <c r="L451" s="9"/>
      <c r="M451" s="9"/>
      <c r="N451" s="9"/>
      <c r="O451" s="9"/>
      <c r="P451" s="9"/>
      <c r="Q451" s="9"/>
      <c r="R451" s="14"/>
      <c r="S451" s="14"/>
    </row>
    <row r="452" spans="1:19" ht="14.25">
      <c r="A452" s="14"/>
      <c r="B452" s="9"/>
      <c r="C452" s="9"/>
      <c r="D452" s="9"/>
      <c r="E452" s="9"/>
      <c r="F452" s="9"/>
      <c r="G452" s="9"/>
      <c r="H452" s="9"/>
      <c r="I452" s="9"/>
      <c r="J452" s="9"/>
      <c r="K452" s="357"/>
      <c r="L452" s="9"/>
      <c r="M452" s="9"/>
      <c r="N452" s="9"/>
      <c r="O452" s="9"/>
      <c r="P452" s="9"/>
      <c r="Q452" s="9"/>
      <c r="R452" s="14"/>
      <c r="S452" s="14"/>
    </row>
    <row r="453" spans="1:19" ht="14.25">
      <c r="A453" s="14"/>
      <c r="B453" s="9"/>
      <c r="C453" s="9"/>
      <c r="D453" s="9"/>
      <c r="E453" s="9"/>
      <c r="F453" s="9"/>
      <c r="G453" s="9"/>
      <c r="H453" s="9"/>
      <c r="I453" s="9"/>
      <c r="J453" s="9"/>
      <c r="K453" s="357"/>
      <c r="L453" s="9"/>
      <c r="M453" s="9"/>
      <c r="N453" s="9"/>
      <c r="O453" s="9"/>
      <c r="P453" s="9"/>
      <c r="Q453" s="9"/>
      <c r="R453" s="14"/>
      <c r="S453" s="14"/>
    </row>
    <row r="454" spans="1:19" ht="14.25">
      <c r="A454" s="14"/>
      <c r="B454" s="9"/>
      <c r="C454" s="9"/>
      <c r="D454" s="9"/>
      <c r="E454" s="9"/>
      <c r="F454" s="9"/>
      <c r="G454" s="9"/>
      <c r="H454" s="9"/>
      <c r="I454" s="9"/>
      <c r="J454" s="9"/>
      <c r="K454" s="357"/>
      <c r="L454" s="9"/>
      <c r="M454" s="9"/>
      <c r="N454" s="9"/>
      <c r="O454" s="9"/>
      <c r="P454" s="9"/>
      <c r="Q454" s="9"/>
      <c r="R454" s="14"/>
      <c r="S454" s="14"/>
    </row>
    <row r="455" spans="1:19" ht="14.25">
      <c r="A455" s="14"/>
      <c r="B455" s="9"/>
      <c r="C455" s="9"/>
      <c r="D455" s="9"/>
      <c r="E455" s="9"/>
      <c r="F455" s="9"/>
      <c r="G455" s="9"/>
      <c r="H455" s="9"/>
      <c r="I455" s="9"/>
      <c r="J455" s="9"/>
      <c r="K455" s="357"/>
      <c r="L455" s="9"/>
      <c r="M455" s="9"/>
      <c r="N455" s="9"/>
      <c r="O455" s="9"/>
      <c r="P455" s="9"/>
      <c r="Q455" s="9"/>
      <c r="R455" s="14"/>
      <c r="S455" s="14"/>
    </row>
    <row r="456" spans="1:19" ht="14.25">
      <c r="A456" s="14"/>
      <c r="B456" s="9"/>
      <c r="C456" s="9"/>
      <c r="D456" s="9"/>
      <c r="E456" s="9"/>
      <c r="F456" s="9"/>
      <c r="G456" s="9"/>
      <c r="H456" s="9"/>
      <c r="I456" s="9"/>
      <c r="J456" s="9"/>
      <c r="K456" s="357"/>
      <c r="L456" s="9"/>
      <c r="M456" s="9"/>
      <c r="N456" s="9"/>
      <c r="O456" s="9"/>
      <c r="P456" s="9"/>
      <c r="Q456" s="9"/>
      <c r="R456" s="14"/>
      <c r="S456" s="14"/>
    </row>
    <row r="457" spans="1:19" ht="14.25">
      <c r="A457" s="14"/>
      <c r="B457" s="9"/>
      <c r="C457" s="9"/>
      <c r="D457" s="9"/>
      <c r="E457" s="9"/>
      <c r="F457" s="9"/>
      <c r="G457" s="9"/>
      <c r="H457" s="9"/>
      <c r="I457" s="9"/>
      <c r="J457" s="9"/>
      <c r="K457" s="357"/>
      <c r="L457" s="9"/>
      <c r="M457" s="9"/>
      <c r="N457" s="9"/>
      <c r="O457" s="9"/>
      <c r="P457" s="9"/>
      <c r="Q457" s="9"/>
      <c r="R457" s="14"/>
      <c r="S457" s="14"/>
    </row>
    <row r="458" spans="1:19" ht="14.25">
      <c r="A458" s="14"/>
      <c r="B458" s="9"/>
      <c r="C458" s="9"/>
      <c r="D458" s="9"/>
      <c r="E458" s="9"/>
      <c r="F458" s="9"/>
      <c r="G458" s="9"/>
      <c r="H458" s="9"/>
      <c r="I458" s="9"/>
      <c r="J458" s="9"/>
      <c r="K458" s="357"/>
      <c r="L458" s="9"/>
      <c r="M458" s="9"/>
      <c r="N458" s="9"/>
      <c r="O458" s="9"/>
      <c r="P458" s="9"/>
      <c r="Q458" s="9"/>
      <c r="R458" s="14"/>
      <c r="S458" s="14"/>
    </row>
    <row r="459" spans="1:19" ht="14.25">
      <c r="A459" s="14"/>
      <c r="B459" s="9"/>
      <c r="C459" s="9"/>
      <c r="D459" s="9"/>
      <c r="E459" s="9"/>
      <c r="F459" s="9"/>
      <c r="G459" s="9"/>
      <c r="H459" s="9"/>
      <c r="I459" s="9"/>
      <c r="J459" s="9"/>
      <c r="K459" s="357"/>
      <c r="L459" s="9"/>
      <c r="M459" s="9"/>
      <c r="N459" s="9"/>
      <c r="O459" s="9"/>
      <c r="P459" s="9"/>
      <c r="Q459" s="9"/>
      <c r="R459" s="14"/>
      <c r="S459" s="14"/>
    </row>
    <row r="460" spans="1:19" ht="14.25">
      <c r="A460" s="14"/>
      <c r="B460" s="9"/>
      <c r="C460" s="9"/>
      <c r="D460" s="9"/>
      <c r="E460" s="9"/>
      <c r="F460" s="9"/>
      <c r="G460" s="9"/>
      <c r="H460" s="9"/>
      <c r="I460" s="9"/>
      <c r="J460" s="9"/>
      <c r="K460" s="357"/>
      <c r="L460" s="9"/>
      <c r="M460" s="9"/>
      <c r="N460" s="9"/>
      <c r="O460" s="9"/>
      <c r="P460" s="9"/>
      <c r="Q460" s="9"/>
      <c r="R460" s="14"/>
      <c r="S460" s="14"/>
    </row>
    <row r="461" spans="1:19" ht="14.25">
      <c r="A461" s="14"/>
      <c r="B461" s="9"/>
      <c r="C461" s="9"/>
      <c r="D461" s="9"/>
      <c r="E461" s="9"/>
      <c r="F461" s="9"/>
      <c r="G461" s="9"/>
      <c r="H461" s="9"/>
      <c r="I461" s="9"/>
      <c r="J461" s="9"/>
      <c r="K461" s="357"/>
      <c r="L461" s="9"/>
      <c r="M461" s="9"/>
      <c r="N461" s="9"/>
      <c r="O461" s="9"/>
      <c r="P461" s="9"/>
      <c r="Q461" s="9"/>
      <c r="R461" s="14"/>
      <c r="S461" s="14"/>
    </row>
    <row r="462" spans="1:19" ht="14.25">
      <c r="A462" s="14"/>
      <c r="B462" s="9"/>
      <c r="C462" s="9"/>
      <c r="D462" s="9"/>
      <c r="E462" s="9"/>
      <c r="F462" s="9"/>
      <c r="G462" s="9"/>
      <c r="H462" s="9"/>
      <c r="I462" s="9"/>
      <c r="J462" s="9"/>
      <c r="K462" s="357"/>
      <c r="L462" s="9"/>
      <c r="M462" s="9"/>
      <c r="N462" s="9"/>
      <c r="O462" s="9"/>
      <c r="P462" s="9"/>
      <c r="Q462" s="9"/>
      <c r="R462" s="14"/>
      <c r="S462" s="14"/>
    </row>
    <row r="463" spans="1:19" ht="14.25">
      <c r="A463" s="14"/>
      <c r="B463" s="9"/>
      <c r="C463" s="9"/>
      <c r="D463" s="9"/>
      <c r="E463" s="9"/>
      <c r="F463" s="9"/>
      <c r="G463" s="9"/>
      <c r="H463" s="9"/>
      <c r="I463" s="9"/>
      <c r="J463" s="9"/>
      <c r="K463" s="357"/>
      <c r="L463" s="9"/>
      <c r="M463" s="9"/>
      <c r="N463" s="9"/>
      <c r="O463" s="9"/>
      <c r="P463" s="9"/>
      <c r="Q463" s="9"/>
      <c r="R463" s="14"/>
      <c r="S463" s="14"/>
    </row>
    <row r="464" spans="1:19" ht="14.25">
      <c r="A464" s="14"/>
      <c r="B464" s="9"/>
      <c r="C464" s="9"/>
      <c r="D464" s="9"/>
      <c r="E464" s="9"/>
      <c r="F464" s="9"/>
      <c r="G464" s="9"/>
      <c r="H464" s="9"/>
      <c r="I464" s="9"/>
      <c r="J464" s="9"/>
      <c r="K464" s="357"/>
      <c r="L464" s="9"/>
      <c r="M464" s="9"/>
      <c r="N464" s="9"/>
      <c r="O464" s="9"/>
      <c r="P464" s="9"/>
      <c r="Q464" s="9"/>
      <c r="R464" s="14"/>
      <c r="S464" s="14"/>
    </row>
    <row r="465" spans="1:19" ht="14.25">
      <c r="A465" s="14"/>
      <c r="B465" s="9"/>
      <c r="C465" s="9"/>
      <c r="D465" s="9"/>
      <c r="E465" s="9"/>
      <c r="F465" s="9"/>
      <c r="G465" s="9"/>
      <c r="H465" s="9"/>
      <c r="I465" s="9"/>
      <c r="J465" s="9"/>
      <c r="K465" s="357"/>
      <c r="L465" s="9"/>
      <c r="M465" s="9"/>
      <c r="N465" s="9"/>
      <c r="O465" s="9"/>
      <c r="P465" s="9"/>
      <c r="Q465" s="9"/>
      <c r="R465" s="14"/>
      <c r="S465" s="14"/>
    </row>
    <row r="466" spans="1:19" ht="14.25">
      <c r="A466" s="14"/>
      <c r="B466" s="9"/>
      <c r="C466" s="9"/>
      <c r="D466" s="9"/>
      <c r="E466" s="9"/>
      <c r="F466" s="9"/>
      <c r="G466" s="9"/>
      <c r="H466" s="9"/>
      <c r="I466" s="9"/>
      <c r="J466" s="9"/>
      <c r="K466" s="357"/>
      <c r="L466" s="9"/>
      <c r="M466" s="9"/>
      <c r="N466" s="9"/>
      <c r="O466" s="9"/>
      <c r="P466" s="9"/>
      <c r="Q466" s="9"/>
      <c r="R466" s="14"/>
      <c r="S466" s="14"/>
    </row>
    <row r="467" spans="1:19" ht="14.25">
      <c r="A467" s="14"/>
      <c r="B467" s="9"/>
      <c r="C467" s="9"/>
      <c r="D467" s="9"/>
      <c r="E467" s="9"/>
      <c r="F467" s="9"/>
      <c r="G467" s="9"/>
      <c r="H467" s="9"/>
      <c r="I467" s="9"/>
      <c r="J467" s="9"/>
      <c r="K467" s="357"/>
      <c r="L467" s="9"/>
      <c r="M467" s="9"/>
      <c r="N467" s="9"/>
      <c r="O467" s="9"/>
      <c r="P467" s="9"/>
      <c r="Q467" s="9"/>
      <c r="R467" s="14"/>
      <c r="S467" s="14"/>
    </row>
    <row r="468" spans="1:19" ht="14.25">
      <c r="A468" s="14"/>
      <c r="B468" s="9"/>
      <c r="C468" s="9"/>
      <c r="D468" s="9"/>
      <c r="E468" s="9"/>
      <c r="F468" s="9"/>
      <c r="G468" s="9"/>
      <c r="H468" s="9"/>
      <c r="I468" s="9"/>
      <c r="J468" s="9"/>
      <c r="K468" s="357"/>
      <c r="L468" s="9"/>
      <c r="M468" s="9"/>
      <c r="N468" s="9"/>
      <c r="O468" s="9"/>
      <c r="P468" s="9"/>
      <c r="Q468" s="9"/>
      <c r="R468" s="14"/>
      <c r="S468" s="14"/>
    </row>
    <row r="469" spans="1:19" ht="14.25">
      <c r="A469" s="14"/>
      <c r="B469" s="9"/>
      <c r="C469" s="9"/>
      <c r="D469" s="9"/>
      <c r="E469" s="9"/>
      <c r="F469" s="9"/>
      <c r="G469" s="9"/>
      <c r="H469" s="9"/>
      <c r="I469" s="9"/>
      <c r="J469" s="9"/>
      <c r="K469" s="357"/>
      <c r="L469" s="9"/>
      <c r="M469" s="9"/>
      <c r="N469" s="9"/>
      <c r="O469" s="9"/>
      <c r="P469" s="9"/>
      <c r="Q469" s="9"/>
      <c r="R469" s="14"/>
      <c r="S469" s="14"/>
    </row>
    <row r="470" spans="1:19" ht="14.25">
      <c r="A470" s="14"/>
      <c r="B470" s="9"/>
      <c r="C470" s="9"/>
      <c r="D470" s="9"/>
      <c r="E470" s="9"/>
      <c r="F470" s="9"/>
      <c r="G470" s="9"/>
      <c r="H470" s="9"/>
      <c r="I470" s="9"/>
      <c r="J470" s="9"/>
      <c r="K470" s="357"/>
      <c r="L470" s="9"/>
      <c r="M470" s="9"/>
      <c r="N470" s="9"/>
      <c r="O470" s="9"/>
      <c r="P470" s="9"/>
      <c r="Q470" s="9"/>
      <c r="R470" s="14"/>
      <c r="S470" s="14"/>
    </row>
    <row r="471" spans="1:19" ht="14.25">
      <c r="A471" s="14"/>
      <c r="B471" s="9"/>
      <c r="C471" s="9"/>
      <c r="D471" s="9"/>
      <c r="E471" s="9"/>
      <c r="F471" s="9"/>
      <c r="G471" s="9"/>
      <c r="H471" s="9"/>
      <c r="I471" s="9"/>
      <c r="J471" s="9"/>
      <c r="K471" s="357"/>
      <c r="L471" s="9"/>
      <c r="M471" s="9"/>
      <c r="N471" s="9"/>
      <c r="O471" s="9"/>
      <c r="P471" s="9"/>
      <c r="Q471" s="9"/>
      <c r="R471" s="14"/>
      <c r="S471" s="14"/>
    </row>
    <row r="472" spans="1:19" ht="14.25">
      <c r="A472" s="14"/>
      <c r="B472" s="9"/>
      <c r="C472" s="9"/>
      <c r="D472" s="9"/>
      <c r="E472" s="9"/>
      <c r="F472" s="9"/>
      <c r="G472" s="9"/>
      <c r="H472" s="9"/>
      <c r="I472" s="9"/>
      <c r="J472" s="9"/>
      <c r="K472" s="357"/>
      <c r="L472" s="9"/>
      <c r="M472" s="9"/>
      <c r="N472" s="9"/>
      <c r="O472" s="9"/>
      <c r="P472" s="9"/>
      <c r="Q472" s="9"/>
      <c r="R472" s="14"/>
      <c r="S472" s="14"/>
    </row>
    <row r="473" spans="1:19" ht="14.25">
      <c r="A473" s="14"/>
      <c r="B473" s="9"/>
      <c r="C473" s="9"/>
      <c r="D473" s="9"/>
      <c r="E473" s="9"/>
      <c r="F473" s="9"/>
      <c r="G473" s="9"/>
      <c r="H473" s="9"/>
      <c r="I473" s="9"/>
      <c r="J473" s="9"/>
      <c r="K473" s="357"/>
      <c r="L473" s="9"/>
      <c r="M473" s="9"/>
      <c r="N473" s="9"/>
      <c r="O473" s="9"/>
      <c r="P473" s="9"/>
      <c r="Q473" s="9"/>
      <c r="R473" s="14"/>
      <c r="S473" s="14"/>
    </row>
    <row r="474" spans="1:19" ht="14.25">
      <c r="A474" s="14"/>
      <c r="B474" s="9"/>
      <c r="C474" s="9"/>
      <c r="D474" s="9"/>
      <c r="E474" s="9"/>
      <c r="F474" s="9"/>
      <c r="G474" s="9"/>
      <c r="H474" s="9"/>
      <c r="I474" s="9"/>
      <c r="J474" s="9"/>
      <c r="K474" s="357"/>
      <c r="L474" s="9"/>
      <c r="M474" s="9"/>
      <c r="N474" s="9"/>
      <c r="O474" s="9"/>
      <c r="P474" s="9"/>
      <c r="Q474" s="9"/>
      <c r="R474" s="14"/>
      <c r="S474" s="14"/>
    </row>
    <row r="475" spans="1:19" ht="14.25">
      <c r="A475" s="14"/>
      <c r="B475" s="9"/>
      <c r="C475" s="9"/>
      <c r="D475" s="9"/>
      <c r="E475" s="9"/>
      <c r="F475" s="9"/>
      <c r="G475" s="9"/>
      <c r="H475" s="9"/>
      <c r="I475" s="9"/>
      <c r="J475" s="9"/>
      <c r="K475" s="357"/>
      <c r="L475" s="9"/>
      <c r="M475" s="9"/>
      <c r="N475" s="9"/>
      <c r="O475" s="9"/>
      <c r="P475" s="9"/>
      <c r="Q475" s="9"/>
      <c r="R475" s="14"/>
      <c r="S475" s="14"/>
    </row>
    <row r="476" spans="1:19" ht="14.25">
      <c r="A476" s="14"/>
      <c r="B476" s="9"/>
      <c r="C476" s="9"/>
      <c r="D476" s="9"/>
      <c r="E476" s="9"/>
      <c r="F476" s="9"/>
      <c r="G476" s="9"/>
      <c r="H476" s="9"/>
      <c r="I476" s="9"/>
      <c r="J476" s="9"/>
      <c r="K476" s="357"/>
      <c r="L476" s="9"/>
      <c r="M476" s="9"/>
      <c r="N476" s="9"/>
      <c r="O476" s="9"/>
      <c r="P476" s="9"/>
      <c r="Q476" s="9"/>
      <c r="R476" s="14"/>
      <c r="S476" s="14"/>
    </row>
    <row r="477" spans="1:19" ht="14.25">
      <c r="A477" s="14"/>
      <c r="B477" s="9"/>
      <c r="C477" s="9"/>
      <c r="D477" s="9"/>
      <c r="E477" s="9"/>
      <c r="F477" s="9"/>
      <c r="G477" s="9"/>
      <c r="H477" s="9"/>
      <c r="I477" s="9"/>
      <c r="J477" s="9"/>
      <c r="K477" s="357"/>
      <c r="L477" s="9"/>
      <c r="M477" s="9"/>
      <c r="N477" s="9"/>
      <c r="O477" s="9"/>
      <c r="P477" s="9"/>
      <c r="Q477" s="9"/>
      <c r="R477" s="14"/>
      <c r="S477" s="14"/>
    </row>
    <row r="478" spans="1:19" ht="14.25">
      <c r="A478" s="14"/>
      <c r="B478" s="9"/>
      <c r="C478" s="9"/>
      <c r="D478" s="9"/>
      <c r="E478" s="9"/>
      <c r="F478" s="9"/>
      <c r="G478" s="9"/>
      <c r="H478" s="9"/>
      <c r="I478" s="9"/>
      <c r="J478" s="9"/>
      <c r="K478" s="357"/>
      <c r="L478" s="9"/>
      <c r="M478" s="9"/>
      <c r="N478" s="9"/>
      <c r="O478" s="9"/>
      <c r="P478" s="9"/>
      <c r="Q478" s="9"/>
      <c r="R478" s="14"/>
      <c r="S478" s="14"/>
    </row>
    <row r="479" spans="1:19" ht="14.25">
      <c r="A479" s="14"/>
      <c r="B479" s="9"/>
      <c r="C479" s="9"/>
      <c r="D479" s="9"/>
      <c r="E479" s="9"/>
      <c r="F479" s="9"/>
      <c r="G479" s="9"/>
      <c r="H479" s="9"/>
      <c r="I479" s="9"/>
      <c r="J479" s="9"/>
      <c r="K479" s="357"/>
      <c r="L479" s="9"/>
      <c r="M479" s="9"/>
      <c r="N479" s="9"/>
      <c r="O479" s="9"/>
      <c r="P479" s="9"/>
      <c r="Q479" s="9"/>
      <c r="R479" s="14"/>
      <c r="S479" s="14"/>
    </row>
    <row r="480" spans="1:19" ht="14.25">
      <c r="A480" s="14"/>
      <c r="B480" s="9"/>
      <c r="C480" s="9"/>
      <c r="D480" s="9"/>
      <c r="E480" s="9"/>
      <c r="F480" s="9"/>
      <c r="G480" s="9"/>
      <c r="H480" s="9"/>
      <c r="I480" s="9"/>
      <c r="J480" s="9"/>
      <c r="K480" s="357"/>
      <c r="L480" s="9"/>
      <c r="M480" s="9"/>
      <c r="N480" s="9"/>
      <c r="O480" s="9"/>
      <c r="P480" s="9"/>
      <c r="Q480" s="9"/>
      <c r="R480" s="14"/>
      <c r="S480" s="14"/>
    </row>
    <row r="481" spans="1:19" ht="14.25">
      <c r="A481" s="14"/>
      <c r="B481" s="9"/>
      <c r="C481" s="9"/>
      <c r="D481" s="9"/>
      <c r="E481" s="9"/>
      <c r="F481" s="9"/>
      <c r="G481" s="9"/>
      <c r="H481" s="9"/>
      <c r="I481" s="9"/>
      <c r="J481" s="9"/>
      <c r="K481" s="357"/>
      <c r="L481" s="9"/>
      <c r="M481" s="9"/>
      <c r="N481" s="9"/>
      <c r="O481" s="9"/>
      <c r="P481" s="9"/>
      <c r="Q481" s="9"/>
      <c r="R481" s="14"/>
      <c r="S481" s="14"/>
    </row>
    <row r="482" spans="1:19" ht="14.25">
      <c r="A482" s="14"/>
      <c r="B482" s="9"/>
      <c r="C482" s="9"/>
      <c r="D482" s="9"/>
      <c r="E482" s="9"/>
      <c r="F482" s="9"/>
      <c r="G482" s="9"/>
      <c r="H482" s="9"/>
      <c r="I482" s="9"/>
      <c r="J482" s="9"/>
      <c r="K482" s="357"/>
      <c r="L482" s="9"/>
      <c r="M482" s="9"/>
      <c r="N482" s="9"/>
      <c r="O482" s="9"/>
      <c r="P482" s="9"/>
      <c r="Q482" s="9"/>
      <c r="R482" s="14"/>
      <c r="S482" s="14"/>
    </row>
    <row r="483" spans="1:19" ht="14.25">
      <c r="A483" s="14"/>
      <c r="B483" s="9"/>
      <c r="C483" s="9"/>
      <c r="D483" s="9"/>
      <c r="E483" s="9"/>
      <c r="F483" s="9"/>
      <c r="G483" s="9"/>
      <c r="H483" s="9"/>
      <c r="I483" s="9"/>
      <c r="J483" s="9"/>
      <c r="K483" s="357"/>
      <c r="L483" s="9"/>
      <c r="M483" s="9"/>
      <c r="N483" s="9"/>
      <c r="O483" s="9"/>
      <c r="P483" s="9"/>
      <c r="Q483" s="9"/>
      <c r="R483" s="14"/>
      <c r="S483" s="14"/>
    </row>
    <row r="484" spans="1:19" ht="14.25">
      <c r="A484" s="14"/>
      <c r="B484" s="9"/>
      <c r="C484" s="9"/>
      <c r="D484" s="9"/>
      <c r="E484" s="9"/>
      <c r="F484" s="9"/>
      <c r="G484" s="9"/>
      <c r="H484" s="9"/>
      <c r="I484" s="9"/>
      <c r="J484" s="9"/>
      <c r="K484" s="357"/>
      <c r="L484" s="9"/>
      <c r="M484" s="9"/>
      <c r="N484" s="9"/>
      <c r="O484" s="9"/>
      <c r="P484" s="9"/>
      <c r="Q484" s="9"/>
      <c r="R484" s="14"/>
      <c r="S484" s="14"/>
    </row>
    <row r="485" spans="1:19" ht="14.25">
      <c r="A485" s="14"/>
      <c r="B485" s="9"/>
      <c r="C485" s="9"/>
      <c r="D485" s="9"/>
      <c r="E485" s="9"/>
      <c r="F485" s="9"/>
      <c r="G485" s="9"/>
      <c r="H485" s="9"/>
      <c r="I485" s="9"/>
      <c r="J485" s="9"/>
      <c r="K485" s="357"/>
      <c r="L485" s="9"/>
      <c r="M485" s="9"/>
      <c r="N485" s="9"/>
      <c r="O485" s="9"/>
      <c r="P485" s="9"/>
      <c r="Q485" s="9"/>
      <c r="R485" s="14"/>
      <c r="S485" s="14"/>
    </row>
    <row r="486" spans="1:19" ht="14.25">
      <c r="A486" s="14"/>
      <c r="B486" s="9"/>
      <c r="C486" s="9"/>
      <c r="D486" s="9"/>
      <c r="E486" s="9"/>
      <c r="F486" s="9"/>
      <c r="G486" s="9"/>
      <c r="H486" s="9"/>
      <c r="I486" s="9"/>
      <c r="J486" s="9"/>
      <c r="K486" s="357"/>
      <c r="L486" s="9"/>
      <c r="M486" s="9"/>
      <c r="N486" s="9"/>
      <c r="O486" s="9"/>
      <c r="P486" s="9"/>
      <c r="Q486" s="9"/>
      <c r="R486" s="14"/>
      <c r="S486" s="14"/>
    </row>
    <row r="487" spans="1:19" ht="14.25">
      <c r="A487" s="14"/>
      <c r="B487" s="9"/>
      <c r="C487" s="9"/>
      <c r="D487" s="9"/>
      <c r="E487" s="9"/>
      <c r="F487" s="9"/>
      <c r="G487" s="9"/>
      <c r="H487" s="9"/>
      <c r="I487" s="9"/>
      <c r="J487" s="9"/>
      <c r="K487" s="357"/>
      <c r="L487" s="9"/>
      <c r="M487" s="9"/>
      <c r="N487" s="9"/>
      <c r="O487" s="9"/>
      <c r="P487" s="9"/>
      <c r="Q487" s="9"/>
      <c r="R487" s="14"/>
      <c r="S487" s="14"/>
    </row>
    <row r="488" spans="1:19" ht="14.25">
      <c r="A488" s="14"/>
      <c r="B488" s="9"/>
      <c r="C488" s="9"/>
      <c r="D488" s="9"/>
      <c r="E488" s="9"/>
      <c r="F488" s="9"/>
      <c r="G488" s="9"/>
      <c r="H488" s="9"/>
      <c r="I488" s="9"/>
      <c r="J488" s="9"/>
      <c r="K488" s="357"/>
      <c r="L488" s="9"/>
      <c r="M488" s="9"/>
      <c r="N488" s="9"/>
      <c r="O488" s="9"/>
      <c r="P488" s="9"/>
      <c r="Q488" s="9"/>
      <c r="R488" s="14"/>
      <c r="S488" s="14"/>
    </row>
    <row r="489" spans="1:19" ht="14.25">
      <c r="A489" s="14"/>
      <c r="B489" s="9"/>
      <c r="C489" s="9"/>
      <c r="D489" s="9"/>
      <c r="E489" s="9"/>
      <c r="F489" s="9"/>
      <c r="G489" s="9"/>
      <c r="H489" s="9"/>
      <c r="I489" s="9"/>
      <c r="J489" s="9"/>
      <c r="K489" s="357"/>
      <c r="L489" s="9"/>
      <c r="M489" s="9"/>
      <c r="N489" s="9"/>
      <c r="O489" s="9"/>
      <c r="P489" s="9"/>
      <c r="Q489" s="9"/>
      <c r="R489" s="14"/>
      <c r="S489" s="14"/>
    </row>
    <row r="490" spans="1:19" ht="14.25">
      <c r="A490" s="14"/>
      <c r="B490" s="9"/>
      <c r="C490" s="9"/>
      <c r="D490" s="9"/>
      <c r="E490" s="9"/>
      <c r="F490" s="9"/>
      <c r="G490" s="9"/>
      <c r="H490" s="9"/>
      <c r="I490" s="9"/>
      <c r="J490" s="9"/>
      <c r="K490" s="357"/>
      <c r="L490" s="9"/>
      <c r="M490" s="9"/>
      <c r="N490" s="9"/>
      <c r="O490" s="9"/>
      <c r="P490" s="9"/>
      <c r="Q490" s="9"/>
      <c r="R490" s="14"/>
      <c r="S490" s="14"/>
    </row>
    <row r="491" spans="1:19" ht="14.25">
      <c r="A491" s="14"/>
      <c r="B491" s="9"/>
      <c r="C491" s="9"/>
      <c r="D491" s="9"/>
      <c r="E491" s="9"/>
      <c r="F491" s="9"/>
      <c r="G491" s="9"/>
      <c r="H491" s="9"/>
      <c r="I491" s="9"/>
      <c r="J491" s="9"/>
      <c r="K491" s="357"/>
      <c r="L491" s="9"/>
      <c r="M491" s="9"/>
      <c r="N491" s="9"/>
      <c r="O491" s="9"/>
      <c r="P491" s="9"/>
      <c r="Q491" s="9"/>
      <c r="R491" s="14"/>
      <c r="S491" s="14"/>
    </row>
    <row r="492" spans="1:19" ht="14.25">
      <c r="A492" s="14"/>
      <c r="B492" s="9"/>
      <c r="C492" s="9"/>
      <c r="D492" s="9"/>
      <c r="E492" s="9"/>
      <c r="F492" s="9"/>
      <c r="G492" s="9"/>
      <c r="H492" s="9"/>
      <c r="I492" s="9"/>
      <c r="J492" s="9"/>
      <c r="K492" s="357"/>
      <c r="L492" s="9"/>
      <c r="M492" s="9"/>
      <c r="N492" s="9"/>
      <c r="O492" s="9"/>
      <c r="P492" s="9"/>
      <c r="Q492" s="9"/>
      <c r="R492" s="14"/>
      <c r="S492" s="14"/>
    </row>
    <row r="493" spans="1:19" ht="14.25">
      <c r="A493" s="14"/>
      <c r="B493" s="9"/>
      <c r="C493" s="9"/>
      <c r="D493" s="9"/>
      <c r="E493" s="9"/>
      <c r="F493" s="9"/>
      <c r="G493" s="9"/>
      <c r="H493" s="9"/>
      <c r="I493" s="9"/>
      <c r="J493" s="9"/>
      <c r="K493" s="357"/>
      <c r="L493" s="9"/>
      <c r="M493" s="9"/>
      <c r="N493" s="9"/>
      <c r="O493" s="9"/>
      <c r="P493" s="9"/>
      <c r="Q493" s="9"/>
      <c r="R493" s="14"/>
      <c r="S493" s="14"/>
    </row>
    <row r="494" spans="1:19" ht="14.25">
      <c r="A494" s="14"/>
      <c r="B494" s="9"/>
      <c r="C494" s="9"/>
      <c r="D494" s="9"/>
      <c r="E494" s="9"/>
      <c r="F494" s="9"/>
      <c r="G494" s="9"/>
      <c r="H494" s="9"/>
      <c r="I494" s="9"/>
      <c r="J494" s="9"/>
      <c r="K494" s="357"/>
      <c r="L494" s="9"/>
      <c r="M494" s="9"/>
      <c r="N494" s="9"/>
      <c r="O494" s="9"/>
      <c r="P494" s="9"/>
      <c r="Q494" s="9"/>
      <c r="R494" s="14"/>
      <c r="S494" s="14"/>
    </row>
    <row r="495" spans="1:19" ht="14.25">
      <c r="A495" s="14"/>
      <c r="B495" s="9"/>
      <c r="C495" s="9"/>
      <c r="D495" s="9"/>
      <c r="E495" s="9"/>
      <c r="F495" s="9"/>
      <c r="G495" s="9"/>
      <c r="H495" s="9"/>
      <c r="I495" s="9"/>
      <c r="J495" s="9"/>
      <c r="K495" s="357"/>
      <c r="L495" s="9"/>
      <c r="M495" s="9"/>
      <c r="N495" s="9"/>
      <c r="O495" s="9"/>
      <c r="P495" s="9"/>
      <c r="Q495" s="9"/>
      <c r="R495" s="14"/>
      <c r="S495" s="14"/>
    </row>
    <row r="496" spans="1:19" ht="14.25">
      <c r="A496" s="14"/>
      <c r="B496" s="9"/>
      <c r="C496" s="9"/>
      <c r="D496" s="9"/>
      <c r="E496" s="9"/>
      <c r="F496" s="9"/>
      <c r="G496" s="9"/>
      <c r="H496" s="9"/>
      <c r="I496" s="9"/>
      <c r="J496" s="9"/>
      <c r="K496" s="357"/>
      <c r="L496" s="9"/>
      <c r="M496" s="9"/>
      <c r="N496" s="9"/>
      <c r="O496" s="9"/>
      <c r="P496" s="9"/>
      <c r="Q496" s="9"/>
      <c r="R496" s="14"/>
      <c r="S496" s="14"/>
    </row>
    <row r="497" spans="1:19" ht="14.25">
      <c r="A497" s="14"/>
      <c r="B497" s="9"/>
      <c r="C497" s="9"/>
      <c r="D497" s="9"/>
      <c r="E497" s="9"/>
      <c r="F497" s="9"/>
      <c r="G497" s="9"/>
      <c r="H497" s="9"/>
      <c r="I497" s="9"/>
      <c r="J497" s="9"/>
      <c r="K497" s="357"/>
      <c r="L497" s="9"/>
      <c r="M497" s="9"/>
      <c r="N497" s="9"/>
      <c r="O497" s="9"/>
      <c r="P497" s="9"/>
      <c r="Q497" s="9"/>
      <c r="R497" s="14"/>
      <c r="S497" s="14"/>
    </row>
    <row r="498" spans="1:19" ht="14.25">
      <c r="A498" s="14"/>
      <c r="B498" s="9"/>
      <c r="C498" s="9"/>
      <c r="D498" s="9"/>
      <c r="E498" s="9"/>
      <c r="F498" s="9"/>
      <c r="G498" s="9"/>
      <c r="H498" s="9"/>
      <c r="I498" s="9"/>
      <c r="J498" s="9"/>
      <c r="K498" s="357"/>
      <c r="L498" s="9"/>
      <c r="M498" s="9"/>
      <c r="N498" s="9"/>
      <c r="O498" s="9"/>
      <c r="P498" s="9"/>
      <c r="Q498" s="9"/>
      <c r="R498" s="14"/>
      <c r="S498" s="14"/>
    </row>
    <row r="499" spans="1:19" ht="14.25">
      <c r="A499" s="14"/>
      <c r="B499" s="9"/>
      <c r="C499" s="9"/>
      <c r="D499" s="9"/>
      <c r="E499" s="9"/>
      <c r="F499" s="9"/>
      <c r="G499" s="9"/>
      <c r="H499" s="9"/>
      <c r="I499" s="9"/>
      <c r="J499" s="9"/>
      <c r="K499" s="357"/>
      <c r="L499" s="9"/>
      <c r="M499" s="9"/>
      <c r="N499" s="9"/>
      <c r="O499" s="9"/>
      <c r="P499" s="9"/>
      <c r="Q499" s="9"/>
      <c r="R499" s="14"/>
      <c r="S499" s="14"/>
    </row>
    <row r="500" spans="1:19" ht="14.25">
      <c r="A500" s="14"/>
      <c r="B500" s="9"/>
      <c r="C500" s="9"/>
      <c r="D500" s="9"/>
      <c r="E500" s="9"/>
      <c r="F500" s="9"/>
      <c r="G500" s="9"/>
      <c r="H500" s="9"/>
      <c r="I500" s="9"/>
      <c r="J500" s="9"/>
      <c r="K500" s="357"/>
      <c r="L500" s="9"/>
      <c r="M500" s="9"/>
      <c r="N500" s="9"/>
      <c r="O500" s="9"/>
      <c r="P500" s="9"/>
      <c r="Q500" s="9"/>
      <c r="R500" s="14"/>
      <c r="S500" s="14"/>
    </row>
    <row r="501" spans="1:19" ht="14.25">
      <c r="A501" s="14"/>
      <c r="B501" s="9"/>
      <c r="C501" s="9"/>
      <c r="D501" s="9"/>
      <c r="E501" s="9"/>
      <c r="F501" s="9"/>
      <c r="G501" s="9"/>
      <c r="H501" s="9"/>
      <c r="I501" s="9"/>
      <c r="J501" s="9"/>
      <c r="K501" s="357"/>
      <c r="L501" s="9"/>
      <c r="M501" s="9"/>
      <c r="N501" s="9"/>
      <c r="O501" s="9"/>
      <c r="P501" s="9"/>
      <c r="Q501" s="9"/>
      <c r="R501" s="14"/>
      <c r="S501" s="14"/>
    </row>
    <row r="502" spans="1:19" ht="14.25">
      <c r="A502" s="14"/>
      <c r="B502" s="9"/>
      <c r="C502" s="9"/>
      <c r="D502" s="9"/>
      <c r="E502" s="9"/>
      <c r="F502" s="9"/>
      <c r="G502" s="9"/>
      <c r="H502" s="9"/>
      <c r="I502" s="9"/>
      <c r="J502" s="9"/>
      <c r="K502" s="357"/>
      <c r="L502" s="9"/>
      <c r="M502" s="9"/>
      <c r="N502" s="9"/>
      <c r="O502" s="9"/>
      <c r="P502" s="9"/>
      <c r="Q502" s="9"/>
      <c r="R502" s="14"/>
      <c r="S502" s="14"/>
    </row>
    <row r="503" spans="1:19" ht="14.25">
      <c r="A503" s="14"/>
      <c r="B503" s="9"/>
      <c r="C503" s="9"/>
      <c r="D503" s="9"/>
      <c r="E503" s="9"/>
      <c r="F503" s="9"/>
      <c r="G503" s="9"/>
      <c r="H503" s="9"/>
      <c r="I503" s="9"/>
      <c r="J503" s="9"/>
      <c r="K503" s="357"/>
      <c r="L503" s="9"/>
      <c r="M503" s="9"/>
      <c r="N503" s="9"/>
      <c r="O503" s="9"/>
      <c r="P503" s="9"/>
      <c r="Q503" s="9"/>
      <c r="R503" s="14"/>
      <c r="S503" s="14"/>
    </row>
    <row r="504" spans="1:19" ht="14.25">
      <c r="A504" s="14"/>
      <c r="B504" s="9"/>
      <c r="C504" s="9"/>
      <c r="D504" s="9"/>
      <c r="E504" s="9"/>
      <c r="F504" s="9"/>
      <c r="G504" s="9"/>
      <c r="H504" s="9"/>
      <c r="I504" s="9"/>
      <c r="J504" s="9"/>
      <c r="K504" s="357"/>
      <c r="L504" s="9"/>
      <c r="M504" s="9"/>
      <c r="N504" s="9"/>
      <c r="O504" s="9"/>
      <c r="P504" s="9"/>
      <c r="Q504" s="9"/>
      <c r="R504" s="14"/>
      <c r="S504" s="14"/>
    </row>
    <row r="505" spans="1:19" ht="14.25">
      <c r="A505" s="14"/>
      <c r="B505" s="9"/>
      <c r="C505" s="9"/>
      <c r="D505" s="9"/>
      <c r="E505" s="9"/>
      <c r="F505" s="9"/>
      <c r="G505" s="9"/>
      <c r="H505" s="9"/>
      <c r="I505" s="9"/>
      <c r="J505" s="9"/>
      <c r="K505" s="357"/>
      <c r="L505" s="9"/>
      <c r="M505" s="9"/>
      <c r="N505" s="9"/>
      <c r="O505" s="9"/>
      <c r="P505" s="9"/>
      <c r="Q505" s="9"/>
      <c r="R505" s="14"/>
      <c r="S505" s="14"/>
    </row>
    <row r="506" spans="1:19" ht="14.25">
      <c r="A506" s="14"/>
      <c r="B506" s="9"/>
      <c r="C506" s="9"/>
      <c r="D506" s="9"/>
      <c r="E506" s="9"/>
      <c r="F506" s="9"/>
      <c r="G506" s="9"/>
      <c r="H506" s="9"/>
      <c r="I506" s="9"/>
      <c r="J506" s="9"/>
      <c r="K506" s="357"/>
      <c r="L506" s="9"/>
      <c r="M506" s="9"/>
      <c r="N506" s="9"/>
      <c r="O506" s="9"/>
      <c r="P506" s="9"/>
      <c r="Q506" s="9"/>
      <c r="R506" s="14"/>
      <c r="S506" s="14"/>
    </row>
    <row r="507" spans="1:19" ht="14.25">
      <c r="A507" s="14"/>
      <c r="B507" s="9"/>
      <c r="C507" s="9"/>
      <c r="D507" s="9"/>
      <c r="E507" s="9"/>
      <c r="F507" s="9"/>
      <c r="G507" s="9"/>
      <c r="H507" s="9"/>
      <c r="I507" s="9"/>
      <c r="J507" s="9"/>
      <c r="K507" s="357"/>
      <c r="L507" s="9"/>
      <c r="M507" s="9"/>
      <c r="N507" s="9"/>
      <c r="O507" s="9"/>
      <c r="P507" s="9"/>
      <c r="Q507" s="9"/>
      <c r="R507" s="14"/>
      <c r="S507" s="14"/>
    </row>
    <row r="508" spans="1:19" ht="14.25">
      <c r="A508" s="14"/>
      <c r="B508" s="9"/>
      <c r="C508" s="9"/>
      <c r="D508" s="9"/>
      <c r="E508" s="9"/>
      <c r="F508" s="9"/>
      <c r="G508" s="9"/>
      <c r="H508" s="9"/>
      <c r="I508" s="9"/>
      <c r="J508" s="9"/>
      <c r="K508" s="357"/>
      <c r="L508" s="9"/>
      <c r="M508" s="9"/>
      <c r="N508" s="9"/>
      <c r="O508" s="9"/>
      <c r="P508" s="9"/>
      <c r="Q508" s="9"/>
      <c r="R508" s="14"/>
      <c r="S508" s="14"/>
    </row>
    <row r="509" spans="1:19" ht="14.25">
      <c r="A509" s="14"/>
      <c r="B509" s="9"/>
      <c r="C509" s="9"/>
      <c r="D509" s="9"/>
      <c r="E509" s="9"/>
      <c r="F509" s="9"/>
      <c r="G509" s="9"/>
      <c r="H509" s="9"/>
      <c r="I509" s="9"/>
      <c r="J509" s="9"/>
      <c r="K509" s="357"/>
      <c r="L509" s="9"/>
      <c r="M509" s="9"/>
      <c r="N509" s="9"/>
      <c r="O509" s="9"/>
      <c r="P509" s="9"/>
      <c r="Q509" s="9"/>
      <c r="R509" s="14"/>
      <c r="S509" s="14"/>
    </row>
    <row r="510" spans="1:19" ht="14.25">
      <c r="A510" s="14"/>
      <c r="B510" s="9"/>
      <c r="C510" s="9"/>
      <c r="D510" s="9"/>
      <c r="E510" s="9"/>
      <c r="F510" s="9"/>
      <c r="G510" s="9"/>
      <c r="H510" s="9"/>
      <c r="I510" s="9"/>
      <c r="J510" s="9"/>
      <c r="K510" s="357"/>
      <c r="L510" s="9"/>
      <c r="M510" s="9"/>
      <c r="N510" s="9"/>
      <c r="O510" s="9"/>
      <c r="P510" s="9"/>
      <c r="Q510" s="9"/>
      <c r="R510" s="14"/>
      <c r="S510" s="14"/>
    </row>
    <row r="511" spans="1:19" ht="14.25">
      <c r="A511" s="14"/>
      <c r="B511" s="9"/>
      <c r="C511" s="9"/>
      <c r="D511" s="9"/>
      <c r="E511" s="9"/>
      <c r="F511" s="9"/>
      <c r="G511" s="9"/>
      <c r="H511" s="9"/>
      <c r="I511" s="9"/>
      <c r="J511" s="9"/>
      <c r="K511" s="357"/>
      <c r="L511" s="9"/>
      <c r="M511" s="9"/>
      <c r="N511" s="9"/>
      <c r="O511" s="9"/>
      <c r="P511" s="9"/>
      <c r="Q511" s="9"/>
      <c r="R511" s="14"/>
      <c r="S511" s="14"/>
    </row>
    <row r="512" spans="1:19" ht="14.25">
      <c r="A512" s="14"/>
      <c r="B512" s="9"/>
      <c r="C512" s="9"/>
      <c r="D512" s="9"/>
      <c r="E512" s="9"/>
      <c r="F512" s="9"/>
      <c r="G512" s="9"/>
      <c r="H512" s="9"/>
      <c r="I512" s="9"/>
      <c r="J512" s="9"/>
      <c r="K512" s="357"/>
      <c r="L512" s="9"/>
      <c r="M512" s="9"/>
      <c r="N512" s="9"/>
      <c r="O512" s="9"/>
      <c r="P512" s="9"/>
      <c r="Q512" s="9"/>
      <c r="R512" s="14"/>
      <c r="S512" s="14"/>
    </row>
    <row r="513" spans="1:19" ht="14.25">
      <c r="A513" s="14"/>
      <c r="B513" s="9"/>
      <c r="C513" s="9"/>
      <c r="D513" s="9"/>
      <c r="E513" s="9"/>
      <c r="F513" s="9"/>
      <c r="G513" s="9"/>
      <c r="H513" s="9"/>
      <c r="I513" s="9"/>
      <c r="J513" s="9"/>
      <c r="K513" s="357"/>
      <c r="L513" s="9"/>
      <c r="M513" s="9"/>
      <c r="N513" s="9"/>
      <c r="O513" s="9"/>
      <c r="P513" s="9"/>
      <c r="Q513" s="9"/>
      <c r="R513" s="14"/>
      <c r="S513" s="14"/>
    </row>
    <row r="514" spans="1:19" ht="14.25">
      <c r="A514" s="14"/>
      <c r="B514" s="9"/>
      <c r="C514" s="9"/>
      <c r="D514" s="9"/>
      <c r="E514" s="9"/>
      <c r="F514" s="9"/>
      <c r="G514" s="9"/>
      <c r="H514" s="9"/>
      <c r="I514" s="9"/>
      <c r="J514" s="9"/>
      <c r="K514" s="357"/>
      <c r="L514" s="9"/>
      <c r="M514" s="9"/>
      <c r="N514" s="9"/>
      <c r="O514" s="9"/>
      <c r="P514" s="9"/>
      <c r="Q514" s="9"/>
      <c r="R514" s="14"/>
      <c r="S514" s="14"/>
    </row>
    <row r="515" spans="1:19" ht="14.25">
      <c r="A515" s="14"/>
      <c r="B515" s="9"/>
      <c r="C515" s="9"/>
      <c r="D515" s="9"/>
      <c r="E515" s="9"/>
      <c r="F515" s="9"/>
      <c r="G515" s="9"/>
      <c r="H515" s="9"/>
      <c r="I515" s="9"/>
      <c r="J515" s="9"/>
      <c r="K515" s="357"/>
      <c r="L515" s="9"/>
      <c r="M515" s="9"/>
      <c r="N515" s="9"/>
      <c r="O515" s="9"/>
      <c r="P515" s="9"/>
      <c r="Q515" s="9"/>
      <c r="R515" s="14"/>
      <c r="S515" s="14"/>
    </row>
    <row r="516" spans="1:19" ht="14.25">
      <c r="A516" s="14"/>
      <c r="B516" s="9"/>
      <c r="C516" s="9"/>
      <c r="D516" s="9"/>
      <c r="E516" s="9"/>
      <c r="F516" s="9"/>
      <c r="G516" s="9"/>
      <c r="H516" s="9"/>
      <c r="I516" s="9"/>
      <c r="J516" s="9"/>
      <c r="K516" s="357"/>
      <c r="L516" s="9"/>
      <c r="M516" s="9"/>
      <c r="N516" s="9"/>
      <c r="O516" s="9"/>
      <c r="P516" s="9"/>
      <c r="Q516" s="9"/>
      <c r="R516" s="14"/>
      <c r="S516" s="14"/>
    </row>
    <row r="517" spans="1:19" ht="14.25">
      <c r="A517" s="14"/>
      <c r="B517" s="9"/>
      <c r="C517" s="9"/>
      <c r="D517" s="9"/>
      <c r="E517" s="9"/>
      <c r="F517" s="9"/>
      <c r="G517" s="9"/>
      <c r="H517" s="9"/>
      <c r="I517" s="9"/>
      <c r="J517" s="9"/>
      <c r="K517" s="357"/>
      <c r="L517" s="9"/>
      <c r="M517" s="9"/>
      <c r="N517" s="9"/>
      <c r="O517" s="9"/>
      <c r="P517" s="9"/>
      <c r="Q517" s="9"/>
      <c r="R517" s="14"/>
      <c r="S517" s="14"/>
    </row>
    <row r="518" spans="1:19" ht="14.25">
      <c r="A518" s="14"/>
      <c r="B518" s="9"/>
      <c r="C518" s="9"/>
      <c r="D518" s="9"/>
      <c r="E518" s="9"/>
      <c r="F518" s="9"/>
      <c r="G518" s="9"/>
      <c r="H518" s="9"/>
      <c r="I518" s="9"/>
      <c r="J518" s="9"/>
      <c r="K518" s="357"/>
      <c r="L518" s="9"/>
      <c r="M518" s="9"/>
      <c r="N518" s="9"/>
      <c r="O518" s="9"/>
      <c r="P518" s="9"/>
      <c r="Q518" s="9"/>
      <c r="R518" s="14"/>
      <c r="S518" s="14"/>
    </row>
    <row r="519" spans="1:19" ht="14.25">
      <c r="A519" s="14"/>
      <c r="B519" s="9"/>
      <c r="C519" s="9"/>
      <c r="D519" s="9"/>
      <c r="E519" s="9"/>
      <c r="F519" s="9"/>
      <c r="G519" s="9"/>
      <c r="H519" s="9"/>
      <c r="I519" s="9"/>
      <c r="J519" s="9"/>
      <c r="K519" s="357"/>
      <c r="L519" s="9"/>
      <c r="M519" s="9"/>
      <c r="N519" s="9"/>
      <c r="O519" s="9"/>
      <c r="P519" s="9"/>
      <c r="Q519" s="9"/>
      <c r="R519" s="14"/>
      <c r="S519" s="14"/>
    </row>
    <row r="520" spans="1:19" ht="14.25">
      <c r="A520" s="14"/>
      <c r="B520" s="9"/>
      <c r="C520" s="9"/>
      <c r="D520" s="9"/>
      <c r="E520" s="9"/>
      <c r="F520" s="9"/>
      <c r="G520" s="9"/>
      <c r="H520" s="9"/>
      <c r="I520" s="9"/>
      <c r="J520" s="9"/>
      <c r="K520" s="357"/>
      <c r="L520" s="9"/>
      <c r="M520" s="9"/>
      <c r="N520" s="9"/>
      <c r="O520" s="9"/>
      <c r="P520" s="9"/>
      <c r="Q520" s="9"/>
      <c r="R520" s="14"/>
      <c r="S520" s="14"/>
    </row>
    <row r="521" spans="1:19" ht="14.25">
      <c r="A521" s="14"/>
      <c r="B521" s="9"/>
      <c r="C521" s="9"/>
      <c r="D521" s="9"/>
      <c r="E521" s="9"/>
      <c r="F521" s="9"/>
      <c r="G521" s="9"/>
      <c r="H521" s="9"/>
      <c r="I521" s="9"/>
      <c r="J521" s="9"/>
      <c r="K521" s="357"/>
      <c r="L521" s="9"/>
      <c r="M521" s="9"/>
      <c r="N521" s="9"/>
      <c r="O521" s="9"/>
      <c r="P521" s="9"/>
      <c r="Q521" s="9"/>
      <c r="R521" s="14"/>
      <c r="S521" s="14"/>
    </row>
    <row r="522" spans="1:19" ht="14.25">
      <c r="A522" s="14"/>
      <c r="B522" s="9"/>
      <c r="C522" s="9"/>
      <c r="D522" s="9"/>
      <c r="E522" s="9"/>
      <c r="F522" s="9"/>
      <c r="G522" s="9"/>
      <c r="H522" s="9"/>
      <c r="I522" s="9"/>
      <c r="J522" s="9"/>
      <c r="K522" s="357"/>
      <c r="L522" s="9"/>
      <c r="M522" s="9"/>
      <c r="N522" s="9"/>
      <c r="O522" s="9"/>
      <c r="P522" s="9"/>
      <c r="Q522" s="9"/>
      <c r="R522" s="14"/>
      <c r="S522" s="14"/>
    </row>
    <row r="523" spans="1:19" ht="14.25">
      <c r="A523" s="14"/>
      <c r="B523" s="9"/>
      <c r="C523" s="9"/>
      <c r="D523" s="9"/>
      <c r="E523" s="9"/>
      <c r="F523" s="9"/>
      <c r="G523" s="9"/>
      <c r="H523" s="9"/>
      <c r="I523" s="9"/>
      <c r="J523" s="9"/>
      <c r="K523" s="357"/>
      <c r="L523" s="9"/>
      <c r="M523" s="9"/>
      <c r="N523" s="9"/>
      <c r="O523" s="9"/>
      <c r="P523" s="9"/>
      <c r="Q523" s="9"/>
      <c r="R523" s="14"/>
      <c r="S523" s="14"/>
    </row>
    <row r="524" spans="1:19" ht="14.25">
      <c r="A524" s="14"/>
      <c r="B524" s="9"/>
      <c r="C524" s="9"/>
      <c r="D524" s="9"/>
      <c r="E524" s="9"/>
      <c r="F524" s="9"/>
      <c r="G524" s="9"/>
      <c r="H524" s="9"/>
      <c r="I524" s="9"/>
      <c r="J524" s="9"/>
      <c r="K524" s="357"/>
      <c r="L524" s="9"/>
      <c r="M524" s="9"/>
      <c r="N524" s="9"/>
      <c r="O524" s="9"/>
      <c r="P524" s="9"/>
      <c r="Q524" s="9"/>
      <c r="R524" s="14"/>
      <c r="S524" s="14"/>
    </row>
    <row r="525" spans="1:19" ht="14.25">
      <c r="A525" s="14"/>
      <c r="B525" s="9"/>
      <c r="C525" s="9"/>
      <c r="D525" s="9"/>
      <c r="E525" s="9"/>
      <c r="F525" s="9"/>
      <c r="G525" s="9"/>
      <c r="H525" s="9"/>
      <c r="I525" s="9"/>
      <c r="J525" s="9"/>
      <c r="K525" s="357"/>
      <c r="L525" s="9"/>
      <c r="M525" s="9"/>
      <c r="N525" s="9"/>
      <c r="O525" s="9"/>
      <c r="P525" s="9"/>
      <c r="Q525" s="9"/>
      <c r="R525" s="14"/>
      <c r="S525" s="14"/>
    </row>
    <row r="526" spans="1:19" ht="14.25">
      <c r="A526" s="14"/>
      <c r="B526" s="9"/>
      <c r="C526" s="9"/>
      <c r="D526" s="9"/>
      <c r="E526" s="9"/>
      <c r="F526" s="9"/>
      <c r="G526" s="9"/>
      <c r="H526" s="9"/>
      <c r="I526" s="9"/>
      <c r="J526" s="9"/>
      <c r="K526" s="357"/>
      <c r="L526" s="9"/>
      <c r="M526" s="9"/>
      <c r="N526" s="9"/>
      <c r="O526" s="9"/>
      <c r="P526" s="9"/>
      <c r="Q526" s="9"/>
      <c r="R526" s="14"/>
      <c r="S526" s="14"/>
    </row>
    <row r="527" spans="1:19" ht="14.25">
      <c r="A527" s="14"/>
      <c r="B527" s="9"/>
      <c r="C527" s="9"/>
      <c r="D527" s="9"/>
      <c r="E527" s="9"/>
      <c r="F527" s="9"/>
      <c r="G527" s="9"/>
      <c r="H527" s="9"/>
      <c r="I527" s="9"/>
      <c r="J527" s="9"/>
      <c r="K527" s="357"/>
      <c r="L527" s="9"/>
      <c r="M527" s="9"/>
      <c r="N527" s="9"/>
      <c r="O527" s="9"/>
      <c r="P527" s="9"/>
      <c r="Q527" s="9"/>
      <c r="R527" s="14"/>
      <c r="S527" s="14"/>
    </row>
    <row r="528" spans="1:19" ht="14.25">
      <c r="A528" s="14"/>
      <c r="B528" s="9"/>
      <c r="C528" s="9"/>
      <c r="D528" s="9"/>
      <c r="E528" s="9"/>
      <c r="F528" s="9"/>
      <c r="G528" s="9"/>
      <c r="H528" s="9"/>
      <c r="I528" s="9"/>
      <c r="J528" s="9"/>
      <c r="K528" s="357"/>
      <c r="L528" s="9"/>
      <c r="M528" s="9"/>
      <c r="N528" s="9"/>
      <c r="O528" s="9"/>
      <c r="P528" s="9"/>
      <c r="Q528" s="9"/>
      <c r="R528" s="14"/>
      <c r="S528" s="14"/>
    </row>
    <row r="529" spans="1:19" ht="14.25">
      <c r="A529" s="14"/>
      <c r="B529" s="9"/>
      <c r="C529" s="9"/>
      <c r="D529" s="9"/>
      <c r="E529" s="9"/>
      <c r="F529" s="9"/>
      <c r="G529" s="9"/>
      <c r="H529" s="9"/>
      <c r="I529" s="9"/>
      <c r="J529" s="9"/>
      <c r="K529" s="357"/>
      <c r="L529" s="9"/>
      <c r="M529" s="9"/>
      <c r="N529" s="9"/>
      <c r="O529" s="9"/>
      <c r="P529" s="9"/>
      <c r="Q529" s="9"/>
      <c r="R529" s="14"/>
      <c r="S529" s="14"/>
    </row>
    <row r="530" spans="1:19" ht="14.25">
      <c r="A530" s="14"/>
      <c r="B530" s="9"/>
      <c r="C530" s="9"/>
      <c r="D530" s="9"/>
      <c r="E530" s="9"/>
      <c r="F530" s="9"/>
      <c r="G530" s="9"/>
      <c r="H530" s="9"/>
      <c r="I530" s="9"/>
      <c r="J530" s="9"/>
      <c r="K530" s="357"/>
      <c r="L530" s="9"/>
      <c r="M530" s="9"/>
      <c r="N530" s="9"/>
      <c r="O530" s="9"/>
      <c r="P530" s="9"/>
      <c r="Q530" s="9"/>
      <c r="R530" s="14"/>
      <c r="S530" s="14"/>
    </row>
    <row r="531" spans="1:19" ht="14.25">
      <c r="A531" s="14"/>
      <c r="B531" s="9"/>
      <c r="C531" s="9"/>
      <c r="D531" s="9"/>
      <c r="E531" s="9"/>
      <c r="F531" s="9"/>
      <c r="G531" s="9"/>
      <c r="H531" s="9"/>
      <c r="I531" s="9"/>
      <c r="J531" s="9"/>
      <c r="K531" s="357"/>
      <c r="L531" s="9"/>
      <c r="M531" s="9"/>
      <c r="N531" s="9"/>
      <c r="O531" s="9"/>
      <c r="P531" s="9"/>
      <c r="Q531" s="9"/>
      <c r="R531" s="14"/>
      <c r="S531" s="14"/>
    </row>
    <row r="532" spans="1:19" ht="14.25">
      <c r="A532" s="14"/>
      <c r="B532" s="9"/>
      <c r="C532" s="9"/>
      <c r="D532" s="9"/>
      <c r="E532" s="9"/>
      <c r="F532" s="9"/>
      <c r="G532" s="9"/>
      <c r="H532" s="9"/>
      <c r="I532" s="9"/>
      <c r="J532" s="9"/>
      <c r="K532" s="357"/>
      <c r="L532" s="9"/>
      <c r="M532" s="9"/>
      <c r="N532" s="9"/>
      <c r="O532" s="9"/>
      <c r="P532" s="9"/>
      <c r="Q532" s="9"/>
      <c r="R532" s="14"/>
      <c r="S532" s="14"/>
    </row>
    <row r="533" spans="1:19" ht="14.25">
      <c r="A533" s="14"/>
      <c r="B533" s="9"/>
      <c r="C533" s="9"/>
      <c r="D533" s="9"/>
      <c r="E533" s="9"/>
      <c r="F533" s="9"/>
      <c r="G533" s="9"/>
      <c r="H533" s="9"/>
      <c r="I533" s="9"/>
      <c r="J533" s="9"/>
      <c r="K533" s="357"/>
      <c r="L533" s="9"/>
      <c r="M533" s="9"/>
      <c r="N533" s="9"/>
      <c r="O533" s="9"/>
      <c r="P533" s="9"/>
      <c r="Q533" s="9"/>
      <c r="R533" s="14"/>
      <c r="S533" s="14"/>
    </row>
    <row r="534" spans="1:19" ht="14.25">
      <c r="A534" s="14"/>
      <c r="B534" s="9"/>
      <c r="C534" s="9"/>
      <c r="D534" s="9"/>
      <c r="E534" s="9"/>
      <c r="F534" s="9"/>
      <c r="G534" s="9"/>
      <c r="H534" s="9"/>
      <c r="I534" s="9"/>
      <c r="J534" s="9"/>
      <c r="K534" s="357"/>
      <c r="L534" s="9"/>
      <c r="M534" s="9"/>
      <c r="N534" s="9"/>
      <c r="O534" s="9"/>
      <c r="P534" s="9"/>
      <c r="Q534" s="9"/>
      <c r="R534" s="14"/>
      <c r="S534" s="14"/>
    </row>
    <row r="535" spans="1:19" ht="14.25">
      <c r="A535" s="14"/>
      <c r="B535" s="9"/>
      <c r="C535" s="9"/>
      <c r="D535" s="9"/>
      <c r="E535" s="9"/>
      <c r="F535" s="9"/>
      <c r="G535" s="9"/>
      <c r="H535" s="9"/>
      <c r="I535" s="9"/>
      <c r="J535" s="9"/>
      <c r="K535" s="357"/>
      <c r="L535" s="9"/>
      <c r="M535" s="9"/>
      <c r="N535" s="9"/>
      <c r="O535" s="9"/>
      <c r="P535" s="9"/>
      <c r="Q535" s="9"/>
      <c r="R535" s="14"/>
      <c r="S535" s="14"/>
    </row>
    <row r="536" spans="1:19" ht="14.25">
      <c r="A536" s="14"/>
      <c r="B536" s="9"/>
      <c r="C536" s="9"/>
      <c r="D536" s="9"/>
      <c r="E536" s="9"/>
      <c r="F536" s="9"/>
      <c r="G536" s="9"/>
      <c r="H536" s="9"/>
      <c r="I536" s="9"/>
      <c r="J536" s="9"/>
      <c r="K536" s="357"/>
      <c r="L536" s="9"/>
      <c r="M536" s="9"/>
      <c r="N536" s="9"/>
      <c r="O536" s="9"/>
      <c r="P536" s="9"/>
      <c r="Q536" s="9"/>
      <c r="R536" s="14"/>
      <c r="S536" s="14"/>
    </row>
    <row r="537" spans="1:19" ht="14.25">
      <c r="A537" s="14"/>
      <c r="B537" s="9"/>
      <c r="C537" s="9"/>
      <c r="D537" s="9"/>
      <c r="E537" s="9"/>
      <c r="F537" s="9"/>
      <c r="G537" s="9"/>
      <c r="H537" s="9"/>
      <c r="I537" s="9"/>
      <c r="J537" s="9"/>
      <c r="K537" s="357"/>
      <c r="L537" s="9"/>
      <c r="M537" s="9"/>
      <c r="N537" s="9"/>
      <c r="O537" s="9"/>
      <c r="P537" s="9"/>
      <c r="Q537" s="9"/>
      <c r="R537" s="14"/>
      <c r="S537" s="14"/>
    </row>
    <row r="538" spans="1:19" ht="14.25">
      <c r="A538" s="14"/>
      <c r="B538" s="9"/>
      <c r="C538" s="9"/>
      <c r="D538" s="9"/>
      <c r="E538" s="9"/>
      <c r="F538" s="9"/>
      <c r="G538" s="9"/>
      <c r="H538" s="9"/>
      <c r="I538" s="9"/>
      <c r="J538" s="9"/>
      <c r="K538" s="357"/>
      <c r="L538" s="9"/>
      <c r="M538" s="9"/>
      <c r="N538" s="9"/>
      <c r="O538" s="9"/>
      <c r="P538" s="9"/>
      <c r="Q538" s="9"/>
      <c r="R538" s="14"/>
      <c r="S538" s="14"/>
    </row>
    <row r="539" spans="1:19" ht="14.25">
      <c r="A539" s="14"/>
      <c r="B539" s="9"/>
      <c r="C539" s="9"/>
      <c r="D539" s="9"/>
      <c r="E539" s="9"/>
      <c r="F539" s="9"/>
      <c r="G539" s="9"/>
      <c r="H539" s="9"/>
      <c r="I539" s="9"/>
      <c r="J539" s="9"/>
      <c r="K539" s="357"/>
      <c r="L539" s="9"/>
      <c r="M539" s="9"/>
      <c r="N539" s="9"/>
      <c r="O539" s="9"/>
      <c r="P539" s="9"/>
      <c r="Q539" s="9"/>
      <c r="R539" s="14"/>
      <c r="S539" s="14"/>
    </row>
    <row r="540" spans="1:19" ht="14.25">
      <c r="A540" s="14"/>
      <c r="B540" s="9"/>
      <c r="C540" s="9"/>
      <c r="D540" s="9"/>
      <c r="E540" s="9"/>
      <c r="F540" s="9"/>
      <c r="G540" s="9"/>
      <c r="H540" s="9"/>
      <c r="I540" s="9"/>
      <c r="J540" s="9"/>
      <c r="K540" s="357"/>
      <c r="L540" s="9"/>
      <c r="M540" s="9"/>
      <c r="N540" s="9"/>
      <c r="O540" s="9"/>
      <c r="P540" s="9"/>
      <c r="Q540" s="9"/>
      <c r="R540" s="14"/>
      <c r="S540" s="14"/>
    </row>
    <row r="541" spans="1:19" ht="14.25">
      <c r="A541" s="14"/>
      <c r="B541" s="9"/>
      <c r="C541" s="9"/>
      <c r="D541" s="9"/>
      <c r="E541" s="9"/>
      <c r="F541" s="9"/>
      <c r="G541" s="9"/>
      <c r="H541" s="9"/>
      <c r="I541" s="9"/>
      <c r="J541" s="9"/>
      <c r="K541" s="357"/>
      <c r="L541" s="9"/>
      <c r="M541" s="9"/>
      <c r="N541" s="9"/>
      <c r="O541" s="9"/>
      <c r="P541" s="9"/>
      <c r="Q541" s="9"/>
      <c r="R541" s="14"/>
      <c r="S541" s="14"/>
    </row>
    <row r="542" spans="1:19" ht="14.25">
      <c r="A542" s="14"/>
      <c r="B542" s="9"/>
      <c r="C542" s="9"/>
      <c r="D542" s="9"/>
      <c r="E542" s="9"/>
      <c r="F542" s="9"/>
      <c r="G542" s="9"/>
      <c r="H542" s="9"/>
      <c r="I542" s="9"/>
      <c r="J542" s="9"/>
      <c r="K542" s="357"/>
      <c r="L542" s="9"/>
      <c r="M542" s="9"/>
      <c r="N542" s="9"/>
      <c r="O542" s="9"/>
      <c r="P542" s="9"/>
      <c r="Q542" s="9"/>
      <c r="R542" s="14"/>
      <c r="S542" s="14"/>
    </row>
    <row r="543" spans="1:19" ht="14.25">
      <c r="A543" s="14"/>
      <c r="B543" s="9"/>
      <c r="C543" s="9"/>
      <c r="D543" s="9"/>
      <c r="E543" s="9"/>
      <c r="F543" s="9"/>
      <c r="G543" s="9"/>
      <c r="H543" s="9"/>
      <c r="I543" s="9"/>
      <c r="J543" s="9"/>
      <c r="K543" s="357"/>
      <c r="L543" s="9"/>
      <c r="M543" s="9"/>
      <c r="N543" s="9"/>
      <c r="O543" s="9"/>
      <c r="P543" s="9"/>
      <c r="Q543" s="9"/>
      <c r="R543" s="14"/>
      <c r="S543" s="14"/>
    </row>
    <row r="544" spans="1:19" ht="14.25">
      <c r="A544" s="14"/>
      <c r="B544" s="9"/>
      <c r="C544" s="9"/>
      <c r="D544" s="9"/>
      <c r="E544" s="9"/>
      <c r="F544" s="9"/>
      <c r="G544" s="9"/>
      <c r="H544" s="9"/>
      <c r="I544" s="9"/>
      <c r="J544" s="9"/>
      <c r="K544" s="357"/>
      <c r="L544" s="9"/>
      <c r="M544" s="9"/>
      <c r="N544" s="9"/>
      <c r="O544" s="9"/>
      <c r="P544" s="9"/>
      <c r="Q544" s="9"/>
      <c r="R544" s="14"/>
      <c r="S544" s="14"/>
    </row>
    <row r="545" spans="1:19" ht="14.25">
      <c r="A545" s="14"/>
      <c r="B545" s="9"/>
      <c r="C545" s="9"/>
      <c r="D545" s="9"/>
      <c r="E545" s="9"/>
      <c r="F545" s="9"/>
      <c r="G545" s="9"/>
      <c r="H545" s="9"/>
      <c r="I545" s="9"/>
      <c r="J545" s="9"/>
      <c r="K545" s="357"/>
      <c r="L545" s="9"/>
      <c r="M545" s="9"/>
      <c r="N545" s="9"/>
      <c r="O545" s="9"/>
      <c r="P545" s="9"/>
      <c r="Q545" s="9"/>
      <c r="R545" s="14"/>
      <c r="S545" s="14"/>
    </row>
    <row r="546" spans="1:19" ht="14.25">
      <c r="A546" s="14"/>
      <c r="B546" s="9"/>
      <c r="C546" s="9"/>
      <c r="D546" s="9"/>
      <c r="E546" s="9"/>
      <c r="F546" s="9"/>
      <c r="G546" s="9"/>
      <c r="H546" s="9"/>
      <c r="I546" s="9"/>
      <c r="J546" s="9"/>
      <c r="K546" s="357"/>
      <c r="L546" s="9"/>
      <c r="M546" s="9"/>
      <c r="N546" s="9"/>
      <c r="O546" s="9"/>
      <c r="P546" s="9"/>
      <c r="Q546" s="9"/>
      <c r="R546" s="14"/>
      <c r="S546" s="14"/>
    </row>
    <row r="547" spans="1:19" ht="14.25">
      <c r="A547" s="14"/>
      <c r="B547" s="9"/>
      <c r="C547" s="9"/>
      <c r="D547" s="9"/>
      <c r="E547" s="9"/>
      <c r="F547" s="9"/>
      <c r="G547" s="9"/>
      <c r="H547" s="9"/>
      <c r="I547" s="9"/>
      <c r="J547" s="9"/>
      <c r="K547" s="357"/>
      <c r="L547" s="9"/>
      <c r="M547" s="9"/>
      <c r="N547" s="9"/>
      <c r="O547" s="9"/>
      <c r="P547" s="9"/>
      <c r="Q547" s="9"/>
      <c r="R547" s="14"/>
      <c r="S547" s="14"/>
    </row>
    <row r="548" spans="1:19" ht="14.25">
      <c r="A548" s="14"/>
      <c r="B548" s="9"/>
      <c r="C548" s="9"/>
      <c r="D548" s="9"/>
      <c r="E548" s="9"/>
      <c r="F548" s="9"/>
      <c r="G548" s="9"/>
      <c r="H548" s="9"/>
      <c r="I548" s="9"/>
      <c r="J548" s="9"/>
      <c r="K548" s="357"/>
      <c r="L548" s="9"/>
      <c r="M548" s="9"/>
      <c r="N548" s="9"/>
      <c r="O548" s="9"/>
      <c r="P548" s="9"/>
      <c r="Q548" s="9"/>
      <c r="R548" s="14"/>
      <c r="S548" s="14"/>
    </row>
    <row r="549" spans="1:19" ht="14.25">
      <c r="A549" s="14"/>
      <c r="B549" s="9"/>
      <c r="C549" s="9"/>
      <c r="D549" s="9"/>
      <c r="E549" s="9"/>
      <c r="F549" s="9"/>
      <c r="G549" s="9"/>
      <c r="H549" s="9"/>
      <c r="I549" s="9"/>
      <c r="J549" s="9"/>
      <c r="K549" s="357"/>
      <c r="L549" s="9"/>
      <c r="M549" s="9"/>
      <c r="N549" s="9"/>
      <c r="O549" s="9"/>
      <c r="P549" s="9"/>
      <c r="Q549" s="9"/>
      <c r="R549" s="14"/>
      <c r="S549" s="14"/>
    </row>
    <row r="550" spans="1:19" ht="14.25">
      <c r="A550" s="14"/>
      <c r="B550" s="9"/>
      <c r="C550" s="9"/>
      <c r="D550" s="9"/>
      <c r="E550" s="9"/>
      <c r="F550" s="9"/>
      <c r="G550" s="9"/>
      <c r="H550" s="9"/>
      <c r="I550" s="9"/>
      <c r="J550" s="9"/>
      <c r="K550" s="357"/>
      <c r="L550" s="9"/>
      <c r="M550" s="9"/>
      <c r="N550" s="9"/>
      <c r="O550" s="9"/>
      <c r="P550" s="9"/>
      <c r="Q550" s="9"/>
      <c r="R550" s="14"/>
      <c r="S550" s="14"/>
    </row>
    <row r="551" spans="1:19" ht="14.25">
      <c r="A551" s="14"/>
      <c r="B551" s="9"/>
      <c r="C551" s="9"/>
      <c r="D551" s="9"/>
      <c r="E551" s="9"/>
      <c r="F551" s="9"/>
      <c r="G551" s="9"/>
      <c r="H551" s="9"/>
      <c r="I551" s="9"/>
      <c r="J551" s="9"/>
      <c r="K551" s="357"/>
      <c r="L551" s="9"/>
      <c r="M551" s="9"/>
      <c r="N551" s="9"/>
      <c r="O551" s="9"/>
      <c r="P551" s="9"/>
      <c r="Q551" s="9"/>
      <c r="R551" s="14"/>
      <c r="S551" s="14"/>
    </row>
    <row r="552" spans="1:19" ht="14.25">
      <c r="A552" s="14"/>
      <c r="B552" s="9"/>
      <c r="C552" s="9"/>
      <c r="D552" s="9"/>
      <c r="E552" s="9"/>
      <c r="F552" s="9"/>
      <c r="G552" s="9"/>
      <c r="H552" s="9"/>
      <c r="I552" s="9"/>
      <c r="J552" s="9"/>
      <c r="K552" s="357"/>
      <c r="L552" s="9"/>
      <c r="M552" s="9"/>
      <c r="N552" s="9"/>
      <c r="O552" s="9"/>
      <c r="P552" s="9"/>
      <c r="Q552" s="9"/>
      <c r="R552" s="14"/>
      <c r="S552" s="14"/>
    </row>
    <row r="553" spans="1:19" ht="14.25">
      <c r="A553" s="14"/>
      <c r="B553" s="9"/>
      <c r="C553" s="9"/>
      <c r="D553" s="9"/>
      <c r="E553" s="9"/>
      <c r="F553" s="9"/>
      <c r="G553" s="9"/>
      <c r="H553" s="9"/>
      <c r="I553" s="9"/>
      <c r="J553" s="9"/>
      <c r="K553" s="357"/>
      <c r="L553" s="9"/>
      <c r="M553" s="9"/>
      <c r="N553" s="9"/>
      <c r="O553" s="9"/>
      <c r="P553" s="9"/>
      <c r="Q553" s="9"/>
      <c r="R553" s="14"/>
      <c r="S553" s="14"/>
    </row>
    <row r="554" spans="1:19" ht="14.25">
      <c r="A554" s="14"/>
      <c r="B554" s="9"/>
      <c r="C554" s="9"/>
      <c r="D554" s="9"/>
      <c r="E554" s="9"/>
      <c r="F554" s="9"/>
      <c r="G554" s="9"/>
      <c r="H554" s="9"/>
      <c r="I554" s="9"/>
      <c r="J554" s="9"/>
      <c r="K554" s="357"/>
      <c r="L554" s="9"/>
      <c r="M554" s="9"/>
      <c r="N554" s="9"/>
      <c r="O554" s="9"/>
      <c r="P554" s="9"/>
      <c r="Q554" s="9"/>
      <c r="R554" s="14"/>
      <c r="S554" s="14"/>
    </row>
    <row r="555" spans="1:19" ht="14.25">
      <c r="A555" s="14"/>
      <c r="B555" s="9"/>
      <c r="C555" s="9"/>
      <c r="D555" s="9"/>
      <c r="E555" s="9"/>
      <c r="F555" s="9"/>
      <c r="G555" s="9"/>
      <c r="H555" s="9"/>
      <c r="I555" s="9"/>
      <c r="J555" s="9"/>
      <c r="K555" s="357"/>
      <c r="L555" s="9"/>
      <c r="M555" s="9"/>
      <c r="N555" s="9"/>
      <c r="O555" s="9"/>
      <c r="P555" s="9"/>
      <c r="Q555" s="9"/>
      <c r="R555" s="14"/>
      <c r="S555" s="14"/>
    </row>
    <row r="556" spans="1:19" ht="14.25">
      <c r="A556" s="14"/>
      <c r="B556" s="9"/>
      <c r="C556" s="9"/>
      <c r="D556" s="9"/>
      <c r="E556" s="9"/>
      <c r="F556" s="9"/>
      <c r="G556" s="9"/>
      <c r="H556" s="9"/>
      <c r="I556" s="9"/>
      <c r="J556" s="9"/>
      <c r="K556" s="357"/>
      <c r="L556" s="9"/>
      <c r="M556" s="9"/>
      <c r="N556" s="9"/>
      <c r="O556" s="9"/>
      <c r="P556" s="9"/>
      <c r="Q556" s="9"/>
      <c r="R556" s="14"/>
      <c r="S556" s="14"/>
    </row>
    <row r="557" spans="1:19" ht="14.25">
      <c r="A557" s="14"/>
      <c r="B557" s="9"/>
      <c r="C557" s="9"/>
      <c r="D557" s="9"/>
      <c r="E557" s="9"/>
      <c r="F557" s="9"/>
      <c r="G557" s="9"/>
      <c r="H557" s="9"/>
      <c r="I557" s="9"/>
      <c r="J557" s="9"/>
      <c r="K557" s="357"/>
      <c r="L557" s="9"/>
      <c r="M557" s="9"/>
      <c r="N557" s="9"/>
      <c r="O557" s="9"/>
      <c r="P557" s="9"/>
      <c r="Q557" s="9"/>
      <c r="R557" s="14"/>
      <c r="S557" s="14"/>
    </row>
    <row r="558" spans="1:19" ht="14.25">
      <c r="A558" s="14"/>
      <c r="B558" s="9"/>
      <c r="C558" s="9"/>
      <c r="D558" s="9"/>
      <c r="E558" s="9"/>
      <c r="F558" s="9"/>
      <c r="G558" s="9"/>
      <c r="H558" s="9"/>
      <c r="I558" s="9"/>
      <c r="J558" s="9"/>
      <c r="K558" s="357"/>
      <c r="L558" s="9"/>
      <c r="M558" s="9"/>
      <c r="N558" s="9"/>
      <c r="O558" s="9"/>
      <c r="P558" s="9"/>
      <c r="Q558" s="9"/>
      <c r="R558" s="14"/>
      <c r="S558" s="14"/>
    </row>
    <row r="559" spans="1:19" ht="14.25">
      <c r="A559" s="14"/>
      <c r="B559" s="9"/>
      <c r="C559" s="9"/>
      <c r="D559" s="9"/>
      <c r="E559" s="9"/>
      <c r="F559" s="9"/>
      <c r="G559" s="9"/>
      <c r="H559" s="9"/>
      <c r="I559" s="9"/>
      <c r="J559" s="9"/>
      <c r="K559" s="357"/>
      <c r="L559" s="9"/>
      <c r="M559" s="9"/>
      <c r="N559" s="9"/>
      <c r="O559" s="9"/>
      <c r="P559" s="9"/>
      <c r="Q559" s="9"/>
      <c r="R559" s="14"/>
      <c r="S559" s="14"/>
    </row>
    <row r="560" spans="1:19" ht="14.25">
      <c r="A560" s="14"/>
      <c r="B560" s="9"/>
      <c r="C560" s="9"/>
      <c r="D560" s="9"/>
      <c r="E560" s="9"/>
      <c r="F560" s="9"/>
      <c r="G560" s="9"/>
      <c r="H560" s="9"/>
      <c r="I560" s="9"/>
      <c r="J560" s="9"/>
      <c r="K560" s="357"/>
      <c r="L560" s="9"/>
      <c r="M560" s="9"/>
      <c r="N560" s="9"/>
      <c r="O560" s="9"/>
      <c r="P560" s="9"/>
      <c r="Q560" s="9"/>
      <c r="R560" s="14"/>
      <c r="S560" s="14"/>
    </row>
    <row r="561" spans="1:19" ht="14.25">
      <c r="A561" s="14"/>
      <c r="B561" s="9"/>
      <c r="C561" s="9"/>
      <c r="D561" s="9"/>
      <c r="E561" s="9"/>
      <c r="F561" s="9"/>
      <c r="G561" s="9"/>
      <c r="H561" s="9"/>
      <c r="I561" s="9"/>
      <c r="J561" s="9"/>
      <c r="K561" s="357"/>
      <c r="L561" s="9"/>
      <c r="M561" s="9"/>
      <c r="N561" s="9"/>
      <c r="O561" s="9"/>
      <c r="P561" s="9"/>
      <c r="Q561" s="9"/>
      <c r="R561" s="14"/>
      <c r="S561" s="14"/>
    </row>
    <row r="562" spans="1:19" ht="14.25">
      <c r="A562" s="14"/>
      <c r="B562" s="9"/>
      <c r="C562" s="9"/>
      <c r="D562" s="9"/>
      <c r="E562" s="9"/>
      <c r="F562" s="9"/>
      <c r="G562" s="9"/>
      <c r="H562" s="9"/>
      <c r="I562" s="9"/>
      <c r="J562" s="9"/>
      <c r="K562" s="357"/>
      <c r="L562" s="9"/>
      <c r="M562" s="9"/>
      <c r="N562" s="9"/>
      <c r="O562" s="9"/>
      <c r="P562" s="9"/>
      <c r="Q562" s="9"/>
      <c r="R562" s="14"/>
      <c r="S562" s="14"/>
    </row>
    <row r="563" spans="1:19" ht="14.25">
      <c r="A563" s="14"/>
      <c r="B563" s="9"/>
      <c r="C563" s="9"/>
      <c r="D563" s="9"/>
      <c r="E563" s="9"/>
      <c r="F563" s="9"/>
      <c r="G563" s="9"/>
      <c r="H563" s="9"/>
      <c r="I563" s="9"/>
      <c r="J563" s="9"/>
      <c r="K563" s="357"/>
      <c r="L563" s="9"/>
      <c r="M563" s="9"/>
      <c r="N563" s="9"/>
      <c r="O563" s="9"/>
      <c r="P563" s="9"/>
      <c r="Q563" s="9"/>
      <c r="R563" s="14"/>
      <c r="S563" s="14"/>
    </row>
    <row r="564" spans="1:19" ht="14.25">
      <c r="A564" s="14"/>
      <c r="B564" s="9"/>
      <c r="C564" s="9"/>
      <c r="D564" s="9"/>
      <c r="E564" s="9"/>
      <c r="F564" s="9"/>
      <c r="G564" s="9"/>
      <c r="H564" s="9"/>
      <c r="I564" s="9"/>
      <c r="J564" s="9"/>
      <c r="K564" s="357"/>
      <c r="L564" s="9"/>
      <c r="M564" s="9"/>
      <c r="N564" s="9"/>
      <c r="O564" s="9"/>
      <c r="P564" s="9"/>
      <c r="Q564" s="9"/>
      <c r="R564" s="14"/>
      <c r="S564" s="14"/>
    </row>
    <row r="565" spans="1:19" ht="14.25">
      <c r="A565" s="14"/>
      <c r="B565" s="9"/>
      <c r="C565" s="9"/>
      <c r="D565" s="9"/>
      <c r="E565" s="9"/>
      <c r="F565" s="9"/>
      <c r="G565" s="9"/>
      <c r="H565" s="9"/>
      <c r="I565" s="9"/>
      <c r="J565" s="9"/>
      <c r="K565" s="357"/>
      <c r="L565" s="9"/>
      <c r="M565" s="9"/>
      <c r="N565" s="9"/>
      <c r="O565" s="9"/>
      <c r="P565" s="9"/>
      <c r="Q565" s="9"/>
      <c r="R565" s="14"/>
      <c r="S565" s="14"/>
    </row>
    <row r="566" spans="1:19" ht="14.25">
      <c r="A566" s="14"/>
      <c r="B566" s="9"/>
      <c r="C566" s="9"/>
      <c r="D566" s="9"/>
      <c r="E566" s="9"/>
      <c r="F566" s="9"/>
      <c r="G566" s="9"/>
      <c r="H566" s="9"/>
      <c r="I566" s="9"/>
      <c r="J566" s="9"/>
      <c r="K566" s="357"/>
      <c r="L566" s="9"/>
      <c r="M566" s="9"/>
      <c r="N566" s="9"/>
      <c r="O566" s="9"/>
      <c r="P566" s="9"/>
      <c r="Q566" s="9"/>
      <c r="R566" s="14"/>
      <c r="S566" s="14"/>
    </row>
    <row r="567" spans="1:19" ht="14.25">
      <c r="A567" s="14"/>
      <c r="B567" s="9"/>
      <c r="C567" s="9"/>
      <c r="D567" s="9"/>
      <c r="E567" s="9"/>
      <c r="F567" s="9"/>
      <c r="G567" s="9"/>
      <c r="H567" s="9"/>
      <c r="I567" s="9"/>
      <c r="J567" s="9"/>
      <c r="K567" s="357"/>
      <c r="L567" s="9"/>
      <c r="M567" s="9"/>
      <c r="N567" s="9"/>
      <c r="O567" s="9"/>
      <c r="P567" s="9"/>
      <c r="Q567" s="9"/>
      <c r="R567" s="14"/>
      <c r="S567" s="14"/>
    </row>
    <row r="568" spans="1:19" ht="14.25">
      <c r="A568" s="14"/>
      <c r="B568" s="9"/>
      <c r="C568" s="9"/>
      <c r="D568" s="9"/>
      <c r="E568" s="9"/>
      <c r="F568" s="9"/>
      <c r="G568" s="9"/>
      <c r="H568" s="9"/>
      <c r="I568" s="9"/>
      <c r="J568" s="9"/>
      <c r="K568" s="357"/>
      <c r="L568" s="9"/>
      <c r="M568" s="9"/>
      <c r="N568" s="9"/>
      <c r="O568" s="9"/>
      <c r="P568" s="9"/>
      <c r="Q568" s="9"/>
      <c r="R568" s="14"/>
      <c r="S568" s="14"/>
    </row>
    <row r="569" spans="1:19" ht="14.25">
      <c r="A569" s="14"/>
      <c r="B569" s="9"/>
      <c r="C569" s="9"/>
      <c r="D569" s="9"/>
      <c r="E569" s="9"/>
      <c r="F569" s="9"/>
      <c r="G569" s="9"/>
      <c r="H569" s="9"/>
      <c r="I569" s="9"/>
      <c r="J569" s="9"/>
      <c r="K569" s="357"/>
      <c r="L569" s="9"/>
      <c r="M569" s="9"/>
      <c r="N569" s="9"/>
      <c r="O569" s="9"/>
      <c r="P569" s="9"/>
      <c r="Q569" s="9"/>
      <c r="R569" s="14"/>
      <c r="S569" s="14"/>
    </row>
    <row r="570" spans="1:19" ht="14.25">
      <c r="A570" s="14"/>
      <c r="B570" s="9"/>
      <c r="C570" s="9"/>
      <c r="D570" s="9"/>
      <c r="E570" s="9"/>
      <c r="F570" s="9"/>
      <c r="G570" s="9"/>
      <c r="H570" s="9"/>
      <c r="I570" s="9"/>
      <c r="J570" s="9"/>
      <c r="K570" s="357"/>
      <c r="L570" s="9"/>
      <c r="M570" s="9"/>
      <c r="N570" s="9"/>
      <c r="O570" s="9"/>
      <c r="P570" s="9"/>
      <c r="Q570" s="9"/>
      <c r="R570" s="14"/>
      <c r="S570" s="14"/>
    </row>
    <row r="571" spans="1:19" ht="14.25">
      <c r="A571" s="14"/>
      <c r="B571" s="9"/>
      <c r="C571" s="9"/>
      <c r="D571" s="9"/>
      <c r="E571" s="9"/>
      <c r="F571" s="9"/>
      <c r="G571" s="9"/>
      <c r="H571" s="9"/>
      <c r="I571" s="9"/>
      <c r="J571" s="9"/>
      <c r="K571" s="357"/>
      <c r="L571" s="9"/>
      <c r="M571" s="9"/>
      <c r="N571" s="9"/>
      <c r="O571" s="9"/>
      <c r="P571" s="9"/>
      <c r="Q571" s="9"/>
      <c r="R571" s="14"/>
      <c r="S571" s="14"/>
    </row>
    <row r="572" spans="1:19" ht="14.25">
      <c r="A572" s="14"/>
      <c r="B572" s="9"/>
      <c r="C572" s="9"/>
      <c r="D572" s="9"/>
      <c r="E572" s="9"/>
      <c r="F572" s="9"/>
      <c r="G572" s="9"/>
      <c r="H572" s="9"/>
      <c r="I572" s="9"/>
      <c r="J572" s="9"/>
      <c r="K572" s="357"/>
      <c r="L572" s="9"/>
      <c r="M572" s="9"/>
      <c r="N572" s="9"/>
      <c r="O572" s="9"/>
      <c r="P572" s="9"/>
      <c r="Q572" s="9"/>
      <c r="R572" s="14"/>
      <c r="S572" s="14"/>
    </row>
    <row r="573" spans="1:19" ht="14.25">
      <c r="A573" s="14"/>
      <c r="B573" s="9"/>
      <c r="C573" s="9"/>
      <c r="D573" s="9"/>
      <c r="E573" s="9"/>
      <c r="F573" s="9"/>
      <c r="G573" s="9"/>
      <c r="H573" s="9"/>
      <c r="I573" s="9"/>
      <c r="J573" s="9"/>
      <c r="K573" s="357"/>
      <c r="L573" s="9"/>
      <c r="M573" s="9"/>
      <c r="N573" s="9"/>
      <c r="O573" s="9"/>
      <c r="P573" s="9"/>
      <c r="Q573" s="9"/>
      <c r="R573" s="14"/>
      <c r="S573" s="14"/>
    </row>
    <row r="574" spans="1:19" ht="14.25">
      <c r="A574" s="14"/>
      <c r="B574" s="9"/>
      <c r="C574" s="9"/>
      <c r="D574" s="9"/>
      <c r="E574" s="9"/>
      <c r="F574" s="9"/>
      <c r="G574" s="9"/>
      <c r="H574" s="9"/>
      <c r="I574" s="9"/>
      <c r="J574" s="9"/>
      <c r="K574" s="357"/>
      <c r="L574" s="9"/>
      <c r="M574" s="9"/>
      <c r="N574" s="9"/>
      <c r="O574" s="9"/>
      <c r="P574" s="9"/>
      <c r="Q574" s="9"/>
      <c r="R574" s="14"/>
      <c r="S574" s="14"/>
    </row>
    <row r="575" spans="1:19" ht="14.25">
      <c r="A575" s="14"/>
      <c r="B575" s="9"/>
      <c r="C575" s="9"/>
      <c r="D575" s="9"/>
      <c r="E575" s="9"/>
      <c r="F575" s="9"/>
      <c r="G575" s="9"/>
      <c r="H575" s="9"/>
      <c r="I575" s="9"/>
      <c r="J575" s="9"/>
      <c r="K575" s="357"/>
      <c r="L575" s="9"/>
      <c r="M575" s="9"/>
      <c r="N575" s="9"/>
      <c r="O575" s="9"/>
      <c r="P575" s="9"/>
      <c r="Q575" s="9"/>
      <c r="R575" s="14"/>
      <c r="S575" s="14"/>
    </row>
    <row r="576" spans="1:19" ht="14.25">
      <c r="A576" s="14"/>
      <c r="B576" s="9"/>
      <c r="C576" s="9"/>
      <c r="D576" s="9"/>
      <c r="E576" s="9"/>
      <c r="F576" s="9"/>
      <c r="G576" s="9"/>
      <c r="H576" s="9"/>
      <c r="I576" s="9"/>
      <c r="J576" s="9"/>
      <c r="K576" s="357"/>
      <c r="L576" s="9"/>
      <c r="M576" s="9"/>
      <c r="N576" s="9"/>
      <c r="O576" s="9"/>
      <c r="P576" s="9"/>
      <c r="Q576" s="9"/>
      <c r="R576" s="14"/>
      <c r="S576" s="14"/>
    </row>
    <row r="577" spans="1:19" ht="14.25">
      <c r="A577" s="14"/>
      <c r="B577" s="9"/>
      <c r="C577" s="9"/>
      <c r="D577" s="9"/>
      <c r="E577" s="9"/>
      <c r="F577" s="9"/>
      <c r="G577" s="9"/>
      <c r="H577" s="9"/>
      <c r="I577" s="9"/>
      <c r="J577" s="9"/>
      <c r="K577" s="357"/>
      <c r="L577" s="9"/>
      <c r="M577" s="9"/>
      <c r="N577" s="9"/>
      <c r="O577" s="9"/>
      <c r="P577" s="9"/>
      <c r="Q577" s="9"/>
      <c r="R577" s="14"/>
      <c r="S577" s="14"/>
    </row>
    <row r="578" spans="1:19" ht="14.25">
      <c r="A578" s="14"/>
      <c r="B578" s="9"/>
      <c r="C578" s="9"/>
      <c r="D578" s="9"/>
      <c r="E578" s="9"/>
      <c r="F578" s="9"/>
      <c r="G578" s="9"/>
      <c r="H578" s="9"/>
      <c r="I578" s="9"/>
      <c r="J578" s="9"/>
      <c r="K578" s="357"/>
      <c r="L578" s="9"/>
      <c r="M578" s="9"/>
      <c r="N578" s="9"/>
      <c r="O578" s="9"/>
      <c r="P578" s="9"/>
      <c r="Q578" s="9"/>
      <c r="R578" s="14"/>
      <c r="S578" s="14"/>
    </row>
    <row r="579" spans="1:19" ht="14.25">
      <c r="A579" s="14"/>
      <c r="B579" s="9"/>
      <c r="C579" s="9"/>
      <c r="D579" s="9"/>
      <c r="E579" s="9"/>
      <c r="F579" s="9"/>
      <c r="G579" s="9"/>
      <c r="H579" s="9"/>
      <c r="I579" s="9"/>
      <c r="J579" s="9"/>
      <c r="K579" s="357"/>
      <c r="L579" s="9"/>
      <c r="M579" s="9"/>
      <c r="N579" s="9"/>
      <c r="O579" s="9"/>
      <c r="P579" s="9"/>
      <c r="Q579" s="9"/>
      <c r="R579" s="14"/>
      <c r="S579" s="14"/>
    </row>
    <row r="580" spans="1:19" ht="14.25">
      <c r="A580" s="14"/>
      <c r="B580" s="9"/>
      <c r="C580" s="9"/>
      <c r="D580" s="9"/>
      <c r="E580" s="9"/>
      <c r="F580" s="9"/>
      <c r="G580" s="9"/>
      <c r="H580" s="9"/>
      <c r="I580" s="9"/>
      <c r="J580" s="9"/>
      <c r="K580" s="357"/>
      <c r="L580" s="9"/>
      <c r="M580" s="9"/>
      <c r="N580" s="9"/>
      <c r="O580" s="9"/>
      <c r="P580" s="9"/>
      <c r="Q580" s="9"/>
      <c r="R580" s="14"/>
      <c r="S580" s="14"/>
    </row>
    <row r="581" spans="1:19" ht="14.25">
      <c r="A581" s="14"/>
      <c r="B581" s="9"/>
      <c r="C581" s="9"/>
      <c r="D581" s="9"/>
      <c r="E581" s="9"/>
      <c r="F581" s="9"/>
      <c r="G581" s="9"/>
      <c r="H581" s="9"/>
      <c r="I581" s="9"/>
      <c r="J581" s="9"/>
      <c r="K581" s="357"/>
      <c r="L581" s="9"/>
      <c r="M581" s="9"/>
      <c r="N581" s="9"/>
      <c r="O581" s="9"/>
      <c r="P581" s="9"/>
      <c r="Q581" s="9"/>
      <c r="R581" s="14"/>
      <c r="S581" s="14"/>
    </row>
    <row r="582" spans="1:19" ht="14.25">
      <c r="A582" s="14"/>
      <c r="B582" s="9"/>
      <c r="C582" s="9"/>
      <c r="D582" s="9"/>
      <c r="E582" s="9"/>
      <c r="F582" s="9"/>
      <c r="G582" s="9"/>
      <c r="H582" s="9"/>
      <c r="I582" s="9"/>
      <c r="J582" s="9"/>
      <c r="K582" s="357"/>
      <c r="L582" s="9"/>
      <c r="M582" s="9"/>
      <c r="N582" s="9"/>
      <c r="O582" s="9"/>
      <c r="P582" s="9"/>
      <c r="Q582" s="9"/>
      <c r="R582" s="14"/>
      <c r="S582" s="14"/>
    </row>
    <row r="583" spans="1:19" ht="14.25">
      <c r="A583" s="14"/>
      <c r="B583" s="9"/>
      <c r="C583" s="9"/>
      <c r="D583" s="9"/>
      <c r="E583" s="9"/>
      <c r="F583" s="9"/>
      <c r="G583" s="9"/>
      <c r="H583" s="9"/>
      <c r="I583" s="9"/>
      <c r="J583" s="9"/>
      <c r="K583" s="357"/>
      <c r="L583" s="9"/>
      <c r="M583" s="9"/>
      <c r="N583" s="9"/>
      <c r="O583" s="9"/>
      <c r="P583" s="9"/>
      <c r="Q583" s="9"/>
      <c r="R583" s="14"/>
      <c r="S583" s="14"/>
    </row>
    <row r="584" spans="1:19" ht="14.25">
      <c r="A584" s="14"/>
      <c r="B584" s="9"/>
      <c r="C584" s="9"/>
      <c r="D584" s="9"/>
      <c r="E584" s="9"/>
      <c r="F584" s="9"/>
      <c r="G584" s="9"/>
      <c r="H584" s="9"/>
      <c r="I584" s="9"/>
      <c r="J584" s="9"/>
      <c r="K584" s="357"/>
      <c r="L584" s="9"/>
      <c r="M584" s="9"/>
      <c r="N584" s="9"/>
      <c r="O584" s="9"/>
      <c r="P584" s="9"/>
      <c r="Q584" s="9"/>
      <c r="R584" s="14"/>
      <c r="S584" s="14"/>
    </row>
    <row r="585" spans="1:19" ht="14.25">
      <c r="A585" s="14"/>
      <c r="B585" s="9"/>
      <c r="C585" s="9"/>
      <c r="D585" s="9"/>
      <c r="E585" s="9"/>
      <c r="F585" s="9"/>
      <c r="G585" s="9"/>
      <c r="H585" s="9"/>
      <c r="I585" s="9"/>
      <c r="J585" s="9"/>
      <c r="K585" s="357"/>
      <c r="L585" s="9"/>
      <c r="M585" s="9"/>
      <c r="N585" s="9"/>
      <c r="O585" s="9"/>
      <c r="P585" s="9"/>
      <c r="Q585" s="9"/>
      <c r="R585" s="14"/>
      <c r="S585" s="14"/>
    </row>
    <row r="586" spans="1:19" ht="14.25">
      <c r="A586" s="14"/>
      <c r="B586" s="9"/>
      <c r="C586" s="9"/>
      <c r="D586" s="9"/>
      <c r="E586" s="9"/>
      <c r="F586" s="9"/>
      <c r="G586" s="9"/>
      <c r="H586" s="9"/>
      <c r="I586" s="9"/>
      <c r="J586" s="9"/>
      <c r="K586" s="357"/>
      <c r="L586" s="9"/>
      <c r="M586" s="9"/>
      <c r="N586" s="9"/>
      <c r="O586" s="9"/>
      <c r="P586" s="9"/>
      <c r="Q586" s="9"/>
      <c r="R586" s="14"/>
      <c r="S586" s="14"/>
    </row>
    <row r="587" spans="1:19" ht="14.25">
      <c r="A587" s="14"/>
      <c r="B587" s="9"/>
      <c r="C587" s="9"/>
      <c r="D587" s="9"/>
      <c r="E587" s="9"/>
      <c r="F587" s="9"/>
      <c r="G587" s="9"/>
      <c r="H587" s="9"/>
      <c r="I587" s="9"/>
      <c r="J587" s="9"/>
      <c r="K587" s="357"/>
      <c r="L587" s="9"/>
      <c r="M587" s="9"/>
      <c r="N587" s="9"/>
      <c r="O587" s="9"/>
      <c r="P587" s="9"/>
      <c r="Q587" s="9"/>
      <c r="R587" s="14"/>
      <c r="S587" s="14"/>
    </row>
    <row r="588" spans="1:19" ht="14.25">
      <c r="A588" s="14"/>
      <c r="B588" s="9"/>
      <c r="C588" s="9"/>
      <c r="D588" s="9"/>
      <c r="E588" s="9"/>
      <c r="F588" s="9"/>
      <c r="G588" s="9"/>
      <c r="H588" s="9"/>
      <c r="I588" s="9"/>
      <c r="J588" s="9"/>
      <c r="K588" s="357"/>
      <c r="L588" s="9"/>
      <c r="M588" s="9"/>
      <c r="N588" s="9"/>
      <c r="O588" s="9"/>
      <c r="P588" s="9"/>
      <c r="Q588" s="9"/>
      <c r="R588" s="14"/>
      <c r="S588" s="14"/>
    </row>
    <row r="589" spans="1:19" ht="14.25">
      <c r="A589" s="14"/>
      <c r="B589" s="9"/>
      <c r="C589" s="9"/>
      <c r="D589" s="9"/>
      <c r="E589" s="9"/>
      <c r="F589" s="9"/>
      <c r="G589" s="9"/>
      <c r="H589" s="9"/>
      <c r="I589" s="9"/>
      <c r="J589" s="9"/>
      <c r="K589" s="357"/>
      <c r="L589" s="9"/>
      <c r="M589" s="9"/>
      <c r="N589" s="9"/>
      <c r="O589" s="9"/>
      <c r="P589" s="9"/>
      <c r="Q589" s="9"/>
      <c r="R589" s="14"/>
      <c r="S589" s="14"/>
    </row>
    <row r="590" spans="1:19" ht="14.25">
      <c r="A590" s="14"/>
      <c r="B590" s="9"/>
      <c r="C590" s="9"/>
      <c r="D590" s="9"/>
      <c r="E590" s="9"/>
      <c r="F590" s="9"/>
      <c r="G590" s="9"/>
      <c r="H590" s="9"/>
      <c r="I590" s="9"/>
      <c r="J590" s="9"/>
      <c r="K590" s="357"/>
      <c r="L590" s="9"/>
      <c r="M590" s="9"/>
      <c r="N590" s="9"/>
      <c r="O590" s="9"/>
      <c r="P590" s="9"/>
      <c r="Q590" s="9"/>
      <c r="R590" s="14"/>
      <c r="S590" s="14"/>
    </row>
    <row r="591" spans="1:19" ht="14.25">
      <c r="A591" s="14"/>
      <c r="B591" s="9"/>
      <c r="C591" s="9"/>
      <c r="D591" s="9"/>
      <c r="E591" s="9"/>
      <c r="F591" s="9"/>
      <c r="G591" s="9"/>
      <c r="H591" s="9"/>
      <c r="I591" s="9"/>
      <c r="J591" s="9"/>
      <c r="K591" s="357"/>
      <c r="L591" s="9"/>
      <c r="M591" s="9"/>
      <c r="N591" s="9"/>
      <c r="O591" s="9"/>
      <c r="P591" s="9"/>
      <c r="Q591" s="9"/>
      <c r="R591" s="14"/>
      <c r="S591" s="14"/>
    </row>
    <row r="592" spans="1:19" ht="14.25">
      <c r="A592" s="14"/>
      <c r="B592" s="9"/>
      <c r="C592" s="9"/>
      <c r="D592" s="9"/>
      <c r="E592" s="9"/>
      <c r="F592" s="9"/>
      <c r="G592" s="9"/>
      <c r="H592" s="9"/>
      <c r="I592" s="9"/>
      <c r="J592" s="9"/>
      <c r="K592" s="357"/>
      <c r="L592" s="9"/>
      <c r="M592" s="9"/>
      <c r="N592" s="9"/>
      <c r="O592" s="9"/>
      <c r="P592" s="9"/>
      <c r="Q592" s="9"/>
      <c r="R592" s="14"/>
      <c r="S592" s="14"/>
    </row>
    <row r="593" spans="1:19" ht="14.25">
      <c r="A593" s="14"/>
      <c r="B593" s="9"/>
      <c r="C593" s="9"/>
      <c r="D593" s="9"/>
      <c r="E593" s="9"/>
      <c r="F593" s="9"/>
      <c r="G593" s="9"/>
      <c r="H593" s="9"/>
      <c r="I593" s="9"/>
      <c r="J593" s="9"/>
      <c r="K593" s="357"/>
      <c r="L593" s="9"/>
      <c r="M593" s="9"/>
      <c r="N593" s="9"/>
      <c r="O593" s="9"/>
      <c r="P593" s="9"/>
      <c r="Q593" s="9"/>
      <c r="R593" s="14"/>
      <c r="S593" s="14"/>
    </row>
    <row r="594" spans="1:19" ht="14.25">
      <c r="A594" s="14"/>
      <c r="B594" s="9"/>
      <c r="C594" s="9"/>
      <c r="D594" s="9"/>
      <c r="E594" s="9"/>
      <c r="F594" s="9"/>
      <c r="G594" s="9"/>
      <c r="H594" s="9"/>
      <c r="I594" s="9"/>
      <c r="J594" s="9"/>
      <c r="K594" s="357"/>
      <c r="L594" s="9"/>
      <c r="M594" s="9"/>
      <c r="N594" s="9"/>
      <c r="O594" s="9"/>
      <c r="P594" s="9"/>
      <c r="Q594" s="9"/>
      <c r="R594" s="14"/>
      <c r="S594" s="14"/>
    </row>
    <row r="595" spans="1:19" ht="14.25">
      <c r="A595" s="14"/>
      <c r="B595" s="9"/>
      <c r="C595" s="9"/>
      <c r="D595" s="9"/>
      <c r="E595" s="9"/>
      <c r="F595" s="9"/>
      <c r="G595" s="9"/>
      <c r="H595" s="9"/>
      <c r="I595" s="9"/>
      <c r="J595" s="9"/>
      <c r="K595" s="357"/>
      <c r="L595" s="9"/>
      <c r="M595" s="9"/>
      <c r="N595" s="9"/>
      <c r="O595" s="9"/>
      <c r="P595" s="9"/>
      <c r="Q595" s="9"/>
      <c r="R595" s="14"/>
      <c r="S595" s="14"/>
    </row>
    <row r="596" spans="1:19" ht="14.25">
      <c r="A596" s="14"/>
      <c r="B596" s="9"/>
      <c r="C596" s="9"/>
      <c r="D596" s="9"/>
      <c r="E596" s="9"/>
      <c r="F596" s="9"/>
      <c r="G596" s="9"/>
      <c r="H596" s="9"/>
      <c r="I596" s="9"/>
      <c r="J596" s="9"/>
      <c r="K596" s="357"/>
      <c r="L596" s="9"/>
      <c r="M596" s="9"/>
      <c r="N596" s="9"/>
      <c r="O596" s="9"/>
      <c r="P596" s="9"/>
      <c r="Q596" s="9"/>
      <c r="R596" s="14"/>
      <c r="S596" s="14"/>
    </row>
    <row r="597" spans="1:19" ht="14.25">
      <c r="A597" s="14"/>
      <c r="B597" s="9"/>
      <c r="C597" s="9"/>
      <c r="D597" s="9"/>
      <c r="E597" s="9"/>
      <c r="F597" s="9"/>
      <c r="G597" s="9"/>
      <c r="H597" s="9"/>
      <c r="I597" s="9"/>
      <c r="J597" s="9"/>
      <c r="K597" s="357"/>
      <c r="L597" s="9"/>
      <c r="M597" s="9"/>
      <c r="N597" s="9"/>
      <c r="O597" s="9"/>
      <c r="P597" s="9"/>
      <c r="Q597" s="9"/>
      <c r="R597" s="14"/>
      <c r="S597" s="14"/>
    </row>
    <row r="598" spans="1:19" ht="14.25">
      <c r="A598" s="14"/>
      <c r="B598" s="9"/>
      <c r="C598" s="9"/>
      <c r="D598" s="9"/>
      <c r="E598" s="9"/>
      <c r="F598" s="9"/>
      <c r="G598" s="9"/>
      <c r="H598" s="9"/>
      <c r="I598" s="9"/>
      <c r="J598" s="9"/>
      <c r="K598" s="357"/>
      <c r="L598" s="9"/>
      <c r="M598" s="9"/>
      <c r="N598" s="9"/>
      <c r="O598" s="9"/>
      <c r="P598" s="9"/>
      <c r="Q598" s="9"/>
      <c r="R598" s="14"/>
      <c r="S598" s="14"/>
    </row>
    <row r="599" spans="1:19" ht="14.25">
      <c r="A599" s="14"/>
      <c r="B599" s="9"/>
      <c r="C599" s="9"/>
      <c r="D599" s="9"/>
      <c r="E599" s="9"/>
      <c r="F599" s="9"/>
      <c r="G599" s="9"/>
      <c r="H599" s="9"/>
      <c r="I599" s="9"/>
      <c r="J599" s="9"/>
      <c r="K599" s="357"/>
      <c r="L599" s="9"/>
      <c r="M599" s="9"/>
      <c r="N599" s="9"/>
      <c r="O599" s="9"/>
      <c r="P599" s="9"/>
      <c r="Q599" s="9"/>
      <c r="R599" s="14"/>
      <c r="S599" s="14"/>
    </row>
    <row r="600" spans="1:19" ht="14.25">
      <c r="A600" s="14"/>
      <c r="B600" s="9"/>
      <c r="C600" s="9"/>
      <c r="D600" s="9"/>
      <c r="E600" s="9"/>
      <c r="F600" s="9"/>
      <c r="G600" s="9"/>
      <c r="H600" s="9"/>
      <c r="I600" s="9"/>
      <c r="J600" s="9"/>
      <c r="K600" s="357"/>
      <c r="L600" s="9"/>
      <c r="M600" s="9"/>
      <c r="N600" s="9"/>
      <c r="O600" s="9"/>
      <c r="P600" s="9"/>
      <c r="Q600" s="9"/>
      <c r="R600" s="14"/>
      <c r="S600" s="14"/>
    </row>
    <row r="601" spans="1:19" ht="14.25">
      <c r="A601" s="14"/>
      <c r="B601" s="9"/>
      <c r="C601" s="9"/>
      <c r="D601" s="9"/>
      <c r="E601" s="9"/>
      <c r="F601" s="9"/>
      <c r="G601" s="9"/>
      <c r="H601" s="9"/>
      <c r="I601" s="9"/>
      <c r="J601" s="9"/>
      <c r="K601" s="357"/>
      <c r="L601" s="9"/>
      <c r="M601" s="9"/>
      <c r="N601" s="9"/>
      <c r="O601" s="9"/>
      <c r="P601" s="9"/>
      <c r="Q601" s="9"/>
      <c r="R601" s="14"/>
      <c r="S601" s="14"/>
    </row>
    <row r="602" spans="1:19" ht="14.25">
      <c r="A602" s="14"/>
      <c r="B602" s="9"/>
      <c r="C602" s="9"/>
      <c r="D602" s="9"/>
      <c r="E602" s="9"/>
      <c r="F602" s="9"/>
      <c r="G602" s="9"/>
      <c r="H602" s="9"/>
      <c r="I602" s="9"/>
      <c r="J602" s="9"/>
      <c r="K602" s="357"/>
      <c r="L602" s="9"/>
      <c r="M602" s="9"/>
      <c r="N602" s="9"/>
      <c r="O602" s="9"/>
      <c r="P602" s="9"/>
      <c r="Q602" s="9"/>
      <c r="R602" s="14"/>
      <c r="S602" s="14"/>
    </row>
    <row r="603" spans="1:19" ht="14.25">
      <c r="A603" s="14"/>
      <c r="B603" s="9"/>
      <c r="C603" s="9"/>
      <c r="D603" s="9"/>
      <c r="E603" s="9"/>
      <c r="F603" s="9"/>
      <c r="G603" s="9"/>
      <c r="H603" s="9"/>
      <c r="I603" s="9"/>
      <c r="J603" s="9"/>
      <c r="K603" s="357"/>
      <c r="L603" s="9"/>
      <c r="M603" s="9"/>
      <c r="N603" s="9"/>
      <c r="O603" s="9"/>
      <c r="P603" s="9"/>
      <c r="Q603" s="9"/>
      <c r="R603" s="14"/>
      <c r="S603" s="14"/>
    </row>
    <row r="604" spans="1:19" ht="14.25">
      <c r="A604" s="14"/>
      <c r="B604" s="9"/>
      <c r="C604" s="9"/>
      <c r="D604" s="9"/>
      <c r="E604" s="9"/>
      <c r="F604" s="9"/>
      <c r="G604" s="9"/>
      <c r="H604" s="9"/>
      <c r="I604" s="9"/>
      <c r="J604" s="9"/>
      <c r="K604" s="357"/>
      <c r="L604" s="9"/>
      <c r="M604" s="9"/>
      <c r="N604" s="9"/>
      <c r="O604" s="9"/>
      <c r="P604" s="9"/>
      <c r="Q604" s="9"/>
      <c r="R604" s="14"/>
      <c r="S604" s="14"/>
    </row>
    <row r="605" spans="1:19" ht="14.25">
      <c r="A605" s="14"/>
      <c r="B605" s="9"/>
      <c r="C605" s="9"/>
      <c r="D605" s="9"/>
      <c r="E605" s="9"/>
      <c r="F605" s="9"/>
      <c r="G605" s="9"/>
      <c r="H605" s="9"/>
      <c r="I605" s="9"/>
      <c r="J605" s="9"/>
      <c r="K605" s="357"/>
      <c r="L605" s="9"/>
      <c r="M605" s="9"/>
      <c r="N605" s="9"/>
      <c r="O605" s="9"/>
      <c r="P605" s="9"/>
      <c r="Q605" s="9"/>
      <c r="R605" s="14"/>
      <c r="S605" s="14"/>
    </row>
    <row r="606" spans="1:19" ht="14.25">
      <c r="A606" s="14"/>
      <c r="B606" s="9"/>
      <c r="C606" s="9"/>
      <c r="D606" s="9"/>
      <c r="E606" s="9"/>
      <c r="F606" s="9"/>
      <c r="G606" s="9"/>
      <c r="H606" s="9"/>
      <c r="I606" s="9"/>
      <c r="J606" s="9"/>
      <c r="K606" s="357"/>
      <c r="L606" s="9"/>
      <c r="M606" s="9"/>
      <c r="N606" s="9"/>
      <c r="O606" s="9"/>
      <c r="P606" s="9"/>
      <c r="Q606" s="9"/>
      <c r="R606" s="14"/>
      <c r="S606" s="14"/>
    </row>
    <row r="607" spans="1:19" ht="14.25">
      <c r="A607" s="14"/>
      <c r="B607" s="9"/>
      <c r="C607" s="9"/>
      <c r="D607" s="9"/>
      <c r="E607" s="9"/>
      <c r="F607" s="9"/>
      <c r="G607" s="9"/>
      <c r="H607" s="9"/>
      <c r="I607" s="9"/>
      <c r="J607" s="9"/>
      <c r="K607" s="357"/>
      <c r="L607" s="9"/>
      <c r="M607" s="9"/>
      <c r="N607" s="9"/>
      <c r="O607" s="9"/>
      <c r="P607" s="9"/>
      <c r="Q607" s="9"/>
      <c r="R607" s="14"/>
      <c r="S607" s="14"/>
    </row>
    <row r="608" spans="1:19" ht="14.25">
      <c r="A608" s="14"/>
      <c r="B608" s="9"/>
      <c r="C608" s="9"/>
      <c r="D608" s="9"/>
      <c r="E608" s="9"/>
      <c r="F608" s="9"/>
      <c r="G608" s="9"/>
      <c r="H608" s="9"/>
      <c r="I608" s="9"/>
      <c r="J608" s="9"/>
      <c r="K608" s="357"/>
      <c r="L608" s="9"/>
      <c r="M608" s="9"/>
      <c r="N608" s="9"/>
      <c r="O608" s="9"/>
      <c r="P608" s="9"/>
      <c r="Q608" s="9"/>
      <c r="R608" s="14"/>
      <c r="S608" s="14"/>
    </row>
    <row r="609" spans="1:19" ht="14.25">
      <c r="A609" s="14"/>
      <c r="B609" s="9"/>
      <c r="C609" s="9"/>
      <c r="D609" s="9"/>
      <c r="E609" s="9"/>
      <c r="F609" s="9"/>
      <c r="G609" s="9"/>
      <c r="H609" s="9"/>
      <c r="I609" s="9"/>
      <c r="J609" s="9"/>
      <c r="K609" s="357"/>
      <c r="L609" s="9"/>
      <c r="M609" s="9"/>
      <c r="N609" s="9"/>
      <c r="O609" s="9"/>
      <c r="P609" s="9"/>
      <c r="Q609" s="9"/>
      <c r="R609" s="14"/>
      <c r="S609" s="14"/>
    </row>
    <row r="610" spans="1:19" ht="14.25">
      <c r="A610" s="14"/>
      <c r="B610" s="9"/>
      <c r="C610" s="9"/>
      <c r="D610" s="9"/>
      <c r="E610" s="9"/>
      <c r="F610" s="9"/>
      <c r="G610" s="9"/>
      <c r="H610" s="9"/>
      <c r="I610" s="9"/>
      <c r="J610" s="9"/>
      <c r="K610" s="357"/>
      <c r="L610" s="9"/>
      <c r="M610" s="9"/>
      <c r="N610" s="9"/>
      <c r="O610" s="9"/>
      <c r="P610" s="9"/>
      <c r="Q610" s="9"/>
      <c r="R610" s="14"/>
      <c r="S610" s="14"/>
    </row>
    <row r="611" spans="1:19" ht="14.25">
      <c r="A611" s="14"/>
      <c r="B611" s="9"/>
      <c r="C611" s="9"/>
      <c r="D611" s="9"/>
      <c r="E611" s="9"/>
      <c r="F611" s="9"/>
      <c r="G611" s="9"/>
      <c r="H611" s="9"/>
      <c r="I611" s="9"/>
      <c r="J611" s="9"/>
      <c r="K611" s="357"/>
      <c r="L611" s="9"/>
      <c r="M611" s="9"/>
      <c r="N611" s="9"/>
      <c r="O611" s="9"/>
      <c r="P611" s="9"/>
      <c r="Q611" s="9"/>
      <c r="R611" s="14"/>
      <c r="S611" s="14"/>
    </row>
    <row r="612" spans="1:19" ht="14.25">
      <c r="A612" s="14"/>
      <c r="B612" s="9"/>
      <c r="C612" s="9"/>
      <c r="D612" s="9"/>
      <c r="E612" s="9"/>
      <c r="F612" s="9"/>
      <c r="G612" s="9"/>
      <c r="H612" s="9"/>
      <c r="I612" s="9"/>
      <c r="J612" s="9"/>
      <c r="K612" s="357"/>
      <c r="L612" s="9"/>
      <c r="M612" s="9"/>
      <c r="N612" s="9"/>
      <c r="O612" s="9"/>
      <c r="P612" s="9"/>
      <c r="Q612" s="9"/>
      <c r="R612" s="14"/>
      <c r="S612" s="14"/>
    </row>
    <row r="613" spans="1:19" ht="14.25">
      <c r="A613" s="14"/>
      <c r="B613" s="9"/>
      <c r="C613" s="9"/>
      <c r="D613" s="9"/>
      <c r="E613" s="9"/>
      <c r="F613" s="9"/>
      <c r="G613" s="9"/>
      <c r="H613" s="9"/>
      <c r="I613" s="9"/>
      <c r="J613" s="9"/>
      <c r="K613" s="357"/>
      <c r="L613" s="9"/>
      <c r="M613" s="9"/>
      <c r="N613" s="9"/>
      <c r="O613" s="9"/>
      <c r="P613" s="9"/>
      <c r="Q613" s="9"/>
      <c r="R613" s="14"/>
      <c r="S613" s="14"/>
    </row>
    <row r="614" spans="1:19" ht="14.25">
      <c r="A614" s="14"/>
      <c r="B614" s="9"/>
      <c r="C614" s="9"/>
      <c r="D614" s="9"/>
      <c r="E614" s="9"/>
      <c r="F614" s="9"/>
      <c r="G614" s="9"/>
      <c r="H614" s="9"/>
      <c r="I614" s="9"/>
      <c r="J614" s="9"/>
      <c r="K614" s="357"/>
      <c r="L614" s="9"/>
      <c r="M614" s="9"/>
      <c r="N614" s="9"/>
      <c r="O614" s="9"/>
      <c r="P614" s="9"/>
      <c r="Q614" s="9"/>
      <c r="R614" s="14"/>
      <c r="S614" s="14"/>
    </row>
    <row r="615" spans="1:19" ht="14.25">
      <c r="A615" s="14"/>
      <c r="B615" s="9"/>
      <c r="C615" s="9"/>
      <c r="D615" s="9"/>
      <c r="E615" s="9"/>
      <c r="F615" s="9"/>
      <c r="G615" s="9"/>
      <c r="H615" s="9"/>
      <c r="I615" s="9"/>
      <c r="J615" s="9"/>
      <c r="K615" s="357"/>
      <c r="L615" s="9"/>
      <c r="M615" s="9"/>
      <c r="N615" s="9"/>
      <c r="O615" s="9"/>
      <c r="P615" s="9"/>
      <c r="Q615" s="9"/>
      <c r="R615" s="14"/>
      <c r="S615" s="14"/>
    </row>
    <row r="616" spans="1:19" ht="14.25">
      <c r="A616" s="14"/>
      <c r="B616" s="9"/>
      <c r="C616" s="9"/>
      <c r="D616" s="9"/>
      <c r="E616" s="9"/>
      <c r="F616" s="9"/>
      <c r="G616" s="9"/>
      <c r="H616" s="9"/>
      <c r="I616" s="9"/>
      <c r="J616" s="9"/>
      <c r="K616" s="357"/>
      <c r="L616" s="9"/>
      <c r="M616" s="9"/>
      <c r="N616" s="9"/>
      <c r="O616" s="9"/>
      <c r="P616" s="9"/>
      <c r="Q616" s="9"/>
      <c r="R616" s="14"/>
      <c r="S616" s="14"/>
    </row>
    <row r="617" spans="1:19" ht="14.25">
      <c r="A617" s="14"/>
      <c r="B617" s="9"/>
      <c r="C617" s="9"/>
      <c r="D617" s="9"/>
      <c r="E617" s="9"/>
      <c r="F617" s="9"/>
      <c r="G617" s="9"/>
      <c r="H617" s="9"/>
      <c r="I617" s="9"/>
      <c r="J617" s="9"/>
      <c r="K617" s="357"/>
      <c r="L617" s="9"/>
      <c r="M617" s="9"/>
      <c r="N617" s="9"/>
      <c r="O617" s="9"/>
      <c r="P617" s="9"/>
      <c r="Q617" s="9"/>
      <c r="R617" s="14"/>
      <c r="S617" s="14"/>
    </row>
    <row r="618" spans="1:19" ht="14.25">
      <c r="A618" s="14"/>
      <c r="B618" s="9"/>
      <c r="C618" s="9"/>
      <c r="D618" s="9"/>
      <c r="E618" s="9"/>
      <c r="F618" s="9"/>
      <c r="G618" s="9"/>
      <c r="H618" s="9"/>
      <c r="I618" s="9"/>
      <c r="J618" s="9"/>
      <c r="K618" s="357"/>
      <c r="L618" s="9"/>
      <c r="M618" s="9"/>
      <c r="N618" s="9"/>
      <c r="O618" s="9"/>
      <c r="P618" s="9"/>
      <c r="Q618" s="9"/>
      <c r="R618" s="14"/>
      <c r="S618" s="14"/>
    </row>
    <row r="619" spans="1:19" ht="14.25">
      <c r="A619" s="14"/>
      <c r="B619" s="9"/>
      <c r="C619" s="9"/>
      <c r="D619" s="9"/>
      <c r="E619" s="9"/>
      <c r="F619" s="9"/>
      <c r="G619" s="9"/>
      <c r="H619" s="9"/>
      <c r="I619" s="9"/>
      <c r="J619" s="9"/>
      <c r="K619" s="357"/>
      <c r="L619" s="9"/>
      <c r="M619" s="9"/>
      <c r="N619" s="9"/>
      <c r="O619" s="9"/>
      <c r="P619" s="9"/>
      <c r="Q619" s="9"/>
      <c r="R619" s="14"/>
      <c r="S619" s="14"/>
    </row>
    <row r="620" spans="1:19" ht="14.25">
      <c r="A620" s="14"/>
      <c r="B620" s="9"/>
      <c r="C620" s="9"/>
      <c r="D620" s="9"/>
      <c r="E620" s="9"/>
      <c r="F620" s="9"/>
      <c r="G620" s="9"/>
      <c r="H620" s="9"/>
      <c r="I620" s="9"/>
      <c r="J620" s="9"/>
      <c r="K620" s="357"/>
      <c r="L620" s="9"/>
      <c r="M620" s="9"/>
      <c r="N620" s="9"/>
      <c r="O620" s="9"/>
      <c r="P620" s="9"/>
      <c r="Q620" s="9"/>
      <c r="R620" s="14"/>
      <c r="S620" s="14"/>
    </row>
    <row r="621" spans="1:19" ht="14.25">
      <c r="A621" s="14"/>
      <c r="B621" s="9"/>
      <c r="C621" s="9"/>
      <c r="D621" s="9"/>
      <c r="E621" s="9"/>
      <c r="F621" s="9"/>
      <c r="G621" s="9"/>
      <c r="H621" s="9"/>
      <c r="I621" s="9"/>
      <c r="J621" s="9"/>
      <c r="K621" s="357"/>
      <c r="L621" s="9"/>
      <c r="M621" s="9"/>
      <c r="N621" s="9"/>
      <c r="O621" s="9"/>
      <c r="P621" s="9"/>
      <c r="Q621" s="9"/>
      <c r="R621" s="14"/>
      <c r="S621" s="14"/>
    </row>
    <row r="622" spans="1:19" ht="14.25">
      <c r="A622" s="14"/>
      <c r="B622" s="9"/>
      <c r="C622" s="9"/>
      <c r="D622" s="9"/>
      <c r="E622" s="9"/>
      <c r="F622" s="9"/>
      <c r="G622" s="9"/>
      <c r="H622" s="9"/>
      <c r="I622" s="9"/>
      <c r="J622" s="9"/>
      <c r="K622" s="357"/>
      <c r="L622" s="9"/>
      <c r="M622" s="9"/>
      <c r="N622" s="9"/>
      <c r="O622" s="9"/>
      <c r="P622" s="9"/>
      <c r="Q622" s="9"/>
      <c r="R622" s="14"/>
      <c r="S622" s="14"/>
    </row>
    <row r="623" spans="1:19" ht="14.25">
      <c r="A623" s="14"/>
      <c r="B623" s="9"/>
      <c r="C623" s="9"/>
      <c r="D623" s="9"/>
      <c r="E623" s="9"/>
      <c r="F623" s="9"/>
      <c r="G623" s="9"/>
      <c r="H623" s="9"/>
      <c r="I623" s="9"/>
      <c r="J623" s="9"/>
      <c r="K623" s="357"/>
      <c r="L623" s="9"/>
      <c r="M623" s="9"/>
      <c r="N623" s="9"/>
      <c r="O623" s="9"/>
      <c r="P623" s="9"/>
      <c r="Q623" s="9"/>
      <c r="R623" s="14"/>
      <c r="S623" s="14"/>
    </row>
    <row r="624" spans="1:19" ht="14.25">
      <c r="A624" s="14"/>
      <c r="B624" s="9"/>
      <c r="C624" s="9"/>
      <c r="D624" s="9"/>
      <c r="E624" s="9"/>
      <c r="F624" s="9"/>
      <c r="G624" s="9"/>
      <c r="H624" s="9"/>
      <c r="I624" s="9"/>
      <c r="J624" s="9"/>
      <c r="K624" s="357"/>
      <c r="L624" s="9"/>
      <c r="M624" s="9"/>
      <c r="N624" s="9"/>
      <c r="O624" s="9"/>
      <c r="P624" s="9"/>
      <c r="Q624" s="9"/>
      <c r="R624" s="14"/>
      <c r="S624" s="14"/>
    </row>
    <row r="625" spans="1:19" ht="14.25">
      <c r="A625" s="14"/>
      <c r="B625" s="9"/>
      <c r="C625" s="9"/>
      <c r="D625" s="9"/>
      <c r="E625" s="9"/>
      <c r="F625" s="9"/>
      <c r="G625" s="9"/>
      <c r="H625" s="9"/>
      <c r="I625" s="9"/>
      <c r="J625" s="9"/>
      <c r="K625" s="357"/>
      <c r="L625" s="9"/>
      <c r="M625" s="9"/>
      <c r="N625" s="9"/>
      <c r="O625" s="9"/>
      <c r="P625" s="9"/>
      <c r="Q625" s="9"/>
      <c r="R625" s="14"/>
      <c r="S625" s="14"/>
    </row>
    <row r="626" spans="1:19" ht="14.25">
      <c r="A626" s="14"/>
      <c r="B626" s="9"/>
      <c r="C626" s="9"/>
      <c r="D626" s="9"/>
      <c r="E626" s="9"/>
      <c r="F626" s="9"/>
      <c r="G626" s="9"/>
      <c r="H626" s="9"/>
      <c r="I626" s="9"/>
      <c r="J626" s="9"/>
      <c r="K626" s="357"/>
      <c r="L626" s="9"/>
      <c r="M626" s="9"/>
      <c r="N626" s="9"/>
      <c r="O626" s="9"/>
      <c r="P626" s="9"/>
      <c r="Q626" s="9"/>
      <c r="R626" s="14"/>
      <c r="S626" s="14"/>
    </row>
    <row r="627" spans="1:19" ht="14.25">
      <c r="A627" s="14"/>
      <c r="B627" s="9"/>
      <c r="C627" s="9"/>
      <c r="D627" s="9"/>
      <c r="E627" s="9"/>
      <c r="F627" s="9"/>
      <c r="G627" s="9"/>
      <c r="H627" s="9"/>
      <c r="I627" s="9"/>
      <c r="J627" s="9"/>
      <c r="K627" s="357"/>
      <c r="L627" s="9"/>
      <c r="M627" s="9"/>
      <c r="N627" s="9"/>
      <c r="O627" s="9"/>
      <c r="P627" s="9"/>
      <c r="Q627" s="9"/>
      <c r="R627" s="14"/>
      <c r="S627" s="14"/>
    </row>
    <row r="628" spans="1:19" ht="14.25">
      <c r="A628" s="14"/>
      <c r="B628" s="9"/>
      <c r="C628" s="9"/>
      <c r="D628" s="9"/>
      <c r="E628" s="9"/>
      <c r="F628" s="9"/>
      <c r="G628" s="9"/>
      <c r="H628" s="9"/>
      <c r="I628" s="9"/>
      <c r="J628" s="9"/>
      <c r="K628" s="357"/>
      <c r="L628" s="9"/>
      <c r="M628" s="9"/>
      <c r="N628" s="9"/>
      <c r="O628" s="9"/>
      <c r="P628" s="9"/>
      <c r="Q628" s="9"/>
      <c r="R628" s="14"/>
      <c r="S628" s="14"/>
    </row>
    <row r="629" spans="1:19" ht="14.25">
      <c r="A629" s="14"/>
      <c r="B629" s="9"/>
      <c r="C629" s="9"/>
      <c r="D629" s="9"/>
      <c r="E629" s="9"/>
      <c r="F629" s="9"/>
      <c r="G629" s="9"/>
      <c r="H629" s="9"/>
      <c r="I629" s="9"/>
      <c r="J629" s="9"/>
      <c r="K629" s="357"/>
      <c r="L629" s="9"/>
      <c r="M629" s="9"/>
      <c r="N629" s="9"/>
      <c r="O629" s="9"/>
      <c r="P629" s="9"/>
      <c r="Q629" s="9"/>
      <c r="R629" s="14"/>
      <c r="S629" s="14"/>
    </row>
    <row r="630" spans="1:19" ht="14.25">
      <c r="A630" s="14"/>
      <c r="B630" s="9"/>
      <c r="C630" s="9"/>
      <c r="D630" s="9"/>
      <c r="E630" s="9"/>
      <c r="F630" s="9"/>
      <c r="G630" s="9"/>
      <c r="H630" s="9"/>
      <c r="I630" s="9"/>
      <c r="J630" s="9"/>
      <c r="K630" s="357"/>
      <c r="L630" s="9"/>
      <c r="M630" s="9"/>
      <c r="N630" s="9"/>
      <c r="O630" s="9"/>
      <c r="P630" s="9"/>
      <c r="Q630" s="9"/>
      <c r="R630" s="14"/>
      <c r="S630" s="14"/>
    </row>
    <row r="631" spans="1:19" ht="14.25">
      <c r="A631" s="14"/>
      <c r="B631" s="9"/>
      <c r="C631" s="9"/>
      <c r="D631" s="9"/>
      <c r="E631" s="9"/>
      <c r="F631" s="9"/>
      <c r="G631" s="9"/>
      <c r="H631" s="9"/>
      <c r="I631" s="9"/>
      <c r="J631" s="9"/>
      <c r="K631" s="357"/>
      <c r="L631" s="9"/>
      <c r="M631" s="9"/>
      <c r="N631" s="9"/>
      <c r="O631" s="9"/>
      <c r="P631" s="9"/>
      <c r="Q631" s="9"/>
      <c r="R631" s="14"/>
      <c r="S631" s="14"/>
    </row>
    <row r="632" spans="1:19" ht="14.25">
      <c r="A632" s="14"/>
      <c r="B632" s="9"/>
      <c r="C632" s="9"/>
      <c r="D632" s="9"/>
      <c r="E632" s="9"/>
      <c r="F632" s="9"/>
      <c r="G632" s="9"/>
      <c r="H632" s="9"/>
      <c r="I632" s="9"/>
      <c r="J632" s="9"/>
      <c r="K632" s="357"/>
      <c r="L632" s="9"/>
      <c r="M632" s="9"/>
      <c r="N632" s="9"/>
      <c r="O632" s="9"/>
      <c r="P632" s="9"/>
      <c r="Q632" s="9"/>
      <c r="R632" s="14"/>
      <c r="S632" s="14"/>
    </row>
    <row r="633" spans="1:19" ht="14.25">
      <c r="A633" s="14"/>
      <c r="B633" s="9"/>
      <c r="C633" s="9"/>
      <c r="D633" s="9"/>
      <c r="E633" s="9"/>
      <c r="F633" s="9"/>
      <c r="G633" s="9"/>
      <c r="H633" s="9"/>
      <c r="I633" s="9"/>
      <c r="J633" s="9"/>
      <c r="K633" s="357"/>
      <c r="L633" s="9"/>
      <c r="M633" s="9"/>
      <c r="N633" s="9"/>
      <c r="O633" s="9"/>
      <c r="P633" s="9"/>
      <c r="Q633" s="9"/>
      <c r="R633" s="14"/>
      <c r="S633" s="14"/>
    </row>
    <row r="634" spans="1:19" ht="14.25">
      <c r="A634" s="14"/>
      <c r="B634" s="9"/>
      <c r="C634" s="9"/>
      <c r="D634" s="9"/>
      <c r="E634" s="9"/>
      <c r="F634" s="9"/>
      <c r="G634" s="9"/>
      <c r="H634" s="9"/>
      <c r="I634" s="9"/>
      <c r="J634" s="9"/>
      <c r="K634" s="357"/>
      <c r="L634" s="9"/>
      <c r="M634" s="9"/>
      <c r="N634" s="9"/>
      <c r="O634" s="9"/>
      <c r="P634" s="9"/>
      <c r="Q634" s="9"/>
      <c r="R634" s="14"/>
      <c r="S634" s="14"/>
    </row>
    <row r="635" spans="1:19" ht="14.25">
      <c r="A635" s="14"/>
      <c r="B635" s="9"/>
      <c r="C635" s="9"/>
      <c r="D635" s="9"/>
      <c r="E635" s="9"/>
      <c r="F635" s="9"/>
      <c r="G635" s="9"/>
      <c r="H635" s="9"/>
      <c r="I635" s="9"/>
      <c r="J635" s="9"/>
      <c r="K635" s="357"/>
      <c r="L635" s="9"/>
      <c r="M635" s="9"/>
      <c r="N635" s="9"/>
      <c r="O635" s="9"/>
      <c r="P635" s="9"/>
      <c r="Q635" s="9"/>
      <c r="R635" s="14"/>
      <c r="S635" s="14"/>
    </row>
    <row r="636" spans="1:19" ht="14.25">
      <c r="A636" s="14"/>
      <c r="B636" s="9"/>
      <c r="C636" s="9"/>
      <c r="D636" s="9"/>
      <c r="E636" s="9"/>
      <c r="F636" s="9"/>
      <c r="G636" s="9"/>
      <c r="H636" s="9"/>
      <c r="I636" s="9"/>
      <c r="J636" s="9"/>
      <c r="K636" s="357"/>
      <c r="L636" s="9"/>
      <c r="M636" s="9"/>
      <c r="N636" s="9"/>
      <c r="O636" s="9"/>
      <c r="P636" s="9"/>
      <c r="Q636" s="9"/>
      <c r="R636" s="14"/>
      <c r="S636" s="14"/>
    </row>
    <row r="637" spans="1:19" ht="14.25">
      <c r="A637" s="14"/>
      <c r="B637" s="9"/>
      <c r="C637" s="9"/>
      <c r="D637" s="9"/>
      <c r="E637" s="9"/>
      <c r="F637" s="9"/>
      <c r="G637" s="9"/>
      <c r="H637" s="9"/>
      <c r="I637" s="9"/>
      <c r="J637" s="9"/>
      <c r="K637" s="357"/>
      <c r="L637" s="9"/>
      <c r="M637" s="9"/>
      <c r="N637" s="9"/>
      <c r="O637" s="9"/>
      <c r="P637" s="9"/>
      <c r="Q637" s="9"/>
      <c r="R637" s="14"/>
      <c r="S637" s="14"/>
    </row>
    <row r="638" spans="1:19" ht="14.25">
      <c r="A638" s="14"/>
      <c r="B638" s="9"/>
      <c r="C638" s="9"/>
      <c r="D638" s="9"/>
      <c r="E638" s="9"/>
      <c r="F638" s="9"/>
      <c r="G638" s="9"/>
      <c r="H638" s="9"/>
      <c r="I638" s="9"/>
      <c r="J638" s="9"/>
      <c r="K638" s="357"/>
      <c r="L638" s="9"/>
      <c r="M638" s="9"/>
      <c r="N638" s="9"/>
      <c r="O638" s="9"/>
      <c r="P638" s="9"/>
      <c r="Q638" s="9"/>
      <c r="R638" s="14"/>
      <c r="S638" s="14"/>
    </row>
    <row r="639" spans="1:19" ht="14.25">
      <c r="A639" s="14"/>
      <c r="B639" s="9"/>
      <c r="C639" s="9"/>
      <c r="D639" s="9"/>
      <c r="E639" s="9"/>
      <c r="F639" s="9"/>
      <c r="G639" s="9"/>
      <c r="H639" s="9"/>
      <c r="I639" s="9"/>
      <c r="J639" s="9"/>
      <c r="K639" s="357"/>
      <c r="L639" s="9"/>
      <c r="M639" s="9"/>
      <c r="N639" s="9"/>
      <c r="O639" s="9"/>
      <c r="P639" s="9"/>
      <c r="Q639" s="9"/>
      <c r="R639" s="14"/>
      <c r="S639" s="14"/>
    </row>
    <row r="640" spans="1:19" ht="14.25">
      <c r="A640" s="14"/>
      <c r="B640" s="9"/>
      <c r="C640" s="9"/>
      <c r="D640" s="9"/>
      <c r="E640" s="9"/>
      <c r="F640" s="9"/>
      <c r="G640" s="9"/>
      <c r="H640" s="9"/>
      <c r="I640" s="9"/>
      <c r="J640" s="9"/>
      <c r="K640" s="357"/>
      <c r="L640" s="9"/>
      <c r="M640" s="9"/>
      <c r="N640" s="9"/>
      <c r="O640" s="9"/>
      <c r="P640" s="9"/>
      <c r="Q640" s="9"/>
      <c r="R640" s="14"/>
      <c r="S640" s="14"/>
    </row>
    <row r="641" spans="1:19" ht="14.25">
      <c r="A641" s="14"/>
      <c r="B641" s="9"/>
      <c r="C641" s="9"/>
      <c r="D641" s="9"/>
      <c r="E641" s="9"/>
      <c r="F641" s="9"/>
      <c r="G641" s="9"/>
      <c r="H641" s="9"/>
      <c r="I641" s="9"/>
      <c r="J641" s="9"/>
      <c r="K641" s="357"/>
      <c r="L641" s="9"/>
      <c r="M641" s="9"/>
      <c r="N641" s="9"/>
      <c r="O641" s="9"/>
      <c r="P641" s="9"/>
      <c r="Q641" s="9"/>
      <c r="R641" s="14"/>
      <c r="S641" s="14"/>
    </row>
    <row r="642" spans="1:19" ht="14.25">
      <c r="A642" s="14"/>
      <c r="B642" s="9"/>
      <c r="C642" s="9"/>
      <c r="D642" s="9"/>
      <c r="E642" s="9"/>
      <c r="F642" s="9"/>
      <c r="G642" s="9"/>
      <c r="H642" s="9"/>
      <c r="I642" s="9"/>
      <c r="J642" s="9"/>
      <c r="K642" s="357"/>
      <c r="L642" s="9"/>
      <c r="M642" s="9"/>
      <c r="N642" s="9"/>
      <c r="O642" s="9"/>
      <c r="P642" s="9"/>
      <c r="Q642" s="9"/>
      <c r="R642" s="14"/>
      <c r="S642" s="14"/>
    </row>
    <row r="643" spans="1:19" ht="14.25">
      <c r="A643" s="14"/>
      <c r="B643" s="9"/>
      <c r="C643" s="9"/>
      <c r="D643" s="9"/>
      <c r="E643" s="9"/>
      <c r="F643" s="9"/>
      <c r="G643" s="9"/>
      <c r="H643" s="9"/>
      <c r="I643" s="9"/>
      <c r="J643" s="9"/>
      <c r="K643" s="357"/>
      <c r="L643" s="9"/>
      <c r="M643" s="9"/>
      <c r="N643" s="9"/>
      <c r="O643" s="9"/>
      <c r="P643" s="9"/>
      <c r="Q643" s="9"/>
      <c r="R643" s="14"/>
      <c r="S643" s="14"/>
    </row>
    <row r="644" spans="1:19" ht="14.25">
      <c r="A644" s="14"/>
      <c r="B644" s="9"/>
      <c r="C644" s="9"/>
      <c r="D644" s="9"/>
      <c r="E644" s="9"/>
      <c r="F644" s="9"/>
      <c r="G644" s="9"/>
      <c r="H644" s="9"/>
      <c r="I644" s="9"/>
      <c r="J644" s="9"/>
      <c r="K644" s="357"/>
      <c r="L644" s="9"/>
      <c r="M644" s="9"/>
      <c r="N644" s="9"/>
      <c r="O644" s="9"/>
      <c r="P644" s="9"/>
      <c r="Q644" s="9"/>
      <c r="R644" s="14"/>
      <c r="S644" s="14"/>
    </row>
    <row r="645" spans="1:19" ht="14.25">
      <c r="A645" s="14"/>
      <c r="B645" s="9"/>
      <c r="C645" s="9"/>
      <c r="D645" s="9"/>
      <c r="E645" s="9"/>
      <c r="F645" s="9"/>
      <c r="G645" s="9"/>
      <c r="H645" s="9"/>
      <c r="I645" s="9"/>
      <c r="J645" s="9"/>
      <c r="K645" s="357"/>
      <c r="L645" s="9"/>
      <c r="M645" s="9"/>
      <c r="N645" s="9"/>
      <c r="O645" s="9"/>
      <c r="P645" s="9"/>
      <c r="Q645" s="9"/>
      <c r="R645" s="14"/>
      <c r="S645" s="14"/>
    </row>
    <row r="646" spans="1:19" ht="14.25">
      <c r="A646" s="14"/>
      <c r="B646" s="9"/>
      <c r="C646" s="9"/>
      <c r="D646" s="9"/>
      <c r="E646" s="9"/>
      <c r="F646" s="9"/>
      <c r="G646" s="9"/>
      <c r="H646" s="9"/>
      <c r="I646" s="9"/>
      <c r="J646" s="9"/>
      <c r="K646" s="357"/>
      <c r="L646" s="9"/>
      <c r="M646" s="9"/>
      <c r="N646" s="9"/>
      <c r="O646" s="9"/>
      <c r="P646" s="9"/>
      <c r="Q646" s="9"/>
      <c r="R646" s="14"/>
      <c r="S646" s="14"/>
    </row>
    <row r="647" spans="1:19" ht="14.25">
      <c r="A647" s="14"/>
      <c r="B647" s="9"/>
      <c r="C647" s="9"/>
      <c r="D647" s="9"/>
      <c r="E647" s="9"/>
      <c r="F647" s="9"/>
      <c r="G647" s="9"/>
      <c r="H647" s="9"/>
      <c r="I647" s="9"/>
      <c r="J647" s="9"/>
      <c r="K647" s="357"/>
      <c r="L647" s="9"/>
      <c r="M647" s="9"/>
      <c r="N647" s="9"/>
      <c r="O647" s="9"/>
      <c r="P647" s="9"/>
      <c r="Q647" s="9"/>
      <c r="R647" s="14"/>
      <c r="S647" s="14"/>
    </row>
    <row r="648" spans="1:19" ht="14.25">
      <c r="A648" s="14"/>
      <c r="B648" s="9"/>
      <c r="C648" s="9"/>
      <c r="D648" s="9"/>
      <c r="E648" s="9"/>
      <c r="F648" s="9"/>
      <c r="G648" s="9"/>
      <c r="H648" s="9"/>
      <c r="I648" s="9"/>
      <c r="J648" s="9"/>
      <c r="K648" s="357"/>
      <c r="L648" s="9"/>
      <c r="M648" s="9"/>
      <c r="N648" s="9"/>
      <c r="O648" s="9"/>
      <c r="P648" s="9"/>
      <c r="Q648" s="9"/>
      <c r="R648" s="14"/>
      <c r="S648" s="14"/>
    </row>
    <row r="649" spans="1:19" ht="14.25">
      <c r="A649" s="14"/>
      <c r="B649" s="9"/>
      <c r="C649" s="9"/>
      <c r="D649" s="9"/>
      <c r="E649" s="9"/>
      <c r="F649" s="9"/>
      <c r="G649" s="9"/>
      <c r="H649" s="9"/>
      <c r="I649" s="9"/>
      <c r="J649" s="9"/>
      <c r="K649" s="357"/>
      <c r="L649" s="9"/>
      <c r="M649" s="9"/>
      <c r="N649" s="9"/>
      <c r="O649" s="9"/>
      <c r="P649" s="9"/>
      <c r="Q649" s="9"/>
      <c r="R649" s="14"/>
      <c r="S649" s="14"/>
    </row>
    <row r="650" spans="1:19" ht="14.25">
      <c r="A650" s="14"/>
      <c r="B650" s="9"/>
      <c r="C650" s="9"/>
      <c r="D650" s="9"/>
      <c r="E650" s="9"/>
      <c r="F650" s="9"/>
      <c r="G650" s="9"/>
      <c r="H650" s="9"/>
      <c r="I650" s="9"/>
      <c r="J650" s="9"/>
      <c r="K650" s="357"/>
      <c r="L650" s="9"/>
      <c r="M650" s="9"/>
      <c r="N650" s="9"/>
      <c r="O650" s="9"/>
      <c r="P650" s="9"/>
      <c r="Q650" s="9"/>
      <c r="R650" s="14"/>
      <c r="S650" s="14"/>
    </row>
    <row r="651" spans="1:19" ht="14.25">
      <c r="A651" s="14"/>
      <c r="B651" s="9"/>
      <c r="C651" s="9"/>
      <c r="D651" s="9"/>
      <c r="E651" s="9"/>
      <c r="F651" s="9"/>
      <c r="G651" s="9"/>
      <c r="H651" s="9"/>
      <c r="I651" s="9"/>
      <c r="J651" s="9"/>
      <c r="K651" s="357"/>
      <c r="L651" s="9"/>
      <c r="M651" s="9"/>
      <c r="N651" s="9"/>
      <c r="O651" s="9"/>
      <c r="P651" s="9"/>
      <c r="Q651" s="9"/>
      <c r="R651" s="14"/>
      <c r="S651" s="14"/>
    </row>
    <row r="652" spans="1:19" ht="14.25">
      <c r="A652" s="14"/>
      <c r="B652" s="9"/>
      <c r="C652" s="9"/>
      <c r="D652" s="9"/>
      <c r="E652" s="9"/>
      <c r="F652" s="9"/>
      <c r="G652" s="9"/>
      <c r="H652" s="9"/>
      <c r="I652" s="9"/>
      <c r="J652" s="9"/>
      <c r="K652" s="357"/>
      <c r="L652" s="9"/>
      <c r="M652" s="9"/>
      <c r="N652" s="9"/>
      <c r="O652" s="9"/>
      <c r="P652" s="9"/>
      <c r="Q652" s="9"/>
      <c r="R652" s="14"/>
      <c r="S652" s="14"/>
    </row>
    <row r="653" spans="1:19" ht="14.25">
      <c r="A653" s="14"/>
      <c r="B653" s="9"/>
      <c r="C653" s="9"/>
      <c r="D653" s="9"/>
      <c r="E653" s="9"/>
      <c r="F653" s="9"/>
      <c r="G653" s="9"/>
      <c r="H653" s="9"/>
      <c r="I653" s="9"/>
      <c r="J653" s="9"/>
      <c r="K653" s="357"/>
      <c r="L653" s="9"/>
      <c r="M653" s="9"/>
      <c r="N653" s="9"/>
      <c r="O653" s="9"/>
      <c r="P653" s="9"/>
      <c r="Q653" s="9"/>
      <c r="R653" s="14"/>
      <c r="S653" s="14"/>
    </row>
    <row r="654" spans="1:19" ht="14.25">
      <c r="A654" s="14"/>
      <c r="B654" s="9"/>
      <c r="C654" s="9"/>
      <c r="D654" s="9"/>
      <c r="E654" s="9"/>
      <c r="F654" s="9"/>
      <c r="G654" s="9"/>
      <c r="H654" s="9"/>
      <c r="I654" s="9"/>
      <c r="J654" s="9"/>
      <c r="K654" s="357"/>
      <c r="L654" s="9"/>
      <c r="M654" s="9"/>
      <c r="N654" s="9"/>
      <c r="O654" s="9"/>
      <c r="P654" s="9"/>
      <c r="Q654" s="9"/>
      <c r="R654" s="14"/>
      <c r="S654" s="14"/>
    </row>
    <row r="655" spans="1:19" ht="14.25">
      <c r="A655" s="14"/>
      <c r="B655" s="9"/>
      <c r="C655" s="9"/>
      <c r="D655" s="9"/>
      <c r="E655" s="9"/>
      <c r="F655" s="9"/>
      <c r="G655" s="9"/>
      <c r="H655" s="9"/>
      <c r="I655" s="9"/>
      <c r="J655" s="9"/>
      <c r="K655" s="357"/>
      <c r="L655" s="9"/>
      <c r="M655" s="9"/>
      <c r="N655" s="9"/>
      <c r="O655" s="9"/>
      <c r="P655" s="9"/>
      <c r="Q655" s="9"/>
      <c r="R655" s="14"/>
      <c r="S655" s="14"/>
    </row>
    <row r="656" spans="1:19" ht="14.25">
      <c r="A656" s="14"/>
      <c r="B656" s="9"/>
      <c r="C656" s="9"/>
      <c r="D656" s="9"/>
      <c r="E656" s="9"/>
      <c r="F656" s="9"/>
      <c r="G656" s="9"/>
      <c r="H656" s="9"/>
      <c r="I656" s="9"/>
      <c r="J656" s="9"/>
      <c r="K656" s="357"/>
      <c r="L656" s="9"/>
      <c r="M656" s="9"/>
      <c r="N656" s="9"/>
      <c r="O656" s="9"/>
      <c r="P656" s="9"/>
      <c r="Q656" s="9"/>
      <c r="R656" s="14"/>
      <c r="S656" s="14"/>
    </row>
    <row r="657" spans="1:19" ht="14.25">
      <c r="A657" s="14"/>
      <c r="B657" s="9"/>
      <c r="C657" s="9"/>
      <c r="D657" s="9"/>
      <c r="E657" s="9"/>
      <c r="F657" s="9"/>
      <c r="G657" s="9"/>
      <c r="H657" s="9"/>
      <c r="I657" s="9"/>
      <c r="J657" s="9"/>
      <c r="K657" s="357"/>
      <c r="L657" s="9"/>
      <c r="M657" s="9"/>
      <c r="N657" s="9"/>
      <c r="O657" s="9"/>
      <c r="P657" s="9"/>
      <c r="Q657" s="9"/>
      <c r="R657" s="14"/>
      <c r="S657" s="14"/>
    </row>
    <row r="658" spans="1:19" ht="14.25">
      <c r="A658" s="14"/>
      <c r="B658" s="9"/>
      <c r="C658" s="9"/>
      <c r="D658" s="9"/>
      <c r="E658" s="9"/>
      <c r="F658" s="9"/>
      <c r="G658" s="9"/>
      <c r="H658" s="9"/>
      <c r="I658" s="9"/>
      <c r="J658" s="9"/>
      <c r="K658" s="357"/>
      <c r="L658" s="9"/>
      <c r="M658" s="9"/>
      <c r="N658" s="9"/>
      <c r="O658" s="9"/>
      <c r="P658" s="9"/>
      <c r="Q658" s="9"/>
      <c r="R658" s="14"/>
      <c r="S658" s="14"/>
    </row>
    <row r="659" spans="1:19" ht="14.25">
      <c r="A659" s="14"/>
      <c r="B659" s="9"/>
      <c r="C659" s="9"/>
      <c r="D659" s="9"/>
      <c r="E659" s="9"/>
      <c r="F659" s="9"/>
      <c r="G659" s="9"/>
      <c r="H659" s="9"/>
      <c r="I659" s="9"/>
      <c r="J659" s="9"/>
      <c r="K659" s="357"/>
      <c r="L659" s="9"/>
      <c r="M659" s="9"/>
      <c r="N659" s="9"/>
      <c r="O659" s="9"/>
      <c r="P659" s="9"/>
      <c r="Q659" s="9"/>
      <c r="R659" s="14"/>
      <c r="S659" s="14"/>
    </row>
    <row r="660" spans="1:19" ht="14.25">
      <c r="A660" s="14"/>
      <c r="B660" s="9"/>
      <c r="C660" s="9"/>
      <c r="D660" s="9"/>
      <c r="E660" s="9"/>
      <c r="F660" s="9"/>
      <c r="G660" s="9"/>
      <c r="H660" s="9"/>
      <c r="I660" s="9"/>
      <c r="J660" s="9"/>
      <c r="K660" s="357"/>
      <c r="L660" s="9"/>
      <c r="M660" s="9"/>
      <c r="N660" s="9"/>
      <c r="O660" s="9"/>
      <c r="P660" s="9"/>
      <c r="Q660" s="9"/>
      <c r="R660" s="14"/>
      <c r="S660" s="14"/>
    </row>
    <row r="661" spans="1:19" ht="14.25">
      <c r="A661" s="14"/>
      <c r="B661" s="9"/>
      <c r="C661" s="9"/>
      <c r="D661" s="9"/>
      <c r="E661" s="9"/>
      <c r="F661" s="9"/>
      <c r="G661" s="9"/>
      <c r="H661" s="9"/>
      <c r="I661" s="9"/>
      <c r="J661" s="9"/>
      <c r="K661" s="357"/>
      <c r="L661" s="9"/>
      <c r="M661" s="9"/>
      <c r="N661" s="9"/>
      <c r="O661" s="9"/>
      <c r="P661" s="9"/>
      <c r="Q661" s="9"/>
      <c r="R661" s="14"/>
      <c r="S661" s="14"/>
    </row>
    <row r="662" spans="1:19" ht="14.25">
      <c r="A662" s="14"/>
      <c r="B662" s="9"/>
      <c r="C662" s="9"/>
      <c r="D662" s="9"/>
      <c r="E662" s="9"/>
      <c r="F662" s="9"/>
      <c r="G662" s="9"/>
      <c r="H662" s="9"/>
      <c r="I662" s="9"/>
      <c r="J662" s="9"/>
      <c r="K662" s="357"/>
      <c r="L662" s="9"/>
      <c r="M662" s="9"/>
      <c r="N662" s="9"/>
      <c r="O662" s="9"/>
      <c r="P662" s="9"/>
      <c r="Q662" s="9"/>
      <c r="R662" s="14"/>
      <c r="S662" s="14"/>
    </row>
    <row r="663" spans="1:19" ht="14.25">
      <c r="A663" s="14"/>
      <c r="B663" s="9"/>
      <c r="C663" s="9"/>
      <c r="D663" s="9"/>
      <c r="E663" s="9"/>
      <c r="F663" s="9"/>
      <c r="G663" s="9"/>
      <c r="H663" s="9"/>
      <c r="I663" s="9"/>
      <c r="J663" s="9"/>
      <c r="K663" s="357"/>
      <c r="L663" s="9"/>
      <c r="M663" s="9"/>
      <c r="N663" s="9"/>
      <c r="O663" s="9"/>
      <c r="P663" s="9"/>
      <c r="Q663" s="9"/>
      <c r="R663" s="14"/>
      <c r="S663" s="14"/>
    </row>
    <row r="664" spans="1:19" ht="14.25">
      <c r="A664" s="14"/>
      <c r="B664" s="9"/>
      <c r="C664" s="9"/>
      <c r="D664" s="9"/>
      <c r="E664" s="9"/>
      <c r="F664" s="9"/>
      <c r="G664" s="9"/>
      <c r="H664" s="9"/>
      <c r="I664" s="9"/>
      <c r="J664" s="9"/>
      <c r="K664" s="357"/>
      <c r="L664" s="9"/>
      <c r="M664" s="9"/>
      <c r="N664" s="9"/>
      <c r="O664" s="9"/>
      <c r="P664" s="9"/>
      <c r="Q664" s="9"/>
      <c r="R664" s="14"/>
      <c r="S664" s="14"/>
    </row>
    <row r="665" spans="1:19" ht="14.25">
      <c r="A665" s="14"/>
      <c r="B665" s="9"/>
      <c r="C665" s="9"/>
      <c r="D665" s="9"/>
      <c r="E665" s="9"/>
      <c r="F665" s="9"/>
      <c r="G665" s="9"/>
      <c r="H665" s="9"/>
      <c r="I665" s="9"/>
      <c r="J665" s="9"/>
      <c r="K665" s="357"/>
      <c r="L665" s="9"/>
      <c r="M665" s="9"/>
      <c r="N665" s="9"/>
      <c r="O665" s="9"/>
      <c r="P665" s="9"/>
      <c r="Q665" s="9"/>
      <c r="R665" s="14"/>
      <c r="S665" s="14"/>
    </row>
    <row r="666" spans="1:19" ht="14.25">
      <c r="A666" s="14"/>
      <c r="B666" s="9"/>
      <c r="C666" s="9"/>
      <c r="D666" s="9"/>
      <c r="E666" s="9"/>
      <c r="F666" s="9"/>
      <c r="G666" s="9"/>
      <c r="H666" s="9"/>
      <c r="I666" s="9"/>
      <c r="J666" s="9"/>
      <c r="K666" s="357"/>
      <c r="L666" s="9"/>
      <c r="M666" s="9"/>
      <c r="N666" s="9"/>
      <c r="O666" s="9"/>
      <c r="P666" s="9"/>
      <c r="Q666" s="9"/>
      <c r="R666" s="14"/>
      <c r="S666" s="14"/>
    </row>
    <row r="667" spans="1:19" ht="14.25">
      <c r="A667" s="14"/>
      <c r="B667" s="9"/>
      <c r="C667" s="9"/>
      <c r="D667" s="9"/>
      <c r="E667" s="9"/>
      <c r="F667" s="9"/>
      <c r="G667" s="9"/>
      <c r="H667" s="9"/>
      <c r="I667" s="9"/>
      <c r="J667" s="9"/>
      <c r="K667" s="357"/>
      <c r="L667" s="9"/>
      <c r="M667" s="9"/>
      <c r="N667" s="9"/>
      <c r="O667" s="9"/>
      <c r="P667" s="9"/>
      <c r="Q667" s="9"/>
      <c r="R667" s="14"/>
      <c r="S667" s="14"/>
    </row>
    <row r="668" spans="1:19" ht="14.25">
      <c r="A668" s="14"/>
      <c r="B668" s="9"/>
      <c r="C668" s="9"/>
      <c r="D668" s="9"/>
      <c r="E668" s="9"/>
      <c r="F668" s="9"/>
      <c r="G668" s="9"/>
      <c r="H668" s="9"/>
      <c r="I668" s="9"/>
      <c r="J668" s="9"/>
      <c r="K668" s="357"/>
      <c r="L668" s="9"/>
      <c r="M668" s="9"/>
      <c r="N668" s="9"/>
      <c r="O668" s="9"/>
      <c r="P668" s="9"/>
      <c r="Q668" s="9"/>
      <c r="R668" s="14"/>
      <c r="S668" s="14"/>
    </row>
    <row r="669" spans="1:19" ht="14.25">
      <c r="A669" s="14"/>
      <c r="B669" s="9"/>
      <c r="C669" s="9"/>
      <c r="D669" s="9"/>
      <c r="E669" s="9"/>
      <c r="F669" s="9"/>
      <c r="G669" s="9"/>
      <c r="H669" s="9"/>
      <c r="I669" s="9"/>
      <c r="J669" s="9"/>
      <c r="K669" s="357"/>
      <c r="L669" s="9"/>
      <c r="M669" s="9"/>
      <c r="N669" s="9"/>
      <c r="O669" s="9"/>
      <c r="P669" s="9"/>
      <c r="Q669" s="9"/>
      <c r="R669" s="14"/>
      <c r="S669" s="14"/>
    </row>
    <row r="670" spans="1:19" ht="14.25">
      <c r="A670" s="14"/>
      <c r="B670" s="9"/>
      <c r="C670" s="9"/>
      <c r="D670" s="9"/>
      <c r="E670" s="9"/>
      <c r="F670" s="9"/>
      <c r="G670" s="9"/>
      <c r="H670" s="9"/>
      <c r="I670" s="9"/>
      <c r="J670" s="9"/>
      <c r="K670" s="357"/>
      <c r="L670" s="9"/>
      <c r="M670" s="9"/>
      <c r="N670" s="9"/>
      <c r="O670" s="9"/>
      <c r="P670" s="9"/>
      <c r="Q670" s="9"/>
      <c r="R670" s="14"/>
      <c r="S670" s="14"/>
    </row>
    <row r="671" spans="1:19" ht="14.25">
      <c r="A671" s="14"/>
      <c r="B671" s="9"/>
      <c r="C671" s="9"/>
      <c r="D671" s="9"/>
      <c r="E671" s="9"/>
      <c r="F671" s="9"/>
      <c r="G671" s="9"/>
      <c r="H671" s="9"/>
      <c r="I671" s="9"/>
      <c r="J671" s="9"/>
      <c r="K671" s="357"/>
      <c r="L671" s="9"/>
      <c r="M671" s="9"/>
      <c r="N671" s="9"/>
      <c r="O671" s="9"/>
      <c r="P671" s="9"/>
      <c r="Q671" s="9"/>
      <c r="R671" s="14"/>
      <c r="S671" s="14"/>
    </row>
    <row r="672" spans="1:19" ht="14.25">
      <c r="A672" s="14"/>
      <c r="B672" s="9"/>
      <c r="C672" s="9"/>
      <c r="D672" s="9"/>
      <c r="E672" s="9"/>
      <c r="F672" s="9"/>
      <c r="G672" s="9"/>
      <c r="H672" s="9"/>
      <c r="I672" s="9"/>
      <c r="J672" s="9"/>
      <c r="K672" s="357"/>
      <c r="L672" s="9"/>
      <c r="M672" s="9"/>
      <c r="N672" s="9"/>
      <c r="O672" s="9"/>
      <c r="P672" s="9"/>
      <c r="Q672" s="9"/>
      <c r="R672" s="14"/>
      <c r="S672" s="14"/>
    </row>
    <row r="673" spans="1:19" ht="14.25">
      <c r="A673" s="14"/>
      <c r="B673" s="9"/>
      <c r="C673" s="9"/>
      <c r="D673" s="9"/>
      <c r="E673" s="9"/>
      <c r="F673" s="9"/>
      <c r="G673" s="9"/>
      <c r="H673" s="9"/>
      <c r="I673" s="9"/>
      <c r="J673" s="9"/>
      <c r="K673" s="357"/>
      <c r="L673" s="9"/>
      <c r="M673" s="9"/>
      <c r="N673" s="9"/>
      <c r="O673" s="9"/>
      <c r="P673" s="9"/>
      <c r="Q673" s="9"/>
      <c r="R673" s="14"/>
      <c r="S673" s="14"/>
    </row>
    <row r="674" spans="1:19" ht="14.25">
      <c r="A674" s="14"/>
      <c r="B674" s="9"/>
      <c r="C674" s="9"/>
      <c r="D674" s="9"/>
      <c r="E674" s="9"/>
      <c r="F674" s="9"/>
      <c r="G674" s="9"/>
      <c r="H674" s="9"/>
      <c r="I674" s="9"/>
      <c r="J674" s="9"/>
      <c r="K674" s="357"/>
      <c r="L674" s="9"/>
      <c r="M674" s="9"/>
      <c r="N674" s="9"/>
      <c r="O674" s="9"/>
      <c r="P674" s="9"/>
      <c r="Q674" s="9"/>
      <c r="R674" s="14"/>
      <c r="S674" s="14"/>
    </row>
    <row r="675" spans="1:19" ht="14.25">
      <c r="A675" s="14"/>
      <c r="B675" s="9"/>
      <c r="C675" s="9"/>
      <c r="D675" s="9"/>
      <c r="E675" s="9"/>
      <c r="F675" s="9"/>
      <c r="G675" s="9"/>
      <c r="H675" s="9"/>
      <c r="I675" s="9"/>
      <c r="J675" s="9"/>
      <c r="K675" s="357"/>
      <c r="L675" s="9"/>
      <c r="M675" s="9"/>
      <c r="N675" s="9"/>
      <c r="O675" s="9"/>
      <c r="P675" s="9"/>
      <c r="Q675" s="9"/>
      <c r="R675" s="14"/>
      <c r="S675" s="14"/>
    </row>
    <row r="676" spans="1:19" ht="14.25">
      <c r="A676" s="14"/>
      <c r="B676" s="9"/>
      <c r="C676" s="9"/>
      <c r="D676" s="9"/>
      <c r="E676" s="9"/>
      <c r="F676" s="9"/>
      <c r="G676" s="9"/>
      <c r="H676" s="9"/>
      <c r="I676" s="9"/>
      <c r="J676" s="9"/>
      <c r="K676" s="357"/>
      <c r="L676" s="9"/>
      <c r="M676" s="9"/>
      <c r="N676" s="9"/>
      <c r="O676" s="9"/>
      <c r="P676" s="9"/>
      <c r="Q676" s="9"/>
      <c r="R676" s="14"/>
      <c r="S676" s="14"/>
    </row>
    <row r="677" spans="1:19" ht="14.25">
      <c r="A677" s="14"/>
      <c r="B677" s="9"/>
      <c r="C677" s="9"/>
      <c r="D677" s="9"/>
      <c r="E677" s="9"/>
      <c r="F677" s="9"/>
      <c r="G677" s="9"/>
      <c r="H677" s="9"/>
      <c r="I677" s="9"/>
      <c r="J677" s="9"/>
      <c r="K677" s="357"/>
      <c r="L677" s="9"/>
      <c r="M677" s="9"/>
      <c r="N677" s="9"/>
      <c r="O677" s="9"/>
      <c r="P677" s="9"/>
      <c r="Q677" s="9"/>
      <c r="R677" s="14"/>
      <c r="S677" s="14"/>
    </row>
    <row r="678" spans="1:19" ht="14.25">
      <c r="A678" s="14"/>
      <c r="B678" s="9"/>
      <c r="C678" s="9"/>
      <c r="D678" s="9"/>
      <c r="E678" s="9"/>
      <c r="F678" s="9"/>
      <c r="G678" s="9"/>
      <c r="H678" s="9"/>
      <c r="I678" s="9"/>
      <c r="J678" s="9"/>
      <c r="K678" s="357"/>
      <c r="L678" s="9"/>
      <c r="M678" s="9"/>
      <c r="N678" s="9"/>
      <c r="O678" s="9"/>
      <c r="P678" s="9"/>
      <c r="Q678" s="9"/>
      <c r="R678" s="14"/>
      <c r="S678" s="14"/>
    </row>
    <row r="679" spans="1:19" ht="14.25">
      <c r="A679" s="14"/>
      <c r="B679" s="9"/>
      <c r="C679" s="9"/>
      <c r="D679" s="9"/>
      <c r="E679" s="9"/>
      <c r="F679" s="9"/>
      <c r="G679" s="9"/>
      <c r="H679" s="9"/>
      <c r="I679" s="9"/>
      <c r="J679" s="9"/>
      <c r="K679" s="357"/>
      <c r="L679" s="9"/>
      <c r="M679" s="9"/>
      <c r="N679" s="9"/>
      <c r="O679" s="9"/>
      <c r="P679" s="9"/>
      <c r="Q679" s="9"/>
      <c r="R679" s="14"/>
      <c r="S679" s="14"/>
    </row>
    <row r="680" spans="1:19" ht="14.25">
      <c r="A680" s="14"/>
      <c r="B680" s="9"/>
      <c r="C680" s="9"/>
      <c r="D680" s="9"/>
      <c r="E680" s="9"/>
      <c r="F680" s="9"/>
      <c r="G680" s="9"/>
      <c r="H680" s="9"/>
      <c r="I680" s="9"/>
      <c r="J680" s="9"/>
      <c r="K680" s="357"/>
      <c r="L680" s="9"/>
      <c r="M680" s="9"/>
      <c r="N680" s="9"/>
      <c r="O680" s="9"/>
      <c r="P680" s="9"/>
      <c r="Q680" s="9"/>
      <c r="R680" s="14"/>
      <c r="S680" s="14"/>
    </row>
    <row r="681" spans="1:19" ht="14.25">
      <c r="A681" s="14"/>
      <c r="B681" s="9"/>
      <c r="C681" s="9"/>
      <c r="D681" s="9"/>
      <c r="E681" s="9"/>
      <c r="F681" s="9"/>
      <c r="G681" s="9"/>
      <c r="H681" s="9"/>
      <c r="I681" s="9"/>
      <c r="J681" s="9"/>
      <c r="K681" s="357"/>
      <c r="L681" s="9"/>
      <c r="M681" s="9"/>
      <c r="N681" s="9"/>
      <c r="O681" s="9"/>
      <c r="P681" s="9"/>
      <c r="Q681" s="9"/>
      <c r="R681" s="14"/>
      <c r="S681" s="14"/>
    </row>
    <row r="682" spans="1:19" ht="14.25">
      <c r="A682" s="14"/>
      <c r="B682" s="9"/>
      <c r="C682" s="9"/>
      <c r="D682" s="9"/>
      <c r="E682" s="9"/>
      <c r="F682" s="9"/>
      <c r="G682" s="9"/>
      <c r="H682" s="9"/>
      <c r="I682" s="9"/>
      <c r="J682" s="9"/>
      <c r="K682" s="357"/>
      <c r="L682" s="9"/>
      <c r="M682" s="9"/>
      <c r="N682" s="9"/>
      <c r="O682" s="9"/>
      <c r="P682" s="9"/>
      <c r="Q682" s="9"/>
      <c r="R682" s="14"/>
      <c r="S682" s="14"/>
    </row>
    <row r="683" spans="1:19" ht="14.25">
      <c r="A683" s="14"/>
      <c r="B683" s="9"/>
      <c r="C683" s="9"/>
      <c r="D683" s="9"/>
      <c r="E683" s="9"/>
      <c r="F683" s="9"/>
      <c r="G683" s="9"/>
      <c r="H683" s="9"/>
      <c r="I683" s="9"/>
      <c r="J683" s="9"/>
      <c r="K683" s="357"/>
      <c r="L683" s="9"/>
      <c r="M683" s="9"/>
      <c r="N683" s="9"/>
      <c r="O683" s="9"/>
      <c r="P683" s="9"/>
      <c r="Q683" s="9"/>
      <c r="R683" s="14"/>
      <c r="S683" s="14"/>
    </row>
    <row r="684" spans="1:19" ht="14.25">
      <c r="A684" s="14"/>
      <c r="B684" s="9"/>
      <c r="C684" s="9"/>
      <c r="D684" s="9"/>
      <c r="E684" s="9"/>
      <c r="F684" s="9"/>
      <c r="G684" s="9"/>
      <c r="H684" s="9"/>
      <c r="I684" s="9"/>
      <c r="J684" s="9"/>
      <c r="K684" s="357"/>
      <c r="L684" s="9"/>
      <c r="M684" s="9"/>
      <c r="N684" s="9"/>
      <c r="O684" s="9"/>
      <c r="P684" s="9"/>
      <c r="Q684" s="9"/>
      <c r="R684" s="14"/>
      <c r="S684" s="14"/>
    </row>
    <row r="685" spans="1:19" ht="14.25">
      <c r="A685" s="14"/>
      <c r="B685" s="9"/>
      <c r="C685" s="9"/>
      <c r="D685" s="9"/>
      <c r="E685" s="9"/>
      <c r="F685" s="9"/>
      <c r="G685" s="9"/>
      <c r="H685" s="9"/>
      <c r="I685" s="9"/>
      <c r="J685" s="9"/>
      <c r="K685" s="357"/>
      <c r="L685" s="9"/>
      <c r="M685" s="9"/>
      <c r="N685" s="9"/>
      <c r="O685" s="9"/>
      <c r="P685" s="9"/>
      <c r="Q685" s="9"/>
      <c r="R685" s="14"/>
      <c r="S685" s="14"/>
    </row>
    <row r="686" spans="1:19" ht="14.25">
      <c r="A686" s="14"/>
      <c r="B686" s="9"/>
      <c r="C686" s="9"/>
      <c r="D686" s="9"/>
      <c r="E686" s="9"/>
      <c r="F686" s="9"/>
      <c r="G686" s="9"/>
      <c r="H686" s="9"/>
      <c r="I686" s="9"/>
      <c r="J686" s="9"/>
      <c r="K686" s="357"/>
      <c r="L686" s="9"/>
      <c r="M686" s="9"/>
      <c r="N686" s="9"/>
      <c r="O686" s="9"/>
      <c r="P686" s="9"/>
      <c r="Q686" s="9"/>
      <c r="R686" s="14"/>
      <c r="S686" s="14"/>
    </row>
    <row r="687" spans="1:19" ht="14.25">
      <c r="A687" s="14"/>
      <c r="B687" s="9"/>
      <c r="C687" s="9"/>
      <c r="D687" s="9"/>
      <c r="E687" s="9"/>
      <c r="F687" s="9"/>
      <c r="G687" s="9"/>
      <c r="H687" s="9"/>
      <c r="I687" s="9"/>
      <c r="J687" s="9"/>
      <c r="K687" s="357"/>
      <c r="L687" s="9"/>
      <c r="M687" s="9"/>
      <c r="N687" s="9"/>
      <c r="O687" s="9"/>
      <c r="P687" s="9"/>
      <c r="Q687" s="9"/>
      <c r="R687" s="14"/>
      <c r="S687" s="14"/>
    </row>
    <row r="688" spans="1:19" ht="14.25">
      <c r="A688" s="14"/>
      <c r="B688" s="9"/>
      <c r="C688" s="9"/>
      <c r="D688" s="9"/>
      <c r="E688" s="9"/>
      <c r="F688" s="9"/>
      <c r="G688" s="9"/>
      <c r="H688" s="9"/>
      <c r="I688" s="9"/>
      <c r="J688" s="9"/>
      <c r="K688" s="357"/>
      <c r="L688" s="9"/>
      <c r="M688" s="9"/>
      <c r="N688" s="9"/>
      <c r="O688" s="9"/>
      <c r="P688" s="9"/>
      <c r="Q688" s="9"/>
      <c r="R688" s="14"/>
      <c r="S688" s="14"/>
    </row>
    <row r="689" spans="1:19" ht="14.25">
      <c r="A689" s="14"/>
      <c r="B689" s="9"/>
      <c r="C689" s="9"/>
      <c r="D689" s="9"/>
      <c r="E689" s="9"/>
      <c r="F689" s="9"/>
      <c r="G689" s="9"/>
      <c r="H689" s="9"/>
      <c r="I689" s="9"/>
      <c r="J689" s="9"/>
      <c r="K689" s="357"/>
      <c r="L689" s="9"/>
      <c r="M689" s="9"/>
      <c r="N689" s="9"/>
      <c r="O689" s="9"/>
      <c r="P689" s="9"/>
      <c r="Q689" s="9"/>
      <c r="R689" s="14"/>
      <c r="S689" s="14"/>
    </row>
    <row r="690" spans="1:19" ht="14.25">
      <c r="A690" s="14"/>
      <c r="B690" s="9"/>
      <c r="C690" s="9"/>
      <c r="D690" s="9"/>
      <c r="E690" s="9"/>
      <c r="F690" s="9"/>
      <c r="G690" s="9"/>
      <c r="H690" s="9"/>
      <c r="I690" s="9"/>
      <c r="J690" s="9"/>
      <c r="K690" s="357"/>
      <c r="L690" s="9"/>
      <c r="M690" s="9"/>
      <c r="N690" s="9"/>
      <c r="O690" s="9"/>
      <c r="P690" s="9"/>
      <c r="Q690" s="9"/>
      <c r="R690" s="14"/>
      <c r="S690" s="14"/>
    </row>
    <row r="691" spans="1:19" ht="14.25">
      <c r="A691" s="14"/>
      <c r="B691" s="9"/>
      <c r="C691" s="9"/>
      <c r="D691" s="9"/>
      <c r="E691" s="9"/>
      <c r="F691" s="9"/>
      <c r="G691" s="9"/>
      <c r="H691" s="9"/>
      <c r="I691" s="9"/>
      <c r="J691" s="9"/>
      <c r="K691" s="357"/>
      <c r="L691" s="9"/>
      <c r="M691" s="9"/>
      <c r="N691" s="9"/>
      <c r="O691" s="9"/>
      <c r="P691" s="9"/>
      <c r="Q691" s="9"/>
      <c r="R691" s="14"/>
      <c r="S691" s="14"/>
    </row>
    <row r="692" spans="1:19" ht="14.25">
      <c r="A692" s="14"/>
      <c r="B692" s="9"/>
      <c r="C692" s="9"/>
      <c r="D692" s="9"/>
      <c r="E692" s="9"/>
      <c r="F692" s="9"/>
      <c r="G692" s="9"/>
      <c r="H692" s="9"/>
      <c r="I692" s="9"/>
      <c r="J692" s="9"/>
      <c r="K692" s="357"/>
      <c r="L692" s="9"/>
      <c r="M692" s="9"/>
      <c r="N692" s="9"/>
      <c r="O692" s="9"/>
      <c r="P692" s="9"/>
      <c r="Q692" s="9"/>
      <c r="R692" s="14"/>
      <c r="S692" s="14"/>
    </row>
    <row r="693" spans="1:19" ht="14.25">
      <c r="A693" s="14"/>
      <c r="B693" s="9"/>
      <c r="C693" s="9"/>
      <c r="D693" s="9"/>
      <c r="E693" s="9"/>
      <c r="F693" s="9"/>
      <c r="G693" s="9"/>
      <c r="H693" s="9"/>
      <c r="I693" s="9"/>
      <c r="J693" s="9"/>
      <c r="K693" s="357"/>
      <c r="L693" s="9"/>
      <c r="M693" s="9"/>
      <c r="N693" s="9"/>
      <c r="O693" s="9"/>
      <c r="P693" s="9"/>
      <c r="Q693" s="9"/>
      <c r="R693" s="14"/>
      <c r="S693" s="14"/>
    </row>
    <row r="694" spans="1:19" ht="14.25">
      <c r="A694" s="14"/>
      <c r="B694" s="9"/>
      <c r="C694" s="9"/>
      <c r="D694" s="9"/>
      <c r="E694" s="9"/>
      <c r="F694" s="9"/>
      <c r="G694" s="9"/>
      <c r="H694" s="9"/>
      <c r="I694" s="9"/>
      <c r="J694" s="9"/>
      <c r="K694" s="357"/>
      <c r="L694" s="9"/>
      <c r="M694" s="9"/>
      <c r="N694" s="9"/>
      <c r="O694" s="9"/>
      <c r="P694" s="9"/>
      <c r="Q694" s="9"/>
      <c r="R694" s="14"/>
      <c r="S694" s="14"/>
    </row>
    <row r="695" spans="1:19" ht="14.25">
      <c r="A695" s="14"/>
      <c r="B695" s="9"/>
      <c r="C695" s="9"/>
      <c r="D695" s="9"/>
      <c r="E695" s="9"/>
      <c r="F695" s="9"/>
      <c r="G695" s="9"/>
      <c r="H695" s="9"/>
      <c r="I695" s="9"/>
      <c r="J695" s="9"/>
      <c r="K695" s="357"/>
      <c r="L695" s="9"/>
      <c r="M695" s="9"/>
      <c r="N695" s="9"/>
      <c r="O695" s="9"/>
      <c r="P695" s="9"/>
      <c r="Q695" s="9"/>
      <c r="R695" s="14"/>
      <c r="S695" s="14"/>
    </row>
    <row r="696" spans="1:19" ht="14.25">
      <c r="A696" s="14"/>
      <c r="B696" s="9"/>
      <c r="C696" s="9"/>
      <c r="D696" s="9"/>
      <c r="E696" s="9"/>
      <c r="F696" s="9"/>
      <c r="G696" s="9"/>
      <c r="H696" s="9"/>
      <c r="I696" s="9"/>
      <c r="J696" s="9"/>
      <c r="K696" s="357"/>
      <c r="L696" s="9"/>
      <c r="M696" s="9"/>
      <c r="N696" s="9"/>
      <c r="O696" s="9"/>
      <c r="P696" s="9"/>
      <c r="Q696" s="9"/>
      <c r="R696" s="14"/>
      <c r="S696" s="14"/>
    </row>
    <row r="697" spans="1:19" ht="14.25">
      <c r="A697" s="14"/>
      <c r="B697" s="9"/>
      <c r="C697" s="9"/>
      <c r="D697" s="9"/>
      <c r="E697" s="9"/>
      <c r="F697" s="9"/>
      <c r="G697" s="9"/>
      <c r="H697" s="9"/>
      <c r="I697" s="9"/>
      <c r="J697" s="9"/>
      <c r="K697" s="357"/>
      <c r="L697" s="9"/>
      <c r="M697" s="9"/>
      <c r="N697" s="9"/>
      <c r="O697" s="9"/>
      <c r="P697" s="9"/>
      <c r="Q697" s="9"/>
      <c r="R697" s="14"/>
      <c r="S697" s="14"/>
    </row>
    <row r="698" spans="1:19" ht="14.25">
      <c r="A698" s="14"/>
      <c r="B698" s="9"/>
      <c r="C698" s="9"/>
      <c r="D698" s="9"/>
      <c r="E698" s="9"/>
      <c r="F698" s="9"/>
      <c r="G698" s="9"/>
      <c r="H698" s="9"/>
      <c r="I698" s="9"/>
      <c r="J698" s="9"/>
      <c r="K698" s="357"/>
      <c r="L698" s="9"/>
      <c r="M698" s="9"/>
      <c r="N698" s="9"/>
      <c r="O698" s="9"/>
      <c r="P698" s="9"/>
      <c r="Q698" s="9"/>
      <c r="R698" s="14"/>
      <c r="S698" s="14"/>
    </row>
    <row r="699" spans="1:19" ht="14.25">
      <c r="A699" s="14"/>
      <c r="B699" s="9"/>
      <c r="C699" s="9"/>
      <c r="D699" s="9"/>
      <c r="E699" s="9"/>
      <c r="F699" s="9"/>
      <c r="G699" s="9"/>
      <c r="H699" s="9"/>
      <c r="I699" s="9"/>
      <c r="J699" s="9"/>
      <c r="K699" s="357"/>
      <c r="L699" s="9"/>
      <c r="M699" s="9"/>
      <c r="N699" s="9"/>
      <c r="O699" s="9"/>
      <c r="P699" s="9"/>
      <c r="Q699" s="9"/>
      <c r="R699" s="14"/>
      <c r="S699" s="14"/>
    </row>
    <row r="700" spans="1:19" ht="14.25">
      <c r="A700" s="14"/>
      <c r="B700" s="9"/>
      <c r="C700" s="9"/>
      <c r="D700" s="9"/>
      <c r="E700" s="9"/>
      <c r="F700" s="9"/>
      <c r="G700" s="9"/>
      <c r="H700" s="9"/>
      <c r="I700" s="9"/>
      <c r="J700" s="9"/>
      <c r="K700" s="357"/>
      <c r="L700" s="9"/>
      <c r="M700" s="9"/>
      <c r="N700" s="9"/>
      <c r="O700" s="9"/>
      <c r="P700" s="9"/>
      <c r="Q700" s="9"/>
      <c r="R700" s="14"/>
      <c r="S700" s="14"/>
    </row>
    <row r="701" spans="1:19" ht="14.25">
      <c r="A701" s="14"/>
      <c r="B701" s="9"/>
      <c r="C701" s="9"/>
      <c r="D701" s="9"/>
      <c r="E701" s="9"/>
      <c r="F701" s="9"/>
      <c r="G701" s="9"/>
      <c r="H701" s="9"/>
      <c r="I701" s="9"/>
      <c r="J701" s="9"/>
      <c r="K701" s="357"/>
      <c r="L701" s="9"/>
      <c r="M701" s="9"/>
      <c r="N701" s="9"/>
      <c r="O701" s="9"/>
      <c r="P701" s="9"/>
      <c r="Q701" s="9"/>
      <c r="R701" s="14"/>
      <c r="S701" s="14"/>
    </row>
    <row r="702" spans="1:19" ht="14.25">
      <c r="A702" s="14"/>
      <c r="B702" s="9"/>
      <c r="C702" s="9"/>
      <c r="D702" s="9"/>
      <c r="E702" s="9"/>
      <c r="F702" s="9"/>
      <c r="G702" s="9"/>
      <c r="H702" s="9"/>
      <c r="I702" s="9"/>
      <c r="J702" s="9"/>
      <c r="K702" s="357"/>
      <c r="L702" s="9"/>
      <c r="M702" s="9"/>
      <c r="N702" s="9"/>
      <c r="O702" s="9"/>
      <c r="P702" s="9"/>
      <c r="Q702" s="9"/>
      <c r="R702" s="14"/>
      <c r="S702" s="14"/>
    </row>
    <row r="703" spans="1:19" ht="14.25">
      <c r="A703" s="14"/>
      <c r="B703" s="9"/>
      <c r="C703" s="9"/>
      <c r="D703" s="9"/>
      <c r="E703" s="9"/>
      <c r="F703" s="9"/>
      <c r="G703" s="9"/>
      <c r="H703" s="9"/>
      <c r="I703" s="9"/>
      <c r="J703" s="9"/>
      <c r="K703" s="357"/>
      <c r="L703" s="9"/>
      <c r="M703" s="9"/>
      <c r="N703" s="9"/>
      <c r="O703" s="9"/>
      <c r="P703" s="9"/>
      <c r="Q703" s="9"/>
      <c r="R703" s="14"/>
      <c r="S703" s="14"/>
    </row>
    <row r="704" spans="1:19" ht="14.25">
      <c r="A704" s="14"/>
      <c r="B704" s="9"/>
      <c r="C704" s="9"/>
      <c r="D704" s="9"/>
      <c r="E704" s="9"/>
      <c r="F704" s="9"/>
      <c r="G704" s="9"/>
      <c r="H704" s="9"/>
      <c r="I704" s="9"/>
      <c r="J704" s="9"/>
      <c r="K704" s="357"/>
      <c r="L704" s="9"/>
      <c r="M704" s="9"/>
      <c r="N704" s="9"/>
      <c r="O704" s="9"/>
      <c r="P704" s="9"/>
      <c r="Q704" s="9"/>
      <c r="R704" s="14"/>
      <c r="S704" s="14"/>
    </row>
    <row r="705" spans="1:19" ht="14.25">
      <c r="A705" s="14"/>
      <c r="B705" s="9"/>
      <c r="C705" s="9"/>
      <c r="D705" s="9"/>
      <c r="E705" s="9"/>
      <c r="F705" s="9"/>
      <c r="G705" s="9"/>
      <c r="H705" s="9"/>
      <c r="I705" s="9"/>
      <c r="J705" s="9"/>
      <c r="K705" s="357"/>
      <c r="L705" s="9"/>
      <c r="M705" s="9"/>
      <c r="N705" s="9"/>
      <c r="O705" s="9"/>
      <c r="P705" s="9"/>
      <c r="Q705" s="9"/>
      <c r="R705" s="14"/>
      <c r="S705" s="14"/>
    </row>
    <row r="706" spans="1:19" ht="14.25">
      <c r="A706" s="14"/>
      <c r="B706" s="9"/>
      <c r="C706" s="9"/>
      <c r="D706" s="9"/>
      <c r="E706" s="9"/>
      <c r="F706" s="9"/>
      <c r="G706" s="9"/>
      <c r="H706" s="9"/>
      <c r="I706" s="9"/>
      <c r="J706" s="9"/>
      <c r="K706" s="357"/>
      <c r="L706" s="9"/>
      <c r="M706" s="9"/>
      <c r="N706" s="9"/>
      <c r="O706" s="9"/>
      <c r="P706" s="9"/>
      <c r="Q706" s="9"/>
      <c r="R706" s="14"/>
      <c r="S706" s="14"/>
    </row>
    <row r="707" spans="1:19" ht="14.25">
      <c r="A707" s="14"/>
      <c r="B707" s="9"/>
      <c r="C707" s="9"/>
      <c r="D707" s="9"/>
      <c r="E707" s="9"/>
      <c r="F707" s="9"/>
      <c r="G707" s="9"/>
      <c r="H707" s="9"/>
      <c r="I707" s="9"/>
      <c r="J707" s="9"/>
      <c r="K707" s="357"/>
      <c r="L707" s="9"/>
      <c r="M707" s="9"/>
      <c r="N707" s="9"/>
      <c r="O707" s="9"/>
      <c r="P707" s="9"/>
      <c r="Q707" s="9"/>
      <c r="R707" s="14"/>
      <c r="S707" s="14"/>
    </row>
    <row r="708" spans="1:19" ht="14.25">
      <c r="A708" s="14"/>
      <c r="B708" s="9"/>
      <c r="C708" s="9"/>
      <c r="D708" s="9"/>
      <c r="E708" s="9"/>
      <c r="F708" s="9"/>
      <c r="G708" s="9"/>
      <c r="H708" s="9"/>
      <c r="I708" s="9"/>
      <c r="J708" s="9"/>
      <c r="K708" s="357"/>
      <c r="L708" s="9"/>
      <c r="M708" s="9"/>
      <c r="N708" s="9"/>
      <c r="O708" s="9"/>
      <c r="P708" s="9"/>
      <c r="Q708" s="9"/>
      <c r="R708" s="14"/>
      <c r="S708" s="14"/>
    </row>
    <row r="709" spans="1:19" ht="14.25">
      <c r="A709" s="14"/>
      <c r="B709" s="9"/>
      <c r="C709" s="9"/>
      <c r="D709" s="9"/>
      <c r="E709" s="9"/>
      <c r="F709" s="9"/>
      <c r="G709" s="9"/>
      <c r="H709" s="9"/>
      <c r="I709" s="9"/>
      <c r="J709" s="9"/>
      <c r="K709" s="357"/>
      <c r="L709" s="9"/>
      <c r="M709" s="9"/>
      <c r="N709" s="9"/>
      <c r="O709" s="9"/>
      <c r="P709" s="9"/>
      <c r="Q709" s="9"/>
      <c r="R709" s="14"/>
      <c r="S709" s="14"/>
    </row>
    <row r="710" spans="1:19" ht="14.25">
      <c r="A710" s="14"/>
      <c r="B710" s="9"/>
      <c r="C710" s="9"/>
      <c r="D710" s="9"/>
      <c r="E710" s="9"/>
      <c r="F710" s="9"/>
      <c r="G710" s="9"/>
      <c r="H710" s="9"/>
      <c r="I710" s="9"/>
      <c r="J710" s="9"/>
      <c r="K710" s="357"/>
      <c r="L710" s="9"/>
      <c r="M710" s="9"/>
      <c r="N710" s="9"/>
      <c r="O710" s="9"/>
      <c r="P710" s="9"/>
      <c r="Q710" s="9"/>
      <c r="R710" s="14"/>
      <c r="S710" s="14"/>
    </row>
    <row r="711" spans="1:19" ht="14.25">
      <c r="A711" s="14"/>
      <c r="B711" s="9"/>
      <c r="C711" s="9"/>
      <c r="D711" s="9"/>
      <c r="E711" s="9"/>
      <c r="F711" s="9"/>
      <c r="G711" s="9"/>
      <c r="H711" s="9"/>
      <c r="I711" s="9"/>
      <c r="J711" s="9"/>
      <c r="K711" s="357"/>
      <c r="L711" s="9"/>
      <c r="M711" s="9"/>
      <c r="N711" s="9"/>
      <c r="O711" s="9"/>
      <c r="P711" s="9"/>
      <c r="Q711" s="9"/>
      <c r="R711" s="14"/>
      <c r="S711" s="14"/>
    </row>
    <row r="712" spans="1:19" ht="14.25">
      <c r="A712" s="14"/>
      <c r="B712" s="9"/>
      <c r="C712" s="9"/>
      <c r="D712" s="9"/>
      <c r="E712" s="9"/>
      <c r="F712" s="9"/>
      <c r="G712" s="9"/>
      <c r="H712" s="9"/>
      <c r="I712" s="9"/>
      <c r="J712" s="9"/>
      <c r="K712" s="357"/>
      <c r="L712" s="9"/>
      <c r="M712" s="9"/>
      <c r="N712" s="9"/>
      <c r="O712" s="9"/>
      <c r="P712" s="9"/>
      <c r="Q712" s="9"/>
      <c r="R712" s="14"/>
      <c r="S712" s="14"/>
    </row>
    <row r="713" spans="1:19" ht="14.25">
      <c r="A713" s="14"/>
      <c r="B713" s="9"/>
      <c r="C713" s="9"/>
      <c r="D713" s="9"/>
      <c r="E713" s="9"/>
      <c r="F713" s="9"/>
      <c r="G713" s="9"/>
      <c r="H713" s="9"/>
      <c r="I713" s="9"/>
      <c r="J713" s="9"/>
      <c r="K713" s="357"/>
      <c r="L713" s="9"/>
      <c r="M713" s="9"/>
      <c r="N713" s="9"/>
      <c r="O713" s="9"/>
      <c r="P713" s="9"/>
      <c r="Q713" s="9"/>
      <c r="R713" s="14"/>
      <c r="S713" s="14"/>
    </row>
    <row r="714" spans="1:19" ht="14.25">
      <c r="A714" s="14"/>
      <c r="B714" s="9"/>
      <c r="C714" s="9"/>
      <c r="D714" s="9"/>
      <c r="E714" s="9"/>
      <c r="F714" s="9"/>
      <c r="G714" s="9"/>
      <c r="H714" s="9"/>
      <c r="I714" s="9"/>
      <c r="J714" s="9"/>
      <c r="K714" s="357"/>
      <c r="L714" s="9"/>
      <c r="M714" s="9"/>
      <c r="N714" s="9"/>
      <c r="O714" s="9"/>
      <c r="P714" s="9"/>
      <c r="Q714" s="9"/>
      <c r="R714" s="14"/>
      <c r="S714" s="14"/>
    </row>
    <row r="715" spans="1:19" ht="14.25">
      <c r="A715" s="14"/>
      <c r="B715" s="9"/>
      <c r="C715" s="9"/>
      <c r="D715" s="9"/>
      <c r="E715" s="9"/>
      <c r="F715" s="9"/>
      <c r="G715" s="9"/>
      <c r="H715" s="9"/>
      <c r="I715" s="9"/>
      <c r="J715" s="9"/>
      <c r="K715" s="357"/>
      <c r="L715" s="9"/>
      <c r="M715" s="9"/>
      <c r="N715" s="9"/>
      <c r="O715" s="9"/>
      <c r="P715" s="9"/>
      <c r="Q715" s="9"/>
      <c r="R715" s="14"/>
      <c r="S715" s="14"/>
    </row>
    <row r="716" spans="1:19" ht="14.25">
      <c r="A716" s="14"/>
      <c r="B716" s="9"/>
      <c r="C716" s="9"/>
      <c r="D716" s="9"/>
      <c r="E716" s="9"/>
      <c r="F716" s="9"/>
      <c r="G716" s="9"/>
      <c r="H716" s="9"/>
      <c r="I716" s="9"/>
      <c r="J716" s="9"/>
      <c r="K716" s="357"/>
      <c r="L716" s="9"/>
      <c r="M716" s="9"/>
      <c r="N716" s="9"/>
      <c r="O716" s="9"/>
      <c r="P716" s="9"/>
      <c r="Q716" s="9"/>
      <c r="R716" s="14"/>
      <c r="S716" s="14"/>
    </row>
    <row r="717" spans="1:19" ht="14.25">
      <c r="A717" s="14"/>
      <c r="B717" s="9"/>
      <c r="C717" s="9"/>
      <c r="D717" s="9"/>
      <c r="E717" s="9"/>
      <c r="F717" s="9"/>
      <c r="G717" s="9"/>
      <c r="H717" s="9"/>
      <c r="I717" s="9"/>
      <c r="J717" s="9"/>
      <c r="K717" s="357"/>
      <c r="L717" s="9"/>
      <c r="M717" s="9"/>
      <c r="N717" s="9"/>
      <c r="O717" s="9"/>
      <c r="P717" s="9"/>
      <c r="Q717" s="9"/>
      <c r="R717" s="14"/>
      <c r="S717" s="14"/>
    </row>
    <row r="718" spans="1:19" ht="14.25">
      <c r="A718" s="14"/>
      <c r="B718" s="9"/>
      <c r="C718" s="9"/>
      <c r="D718" s="9"/>
      <c r="E718" s="9"/>
      <c r="F718" s="9"/>
      <c r="G718" s="9"/>
      <c r="H718" s="9"/>
      <c r="I718" s="9"/>
      <c r="J718" s="9"/>
      <c r="K718" s="357"/>
      <c r="L718" s="9"/>
      <c r="M718" s="9"/>
      <c r="N718" s="9"/>
      <c r="O718" s="9"/>
      <c r="P718" s="9"/>
      <c r="Q718" s="9"/>
      <c r="R718" s="14"/>
      <c r="S718" s="14"/>
    </row>
    <row r="719" spans="1:19" ht="14.25">
      <c r="A719" s="14"/>
      <c r="B719" s="9"/>
      <c r="C719" s="9"/>
      <c r="D719" s="9"/>
      <c r="E719" s="9"/>
      <c r="F719" s="9"/>
      <c r="G719" s="9"/>
      <c r="H719" s="9"/>
      <c r="I719" s="9"/>
      <c r="J719" s="9"/>
      <c r="K719" s="357"/>
      <c r="L719" s="9"/>
      <c r="M719" s="9"/>
      <c r="N719" s="9"/>
      <c r="O719" s="9"/>
      <c r="P719" s="9"/>
      <c r="Q719" s="9"/>
      <c r="R719" s="14"/>
      <c r="S719" s="14"/>
    </row>
    <row r="720" spans="1:19" ht="14.25">
      <c r="A720" s="14"/>
      <c r="B720" s="9"/>
      <c r="C720" s="9"/>
      <c r="D720" s="9"/>
      <c r="E720" s="9"/>
      <c r="F720" s="9"/>
      <c r="G720" s="9"/>
      <c r="H720" s="9"/>
      <c r="I720" s="9"/>
      <c r="J720" s="9"/>
      <c r="K720" s="357"/>
      <c r="L720" s="9"/>
      <c r="M720" s="9"/>
      <c r="N720" s="9"/>
      <c r="O720" s="9"/>
      <c r="P720" s="9"/>
      <c r="Q720" s="9"/>
      <c r="R720" s="14"/>
      <c r="S720" s="14"/>
    </row>
    <row r="721" spans="1:19" ht="14.25">
      <c r="A721" s="14"/>
      <c r="B721" s="9"/>
      <c r="C721" s="9"/>
      <c r="D721" s="9"/>
      <c r="E721" s="9"/>
      <c r="F721" s="9"/>
      <c r="G721" s="9"/>
      <c r="H721" s="9"/>
      <c r="I721" s="9"/>
      <c r="J721" s="9"/>
      <c r="K721" s="357"/>
      <c r="L721" s="9"/>
      <c r="M721" s="9"/>
      <c r="N721" s="9"/>
      <c r="O721" s="9"/>
      <c r="P721" s="9"/>
      <c r="Q721" s="9"/>
      <c r="R721" s="14"/>
      <c r="S721" s="14"/>
    </row>
    <row r="722" spans="1:19" ht="14.25">
      <c r="A722" s="14"/>
      <c r="B722" s="9"/>
      <c r="C722" s="9"/>
      <c r="D722" s="9"/>
      <c r="E722" s="9"/>
      <c r="F722" s="9"/>
      <c r="G722" s="9"/>
      <c r="H722" s="9"/>
      <c r="I722" s="9"/>
      <c r="J722" s="9"/>
      <c r="K722" s="357"/>
      <c r="L722" s="9"/>
      <c r="M722" s="9"/>
      <c r="N722" s="9"/>
      <c r="O722" s="9"/>
      <c r="P722" s="9"/>
      <c r="Q722" s="9"/>
      <c r="R722" s="14"/>
      <c r="S722" s="14"/>
    </row>
    <row r="723" spans="1:19" ht="14.25">
      <c r="A723" s="14"/>
      <c r="B723" s="9"/>
      <c r="C723" s="9"/>
      <c r="D723" s="9"/>
      <c r="E723" s="9"/>
      <c r="F723" s="9"/>
      <c r="G723" s="9"/>
      <c r="H723" s="9"/>
      <c r="I723" s="9"/>
      <c r="J723" s="9"/>
      <c r="K723" s="357"/>
      <c r="L723" s="9"/>
      <c r="M723" s="9"/>
      <c r="N723" s="9"/>
      <c r="O723" s="9"/>
      <c r="P723" s="9"/>
      <c r="Q723" s="9"/>
      <c r="R723" s="14"/>
      <c r="S723" s="14"/>
    </row>
    <row r="724" spans="1:19" ht="14.25">
      <c r="A724" s="14"/>
      <c r="B724" s="9"/>
      <c r="C724" s="9"/>
      <c r="D724" s="9"/>
      <c r="E724" s="9"/>
      <c r="F724" s="9"/>
      <c r="G724" s="9"/>
      <c r="H724" s="9"/>
      <c r="I724" s="9"/>
      <c r="J724" s="9"/>
      <c r="K724" s="357"/>
      <c r="L724" s="9"/>
      <c r="M724" s="9"/>
      <c r="N724" s="9"/>
      <c r="O724" s="9"/>
      <c r="P724" s="9"/>
      <c r="Q724" s="9"/>
      <c r="R724" s="14"/>
      <c r="S724" s="14"/>
    </row>
    <row r="725" spans="1:19" ht="14.25">
      <c r="A725" s="14"/>
      <c r="B725" s="9"/>
      <c r="C725" s="9"/>
      <c r="D725" s="9"/>
      <c r="E725" s="9"/>
      <c r="F725" s="9"/>
      <c r="G725" s="9"/>
      <c r="H725" s="9"/>
      <c r="I725" s="9"/>
      <c r="J725" s="9"/>
      <c r="K725" s="357"/>
      <c r="L725" s="9"/>
      <c r="M725" s="9"/>
      <c r="N725" s="9"/>
      <c r="O725" s="9"/>
      <c r="P725" s="9"/>
      <c r="Q725" s="9"/>
      <c r="R725" s="14"/>
      <c r="S725" s="14"/>
    </row>
    <row r="726" spans="1:19" ht="14.25">
      <c r="A726" s="14"/>
      <c r="B726" s="9"/>
      <c r="C726" s="9"/>
      <c r="D726" s="9"/>
      <c r="E726" s="9"/>
      <c r="F726" s="9"/>
      <c r="G726" s="9"/>
      <c r="H726" s="9"/>
      <c r="I726" s="9"/>
      <c r="J726" s="9"/>
      <c r="K726" s="357"/>
      <c r="L726" s="9"/>
      <c r="M726" s="9"/>
      <c r="N726" s="9"/>
      <c r="O726" s="9"/>
      <c r="P726" s="9"/>
      <c r="Q726" s="9"/>
      <c r="R726" s="14"/>
      <c r="S726" s="14"/>
    </row>
    <row r="727" spans="1:19" ht="14.25">
      <c r="A727" s="14"/>
      <c r="B727" s="9"/>
      <c r="C727" s="9"/>
      <c r="D727" s="9"/>
      <c r="E727" s="9"/>
      <c r="F727" s="9"/>
      <c r="G727" s="9"/>
      <c r="H727" s="9"/>
      <c r="I727" s="9"/>
      <c r="J727" s="9"/>
      <c r="K727" s="357"/>
      <c r="L727" s="9"/>
      <c r="M727" s="9"/>
      <c r="N727" s="9"/>
      <c r="O727" s="9"/>
      <c r="P727" s="9"/>
      <c r="Q727" s="9"/>
      <c r="R727" s="14"/>
      <c r="S727" s="14"/>
    </row>
    <row r="728" spans="1:19" ht="14.25">
      <c r="A728" s="14"/>
      <c r="B728" s="9"/>
      <c r="C728" s="9"/>
      <c r="D728" s="9"/>
      <c r="E728" s="9"/>
      <c r="F728" s="9"/>
      <c r="G728" s="9"/>
      <c r="H728" s="9"/>
      <c r="I728" s="9"/>
      <c r="J728" s="9"/>
      <c r="K728" s="357"/>
      <c r="L728" s="9"/>
      <c r="M728" s="9"/>
      <c r="N728" s="9"/>
      <c r="O728" s="9"/>
      <c r="P728" s="9"/>
      <c r="Q728" s="9"/>
      <c r="R728" s="14"/>
      <c r="S728" s="14"/>
    </row>
    <row r="729" spans="1:19" ht="14.25">
      <c r="A729" s="14"/>
      <c r="B729" s="9"/>
      <c r="C729" s="9"/>
      <c r="D729" s="9"/>
      <c r="E729" s="9"/>
      <c r="F729" s="9"/>
      <c r="G729" s="9"/>
      <c r="H729" s="9"/>
      <c r="I729" s="9"/>
      <c r="J729" s="9"/>
      <c r="K729" s="357"/>
      <c r="L729" s="9"/>
      <c r="M729" s="9"/>
      <c r="N729" s="9"/>
      <c r="O729" s="9"/>
      <c r="P729" s="9"/>
      <c r="Q729" s="9"/>
      <c r="R729" s="14"/>
      <c r="S729" s="14"/>
    </row>
    <row r="730" spans="1:19" ht="14.25">
      <c r="A730" s="14"/>
      <c r="B730" s="9"/>
      <c r="C730" s="9"/>
      <c r="D730" s="9"/>
      <c r="E730" s="9"/>
      <c r="F730" s="9"/>
      <c r="G730" s="9"/>
      <c r="H730" s="9"/>
      <c r="I730" s="9"/>
      <c r="J730" s="9"/>
      <c r="K730" s="357"/>
      <c r="L730" s="9"/>
      <c r="M730" s="9"/>
      <c r="N730" s="9"/>
      <c r="O730" s="9"/>
      <c r="P730" s="9"/>
      <c r="Q730" s="9"/>
      <c r="R730" s="14"/>
      <c r="S730" s="14"/>
    </row>
    <row r="731" spans="1:19" ht="14.25">
      <c r="A731" s="14"/>
      <c r="B731" s="9"/>
      <c r="C731" s="9"/>
      <c r="D731" s="9"/>
      <c r="E731" s="9"/>
      <c r="F731" s="9"/>
      <c r="G731" s="9"/>
      <c r="H731" s="9"/>
      <c r="I731" s="9"/>
      <c r="J731" s="9"/>
      <c r="K731" s="357"/>
      <c r="L731" s="9"/>
      <c r="M731" s="9"/>
      <c r="N731" s="9"/>
      <c r="O731" s="9"/>
      <c r="P731" s="9"/>
      <c r="Q731" s="9"/>
      <c r="R731" s="14"/>
      <c r="S731" s="14"/>
    </row>
    <row r="732" spans="1:19" ht="14.25">
      <c r="A732" s="14"/>
      <c r="B732" s="9"/>
      <c r="C732" s="9"/>
      <c r="D732" s="9"/>
      <c r="E732" s="9"/>
      <c r="F732" s="9"/>
      <c r="G732" s="9"/>
      <c r="H732" s="9"/>
      <c r="I732" s="9"/>
      <c r="J732" s="9"/>
      <c r="K732" s="357"/>
      <c r="L732" s="9"/>
      <c r="M732" s="9"/>
      <c r="N732" s="9"/>
      <c r="O732" s="9"/>
      <c r="P732" s="9"/>
      <c r="Q732" s="9"/>
      <c r="R732" s="14"/>
      <c r="S732" s="14"/>
    </row>
    <row r="733" spans="1:19" ht="14.25">
      <c r="A733" s="14"/>
      <c r="B733" s="9"/>
      <c r="C733" s="9"/>
      <c r="D733" s="9"/>
      <c r="E733" s="9"/>
      <c r="F733" s="9"/>
      <c r="G733" s="9"/>
      <c r="H733" s="9"/>
      <c r="I733" s="9"/>
      <c r="J733" s="9"/>
      <c r="K733" s="357"/>
      <c r="L733" s="9"/>
      <c r="M733" s="9"/>
      <c r="N733" s="9"/>
      <c r="O733" s="9"/>
      <c r="P733" s="9"/>
      <c r="Q733" s="9"/>
      <c r="R733" s="14"/>
      <c r="S733" s="14"/>
    </row>
    <row r="734" spans="1:19" ht="14.25">
      <c r="A734" s="14"/>
      <c r="B734" s="9"/>
      <c r="C734" s="9"/>
      <c r="D734" s="9"/>
      <c r="E734" s="9"/>
      <c r="F734" s="9"/>
      <c r="G734" s="9"/>
      <c r="H734" s="9"/>
      <c r="I734" s="9"/>
      <c r="J734" s="9"/>
      <c r="K734" s="357"/>
      <c r="L734" s="9"/>
      <c r="M734" s="9"/>
      <c r="N734" s="9"/>
      <c r="O734" s="9"/>
      <c r="P734" s="9"/>
      <c r="Q734" s="9"/>
      <c r="R734" s="14"/>
      <c r="S734" s="14"/>
    </row>
    <row r="735" spans="1:19" ht="14.25">
      <c r="A735" s="14"/>
      <c r="B735" s="9"/>
      <c r="C735" s="9"/>
      <c r="D735" s="9"/>
      <c r="E735" s="9"/>
      <c r="F735" s="9"/>
      <c r="G735" s="9"/>
      <c r="H735" s="9"/>
      <c r="I735" s="9"/>
      <c r="J735" s="9"/>
      <c r="K735" s="357"/>
      <c r="L735" s="9"/>
      <c r="M735" s="9"/>
      <c r="N735" s="9"/>
      <c r="O735" s="9"/>
      <c r="P735" s="9"/>
      <c r="Q735" s="9"/>
      <c r="R735" s="14"/>
      <c r="S735" s="14"/>
    </row>
    <row r="736" spans="1:19" ht="14.25">
      <c r="A736" s="14"/>
      <c r="B736" s="9"/>
      <c r="C736" s="9"/>
      <c r="D736" s="9"/>
      <c r="E736" s="9"/>
      <c r="F736" s="9"/>
      <c r="G736" s="9"/>
      <c r="H736" s="9"/>
      <c r="I736" s="9"/>
      <c r="J736" s="9"/>
      <c r="K736" s="357"/>
      <c r="L736" s="9"/>
      <c r="M736" s="9"/>
      <c r="N736" s="9"/>
      <c r="O736" s="9"/>
      <c r="P736" s="9"/>
      <c r="Q736" s="9"/>
      <c r="R736" s="14"/>
      <c r="S736" s="14"/>
    </row>
    <row r="737" spans="1:19" ht="14.25">
      <c r="A737" s="14"/>
      <c r="B737" s="9"/>
      <c r="C737" s="9"/>
      <c r="D737" s="9"/>
      <c r="E737" s="9"/>
      <c r="F737" s="9"/>
      <c r="G737" s="9"/>
      <c r="H737" s="9"/>
      <c r="I737" s="9"/>
      <c r="J737" s="9"/>
      <c r="K737" s="357"/>
      <c r="L737" s="9"/>
      <c r="M737" s="9"/>
      <c r="N737" s="9"/>
      <c r="O737" s="9"/>
      <c r="P737" s="9"/>
      <c r="Q737" s="9"/>
      <c r="R737" s="14"/>
      <c r="S737" s="14"/>
    </row>
    <row r="738" spans="1:19" ht="14.25">
      <c r="A738" s="14"/>
      <c r="B738" s="9"/>
      <c r="C738" s="9"/>
      <c r="D738" s="9"/>
      <c r="E738" s="9"/>
      <c r="F738" s="9"/>
      <c r="G738" s="9"/>
      <c r="H738" s="9"/>
      <c r="I738" s="9"/>
      <c r="J738" s="9"/>
      <c r="K738" s="357"/>
      <c r="L738" s="9"/>
      <c r="M738" s="9"/>
      <c r="N738" s="9"/>
      <c r="O738" s="9"/>
      <c r="P738" s="9"/>
      <c r="Q738" s="9"/>
      <c r="R738" s="14"/>
      <c r="S738" s="14"/>
    </row>
    <row r="739" spans="1:19" ht="14.25">
      <c r="A739" s="14"/>
      <c r="B739" s="9"/>
      <c r="C739" s="9"/>
      <c r="D739" s="9"/>
      <c r="E739" s="9"/>
      <c r="F739" s="9"/>
      <c r="G739" s="9"/>
      <c r="H739" s="9"/>
      <c r="I739" s="9"/>
      <c r="J739" s="9"/>
      <c r="K739" s="357"/>
      <c r="L739" s="9"/>
      <c r="M739" s="9"/>
      <c r="N739" s="9"/>
      <c r="O739" s="9"/>
      <c r="P739" s="9"/>
      <c r="Q739" s="9"/>
      <c r="R739" s="14"/>
      <c r="S739" s="14"/>
    </row>
    <row r="740" spans="1:19" ht="14.25">
      <c r="A740" s="14"/>
      <c r="B740" s="9"/>
      <c r="C740" s="9"/>
      <c r="D740" s="9"/>
      <c r="E740" s="9"/>
      <c r="F740" s="9"/>
      <c r="G740" s="9"/>
      <c r="H740" s="9"/>
      <c r="I740" s="9"/>
      <c r="J740" s="9"/>
      <c r="K740" s="357"/>
      <c r="L740" s="9"/>
      <c r="M740" s="9"/>
      <c r="N740" s="9"/>
      <c r="O740" s="9"/>
      <c r="P740" s="9"/>
      <c r="Q740" s="9"/>
      <c r="R740" s="14"/>
      <c r="S740" s="14"/>
    </row>
    <row r="741" spans="1:19" ht="14.25">
      <c r="A741" s="14"/>
      <c r="B741" s="9"/>
      <c r="C741" s="9"/>
      <c r="D741" s="9"/>
      <c r="E741" s="9"/>
      <c r="F741" s="9"/>
      <c r="G741" s="9"/>
      <c r="H741" s="9"/>
      <c r="I741" s="9"/>
      <c r="J741" s="9"/>
      <c r="K741" s="357"/>
      <c r="L741" s="9"/>
      <c r="M741" s="9"/>
      <c r="N741" s="9"/>
      <c r="O741" s="9"/>
      <c r="P741" s="9"/>
      <c r="Q741" s="9"/>
      <c r="R741" s="14"/>
      <c r="S741" s="14"/>
    </row>
    <row r="742" spans="1:19" ht="14.25">
      <c r="A742" s="14"/>
      <c r="B742" s="9"/>
      <c r="C742" s="9"/>
      <c r="D742" s="9"/>
      <c r="E742" s="9"/>
      <c r="F742" s="9"/>
      <c r="G742" s="9"/>
      <c r="H742" s="9"/>
      <c r="I742" s="9"/>
      <c r="J742" s="9"/>
      <c r="K742" s="357"/>
      <c r="L742" s="9"/>
      <c r="M742" s="9"/>
      <c r="N742" s="9"/>
      <c r="O742" s="9"/>
      <c r="P742" s="9"/>
      <c r="Q742" s="9"/>
      <c r="R742" s="14"/>
      <c r="S742" s="14"/>
    </row>
    <row r="743" spans="1:19" ht="14.25">
      <c r="A743" s="14"/>
      <c r="B743" s="9"/>
      <c r="C743" s="9"/>
      <c r="D743" s="9"/>
      <c r="E743" s="9"/>
      <c r="F743" s="9"/>
      <c r="G743" s="9"/>
      <c r="H743" s="9"/>
      <c r="I743" s="9"/>
      <c r="J743" s="9"/>
      <c r="K743" s="357"/>
      <c r="L743" s="9"/>
      <c r="M743" s="9"/>
      <c r="N743" s="9"/>
      <c r="O743" s="9"/>
      <c r="P743" s="9"/>
      <c r="Q743" s="9"/>
      <c r="R743" s="14"/>
      <c r="S743" s="14"/>
    </row>
    <row r="744" spans="1:19" ht="14.25">
      <c r="A744" s="14"/>
      <c r="B744" s="9"/>
      <c r="C744" s="9"/>
      <c r="D744" s="9"/>
      <c r="E744" s="9"/>
      <c r="F744" s="9"/>
      <c r="G744" s="9"/>
      <c r="H744" s="9"/>
      <c r="I744" s="9"/>
      <c r="J744" s="9"/>
      <c r="K744" s="357"/>
      <c r="L744" s="9"/>
      <c r="M744" s="9"/>
      <c r="N744" s="9"/>
      <c r="O744" s="9"/>
      <c r="P744" s="9"/>
      <c r="Q744" s="9"/>
      <c r="R744" s="14"/>
      <c r="S744" s="14"/>
    </row>
    <row r="745" spans="1:19" ht="14.25">
      <c r="A745" s="14"/>
      <c r="B745" s="9"/>
      <c r="C745" s="9"/>
      <c r="D745" s="9"/>
      <c r="E745" s="9"/>
      <c r="F745" s="9"/>
      <c r="G745" s="9"/>
      <c r="H745" s="9"/>
      <c r="I745" s="9"/>
      <c r="J745" s="9"/>
      <c r="K745" s="357"/>
      <c r="L745" s="9"/>
      <c r="M745" s="9"/>
      <c r="N745" s="9"/>
      <c r="O745" s="9"/>
      <c r="P745" s="9"/>
      <c r="Q745" s="9"/>
      <c r="R745" s="14"/>
      <c r="S745" s="14"/>
    </row>
    <row r="746" spans="1:19" ht="14.25">
      <c r="A746" s="14"/>
      <c r="B746" s="9"/>
      <c r="C746" s="9"/>
      <c r="D746" s="9"/>
      <c r="E746" s="9"/>
      <c r="F746" s="9"/>
      <c r="G746" s="9"/>
      <c r="H746" s="9"/>
      <c r="I746" s="9"/>
      <c r="J746" s="9"/>
      <c r="K746" s="357"/>
      <c r="L746" s="9"/>
      <c r="M746" s="9"/>
      <c r="N746" s="9"/>
      <c r="O746" s="9"/>
      <c r="P746" s="9"/>
      <c r="Q746" s="9"/>
      <c r="R746" s="14"/>
      <c r="S746" s="14"/>
    </row>
    <row r="747" spans="1:19" ht="14.25">
      <c r="A747" s="14"/>
      <c r="B747" s="9"/>
      <c r="C747" s="9"/>
      <c r="D747" s="9"/>
      <c r="E747" s="9"/>
      <c r="F747" s="9"/>
      <c r="G747" s="9"/>
      <c r="H747" s="9"/>
      <c r="I747" s="9"/>
      <c r="J747" s="9"/>
      <c r="K747" s="357"/>
      <c r="L747" s="9"/>
      <c r="M747" s="9"/>
      <c r="N747" s="9"/>
      <c r="O747" s="9"/>
      <c r="P747" s="9"/>
      <c r="Q747" s="9"/>
      <c r="R747" s="14"/>
      <c r="S747" s="14"/>
    </row>
    <row r="748" spans="1:19" ht="14.25">
      <c r="A748" s="14"/>
      <c r="B748" s="9"/>
      <c r="C748" s="9"/>
      <c r="D748" s="9"/>
      <c r="E748" s="9"/>
      <c r="F748" s="9"/>
      <c r="G748" s="9"/>
      <c r="H748" s="9"/>
      <c r="I748" s="9"/>
      <c r="J748" s="9"/>
      <c r="K748" s="357"/>
      <c r="L748" s="9"/>
      <c r="M748" s="9"/>
      <c r="N748" s="9"/>
      <c r="O748" s="9"/>
      <c r="P748" s="9"/>
      <c r="Q748" s="9"/>
      <c r="R748" s="14"/>
      <c r="S748" s="14"/>
    </row>
    <row r="749" spans="1:19" ht="14.25">
      <c r="A749" s="14"/>
      <c r="B749" s="9"/>
      <c r="C749" s="9"/>
      <c r="D749" s="9"/>
      <c r="E749" s="9"/>
      <c r="F749" s="9"/>
      <c r="G749" s="9"/>
      <c r="H749" s="9"/>
      <c r="I749" s="9"/>
      <c r="J749" s="9"/>
      <c r="K749" s="357"/>
      <c r="L749" s="9"/>
      <c r="M749" s="9"/>
      <c r="N749" s="9"/>
      <c r="O749" s="9"/>
      <c r="P749" s="9"/>
      <c r="Q749" s="9"/>
      <c r="R749" s="14"/>
      <c r="S749" s="14"/>
    </row>
    <row r="750" spans="1:19" ht="14.25">
      <c r="A750" s="14"/>
      <c r="B750" s="9"/>
      <c r="C750" s="9"/>
      <c r="D750" s="9"/>
      <c r="E750" s="9"/>
      <c r="F750" s="9"/>
      <c r="G750" s="9"/>
      <c r="H750" s="9"/>
      <c r="I750" s="9"/>
      <c r="J750" s="9"/>
      <c r="K750" s="357"/>
      <c r="L750" s="9"/>
      <c r="M750" s="9"/>
      <c r="N750" s="9"/>
      <c r="O750" s="9"/>
      <c r="P750" s="9"/>
      <c r="Q750" s="9"/>
      <c r="R750" s="14"/>
      <c r="S750" s="14"/>
    </row>
    <row r="751" spans="1:19" ht="14.25">
      <c r="A751" s="14"/>
      <c r="B751" s="9"/>
      <c r="C751" s="9"/>
      <c r="D751" s="9"/>
      <c r="E751" s="9"/>
      <c r="F751" s="9"/>
      <c r="G751" s="9"/>
      <c r="H751" s="9"/>
      <c r="I751" s="9"/>
      <c r="J751" s="9"/>
      <c r="K751" s="357"/>
      <c r="L751" s="9"/>
      <c r="M751" s="9"/>
      <c r="N751" s="9"/>
      <c r="O751" s="9"/>
      <c r="P751" s="9"/>
      <c r="Q751" s="9"/>
      <c r="R751" s="14"/>
      <c r="S751" s="14"/>
    </row>
    <row r="752" spans="1:19" ht="14.25">
      <c r="A752" s="14"/>
      <c r="B752" s="9"/>
      <c r="C752" s="9"/>
      <c r="D752" s="9"/>
      <c r="E752" s="9"/>
      <c r="F752" s="9"/>
      <c r="G752" s="9"/>
      <c r="H752" s="9"/>
      <c r="I752" s="9"/>
      <c r="J752" s="9"/>
      <c r="K752" s="357"/>
      <c r="L752" s="9"/>
      <c r="M752" s="9"/>
      <c r="N752" s="9"/>
      <c r="O752" s="9"/>
      <c r="P752" s="9"/>
      <c r="Q752" s="9"/>
      <c r="R752" s="14"/>
      <c r="S752" s="14"/>
    </row>
    <row r="753" spans="1:19" ht="14.25">
      <c r="A753" s="14"/>
      <c r="B753" s="9"/>
      <c r="C753" s="9"/>
      <c r="D753" s="9"/>
      <c r="E753" s="9"/>
      <c r="F753" s="9"/>
      <c r="G753" s="9"/>
      <c r="H753" s="9"/>
      <c r="I753" s="9"/>
      <c r="J753" s="9"/>
      <c r="K753" s="357"/>
      <c r="L753" s="9"/>
      <c r="M753" s="9"/>
      <c r="N753" s="9"/>
      <c r="O753" s="9"/>
      <c r="P753" s="9"/>
      <c r="Q753" s="9"/>
      <c r="R753" s="14"/>
      <c r="S753" s="14"/>
    </row>
    <row r="754" spans="1:19" ht="14.25">
      <c r="A754" s="14"/>
      <c r="B754" s="9"/>
      <c r="C754" s="9"/>
      <c r="D754" s="9"/>
      <c r="E754" s="9"/>
      <c r="F754" s="9"/>
      <c r="G754" s="9"/>
      <c r="H754" s="9"/>
      <c r="I754" s="9"/>
      <c r="J754" s="9"/>
      <c r="K754" s="357"/>
      <c r="L754" s="9"/>
      <c r="M754" s="9"/>
      <c r="N754" s="9"/>
      <c r="O754" s="9"/>
      <c r="P754" s="9"/>
      <c r="Q754" s="9"/>
      <c r="R754" s="14"/>
      <c r="S754" s="14"/>
    </row>
    <row r="755" spans="1:19" ht="14.25">
      <c r="A755" s="14"/>
      <c r="B755" s="9"/>
      <c r="C755" s="9"/>
      <c r="D755" s="9"/>
      <c r="E755" s="9"/>
      <c r="F755" s="9"/>
      <c r="G755" s="9"/>
      <c r="H755" s="9"/>
      <c r="I755" s="9"/>
      <c r="J755" s="9"/>
      <c r="K755" s="357"/>
      <c r="L755" s="9"/>
      <c r="M755" s="9"/>
      <c r="N755" s="9"/>
      <c r="O755" s="9"/>
      <c r="P755" s="9"/>
      <c r="Q755" s="9"/>
      <c r="R755" s="14"/>
      <c r="S755" s="14"/>
    </row>
    <row r="756" spans="1:19" ht="14.25">
      <c r="A756" s="14"/>
      <c r="B756" s="9"/>
      <c r="C756" s="9"/>
      <c r="D756" s="9"/>
      <c r="E756" s="9"/>
      <c r="F756" s="9"/>
      <c r="G756" s="9"/>
      <c r="H756" s="9"/>
      <c r="I756" s="9"/>
      <c r="J756" s="9"/>
      <c r="K756" s="357"/>
      <c r="L756" s="9"/>
      <c r="M756" s="9"/>
      <c r="N756" s="9"/>
      <c r="O756" s="9"/>
      <c r="P756" s="9"/>
      <c r="Q756" s="9"/>
      <c r="R756" s="14"/>
      <c r="S756" s="14"/>
    </row>
    <row r="757" spans="1:19" ht="14.25">
      <c r="A757" s="14"/>
      <c r="B757" s="9"/>
      <c r="C757" s="9"/>
      <c r="D757" s="9"/>
      <c r="E757" s="9"/>
      <c r="F757" s="9"/>
      <c r="G757" s="9"/>
      <c r="H757" s="9"/>
      <c r="I757" s="9"/>
      <c r="J757" s="9"/>
      <c r="K757" s="357"/>
      <c r="L757" s="9"/>
      <c r="M757" s="9"/>
      <c r="N757" s="9"/>
      <c r="O757" s="9"/>
      <c r="P757" s="9"/>
      <c r="Q757" s="9"/>
      <c r="R757" s="14"/>
      <c r="S757" s="14"/>
    </row>
    <row r="758" spans="1:19" ht="14.25">
      <c r="A758" s="14"/>
      <c r="B758" s="9"/>
      <c r="C758" s="9"/>
      <c r="D758" s="9"/>
      <c r="E758" s="9"/>
      <c r="F758" s="9"/>
      <c r="G758" s="9"/>
      <c r="H758" s="9"/>
      <c r="I758" s="9"/>
      <c r="J758" s="9"/>
      <c r="K758" s="357"/>
      <c r="L758" s="9"/>
      <c r="M758" s="9"/>
      <c r="N758" s="9"/>
      <c r="O758" s="9"/>
      <c r="P758" s="9"/>
      <c r="Q758" s="9"/>
      <c r="R758" s="14"/>
      <c r="S758" s="14"/>
    </row>
    <row r="759" spans="1:19" ht="14.25">
      <c r="A759" s="14"/>
      <c r="B759" s="9"/>
      <c r="C759" s="9"/>
      <c r="D759" s="9"/>
      <c r="E759" s="9"/>
      <c r="F759" s="9"/>
      <c r="G759" s="9"/>
      <c r="H759" s="9"/>
      <c r="I759" s="9"/>
      <c r="J759" s="9"/>
      <c r="K759" s="357"/>
      <c r="L759" s="9"/>
      <c r="M759" s="9"/>
      <c r="N759" s="9"/>
      <c r="O759" s="9"/>
      <c r="P759" s="9"/>
      <c r="Q759" s="9"/>
      <c r="R759" s="14"/>
      <c r="S759" s="14"/>
    </row>
    <row r="760" spans="1:19" ht="14.25">
      <c r="A760" s="14"/>
      <c r="B760" s="9"/>
      <c r="C760" s="9"/>
      <c r="D760" s="9"/>
      <c r="E760" s="9"/>
      <c r="F760" s="9"/>
      <c r="G760" s="9"/>
      <c r="H760" s="9"/>
      <c r="I760" s="9"/>
      <c r="J760" s="9"/>
      <c r="K760" s="357"/>
      <c r="L760" s="9"/>
      <c r="M760" s="9"/>
      <c r="N760" s="9"/>
      <c r="O760" s="9"/>
      <c r="P760" s="9"/>
      <c r="Q760" s="9"/>
      <c r="R760" s="14"/>
      <c r="S760" s="14"/>
    </row>
    <row r="761" spans="1:19" ht="14.25">
      <c r="A761" s="14"/>
      <c r="B761" s="9"/>
      <c r="C761" s="9"/>
      <c r="D761" s="9"/>
      <c r="E761" s="9"/>
      <c r="F761" s="9"/>
      <c r="G761" s="9"/>
      <c r="H761" s="9"/>
      <c r="I761" s="9"/>
      <c r="J761" s="9"/>
      <c r="K761" s="357"/>
      <c r="L761" s="9"/>
      <c r="M761" s="9"/>
      <c r="N761" s="9"/>
      <c r="O761" s="9"/>
      <c r="P761" s="9"/>
      <c r="Q761" s="9"/>
      <c r="R761" s="14"/>
      <c r="S761" s="14"/>
    </row>
    <row r="762" spans="1:19" ht="14.25">
      <c r="A762" s="14"/>
      <c r="B762" s="9"/>
      <c r="C762" s="9"/>
      <c r="D762" s="9"/>
      <c r="E762" s="9"/>
      <c r="F762" s="9"/>
      <c r="G762" s="9"/>
      <c r="H762" s="9"/>
      <c r="I762" s="9"/>
      <c r="J762" s="9"/>
      <c r="K762" s="357"/>
      <c r="L762" s="9"/>
      <c r="M762" s="9"/>
      <c r="N762" s="9"/>
      <c r="O762" s="9"/>
      <c r="P762" s="9"/>
      <c r="Q762" s="9"/>
      <c r="R762" s="14"/>
      <c r="S762" s="14"/>
    </row>
    <row r="763" spans="1:19" ht="14.25">
      <c r="A763" s="14"/>
      <c r="B763" s="9"/>
      <c r="C763" s="9"/>
      <c r="D763" s="9"/>
      <c r="E763" s="9"/>
      <c r="F763" s="9"/>
      <c r="G763" s="9"/>
      <c r="H763" s="9"/>
      <c r="I763" s="9"/>
      <c r="J763" s="9"/>
      <c r="K763" s="357"/>
      <c r="L763" s="9"/>
      <c r="M763" s="9"/>
      <c r="N763" s="9"/>
      <c r="O763" s="9"/>
      <c r="P763" s="9"/>
      <c r="Q763" s="9"/>
      <c r="R763" s="14"/>
      <c r="S763" s="14"/>
    </row>
    <row r="764" spans="1:19" ht="14.25">
      <c r="A764" s="14"/>
      <c r="B764" s="9"/>
      <c r="C764" s="9"/>
      <c r="D764" s="9"/>
      <c r="E764" s="9"/>
      <c r="F764" s="9"/>
      <c r="G764" s="9"/>
      <c r="H764" s="9"/>
      <c r="I764" s="9"/>
      <c r="J764" s="9"/>
      <c r="K764" s="357"/>
      <c r="L764" s="9"/>
      <c r="M764" s="9"/>
      <c r="N764" s="9"/>
      <c r="O764" s="9"/>
      <c r="P764" s="9"/>
      <c r="Q764" s="9"/>
      <c r="R764" s="14"/>
      <c r="S764" s="14"/>
    </row>
    <row r="765" spans="1:19" ht="14.25">
      <c r="A765" s="14"/>
      <c r="B765" s="9"/>
      <c r="C765" s="9"/>
      <c r="D765" s="9"/>
      <c r="E765" s="9"/>
      <c r="F765" s="9"/>
      <c r="G765" s="9"/>
      <c r="H765" s="9"/>
      <c r="I765" s="9"/>
      <c r="J765" s="9"/>
      <c r="K765" s="357"/>
      <c r="L765" s="9"/>
      <c r="M765" s="9"/>
      <c r="N765" s="9"/>
      <c r="O765" s="9"/>
      <c r="P765" s="9"/>
      <c r="Q765" s="9"/>
      <c r="R765" s="14"/>
      <c r="S765" s="14"/>
    </row>
    <row r="766" spans="1:19" ht="14.25">
      <c r="A766" s="14"/>
      <c r="B766" s="9"/>
      <c r="C766" s="9"/>
      <c r="D766" s="9"/>
      <c r="E766" s="9"/>
      <c r="F766" s="9"/>
      <c r="G766" s="9"/>
      <c r="H766" s="9"/>
      <c r="I766" s="9"/>
      <c r="J766" s="9"/>
      <c r="K766" s="357"/>
      <c r="L766" s="9"/>
      <c r="M766" s="9"/>
      <c r="N766" s="9"/>
      <c r="O766" s="9"/>
      <c r="P766" s="9"/>
      <c r="Q766" s="9"/>
      <c r="R766" s="14"/>
      <c r="S766" s="14"/>
    </row>
    <row r="767" spans="1:19" ht="14.25">
      <c r="A767" s="14"/>
      <c r="B767" s="9"/>
      <c r="C767" s="9"/>
      <c r="D767" s="9"/>
      <c r="E767" s="9"/>
      <c r="F767" s="9"/>
      <c r="G767" s="9"/>
      <c r="H767" s="9"/>
      <c r="I767" s="9"/>
      <c r="J767" s="9"/>
      <c r="K767" s="357"/>
      <c r="L767" s="9"/>
      <c r="M767" s="9"/>
      <c r="N767" s="9"/>
      <c r="O767" s="9"/>
      <c r="P767" s="9"/>
      <c r="Q767" s="9"/>
      <c r="R767" s="14"/>
      <c r="S767" s="14"/>
    </row>
    <row r="768" spans="1:19" ht="14.25">
      <c r="A768" s="14"/>
      <c r="B768" s="9"/>
      <c r="C768" s="9"/>
      <c r="D768" s="9"/>
      <c r="E768" s="9"/>
      <c r="F768" s="9"/>
      <c r="G768" s="9"/>
      <c r="H768" s="9"/>
      <c r="I768" s="9"/>
      <c r="J768" s="9"/>
      <c r="K768" s="357"/>
      <c r="L768" s="9"/>
      <c r="M768" s="9"/>
      <c r="N768" s="9"/>
      <c r="O768" s="9"/>
      <c r="P768" s="9"/>
      <c r="Q768" s="9"/>
      <c r="R768" s="14"/>
      <c r="S768" s="14"/>
    </row>
    <row r="769" spans="1:19" ht="14.25">
      <c r="A769" s="14"/>
      <c r="B769" s="9"/>
      <c r="C769" s="9"/>
      <c r="D769" s="9"/>
      <c r="E769" s="9"/>
      <c r="F769" s="9"/>
      <c r="G769" s="9"/>
      <c r="H769" s="9"/>
      <c r="I769" s="9"/>
      <c r="J769" s="9"/>
      <c r="K769" s="357"/>
      <c r="L769" s="9"/>
      <c r="M769" s="9"/>
      <c r="N769" s="9"/>
      <c r="O769" s="9"/>
      <c r="P769" s="9"/>
      <c r="Q769" s="9"/>
      <c r="R769" s="14"/>
      <c r="S769" s="14"/>
    </row>
    <row r="770" spans="1:19" ht="14.25">
      <c r="A770" s="14"/>
      <c r="B770" s="9"/>
      <c r="C770" s="9"/>
      <c r="D770" s="9"/>
      <c r="E770" s="9"/>
      <c r="F770" s="9"/>
      <c r="G770" s="9"/>
      <c r="H770" s="9"/>
      <c r="I770" s="9"/>
      <c r="J770" s="9"/>
      <c r="K770" s="357"/>
      <c r="L770" s="9"/>
      <c r="M770" s="9"/>
      <c r="N770" s="9"/>
      <c r="O770" s="9"/>
      <c r="P770" s="9"/>
      <c r="Q770" s="9"/>
      <c r="R770" s="14"/>
      <c r="S770" s="14"/>
    </row>
    <row r="771" spans="1:19" ht="14.25">
      <c r="A771" s="14"/>
      <c r="B771" s="9"/>
      <c r="C771" s="9"/>
      <c r="D771" s="9"/>
      <c r="E771" s="9"/>
      <c r="F771" s="9"/>
      <c r="G771" s="9"/>
      <c r="H771" s="9"/>
      <c r="I771" s="9"/>
      <c r="J771" s="9"/>
      <c r="K771" s="357"/>
      <c r="L771" s="9"/>
      <c r="M771" s="9"/>
      <c r="N771" s="9"/>
      <c r="O771" s="9"/>
      <c r="P771" s="9"/>
      <c r="Q771" s="9"/>
      <c r="R771" s="14"/>
      <c r="S771" s="14"/>
    </row>
    <row r="772" spans="1:19" ht="14.25">
      <c r="A772" s="14"/>
      <c r="B772" s="9"/>
      <c r="C772" s="9"/>
      <c r="D772" s="9"/>
      <c r="E772" s="9"/>
      <c r="F772" s="9"/>
      <c r="G772" s="9"/>
      <c r="H772" s="9"/>
      <c r="I772" s="9"/>
      <c r="J772" s="9"/>
      <c r="K772" s="357"/>
      <c r="L772" s="9"/>
      <c r="M772" s="9"/>
      <c r="N772" s="9"/>
      <c r="O772" s="9"/>
      <c r="P772" s="9"/>
      <c r="Q772" s="9"/>
      <c r="R772" s="14"/>
      <c r="S772" s="14"/>
    </row>
    <row r="773" spans="1:19" ht="14.25">
      <c r="A773" s="14"/>
      <c r="B773" s="9"/>
      <c r="C773" s="9"/>
      <c r="D773" s="9"/>
      <c r="E773" s="9"/>
      <c r="F773" s="9"/>
      <c r="G773" s="9"/>
      <c r="H773" s="9"/>
      <c r="I773" s="9"/>
      <c r="J773" s="9"/>
      <c r="K773" s="357"/>
      <c r="L773" s="9"/>
      <c r="M773" s="9"/>
      <c r="N773" s="9"/>
      <c r="O773" s="9"/>
      <c r="P773" s="9"/>
      <c r="Q773" s="9"/>
      <c r="R773" s="14"/>
      <c r="S773" s="14"/>
    </row>
    <row r="774" spans="1:19" ht="14.25">
      <c r="A774" s="14"/>
      <c r="B774" s="9"/>
      <c r="C774" s="9"/>
      <c r="D774" s="9"/>
      <c r="E774" s="9"/>
      <c r="F774" s="9"/>
      <c r="G774" s="9"/>
      <c r="H774" s="9"/>
      <c r="I774" s="9"/>
      <c r="J774" s="9"/>
      <c r="K774" s="357"/>
      <c r="L774" s="9"/>
      <c r="M774" s="9"/>
      <c r="N774" s="9"/>
      <c r="O774" s="9"/>
      <c r="P774" s="9"/>
      <c r="Q774" s="9"/>
      <c r="R774" s="14"/>
      <c r="S774" s="14"/>
    </row>
    <row r="775" spans="1:19" ht="14.25">
      <c r="A775" s="14"/>
      <c r="B775" s="9"/>
      <c r="C775" s="9"/>
      <c r="D775" s="9"/>
      <c r="E775" s="9"/>
      <c r="F775" s="9"/>
      <c r="G775" s="9"/>
      <c r="H775" s="9"/>
      <c r="I775" s="9"/>
      <c r="J775" s="9"/>
      <c r="K775" s="357"/>
      <c r="L775" s="9"/>
      <c r="M775" s="9"/>
      <c r="N775" s="9"/>
      <c r="O775" s="9"/>
      <c r="P775" s="9"/>
      <c r="Q775" s="9"/>
      <c r="R775" s="14"/>
      <c r="S775" s="14"/>
    </row>
    <row r="776" spans="1:19" ht="14.25">
      <c r="A776" s="14"/>
      <c r="B776" s="9"/>
      <c r="C776" s="9"/>
      <c r="D776" s="9"/>
      <c r="E776" s="9"/>
      <c r="F776" s="9"/>
      <c r="G776" s="9"/>
      <c r="H776" s="9"/>
      <c r="I776" s="9"/>
      <c r="J776" s="9"/>
      <c r="K776" s="357"/>
      <c r="L776" s="9"/>
      <c r="M776" s="9"/>
      <c r="N776" s="9"/>
      <c r="O776" s="9"/>
      <c r="P776" s="9"/>
      <c r="Q776" s="9"/>
      <c r="R776" s="14"/>
      <c r="S776" s="14"/>
    </row>
    <row r="777" spans="1:19" ht="14.25">
      <c r="A777" s="14"/>
      <c r="B777" s="9"/>
      <c r="C777" s="9"/>
      <c r="D777" s="9"/>
      <c r="E777" s="9"/>
      <c r="F777" s="9"/>
      <c r="G777" s="9"/>
      <c r="H777" s="9"/>
      <c r="I777" s="9"/>
      <c r="J777" s="9"/>
      <c r="K777" s="357"/>
      <c r="L777" s="9"/>
      <c r="M777" s="9"/>
      <c r="N777" s="9"/>
      <c r="O777" s="9"/>
      <c r="P777" s="9"/>
      <c r="Q777" s="9"/>
      <c r="R777" s="14"/>
      <c r="S777" s="14"/>
    </row>
    <row r="778" spans="1:19" ht="14.25">
      <c r="A778" s="14"/>
      <c r="B778" s="9"/>
      <c r="C778" s="9"/>
      <c r="D778" s="9"/>
      <c r="E778" s="9"/>
      <c r="F778" s="9"/>
      <c r="G778" s="9"/>
      <c r="H778" s="9"/>
      <c r="I778" s="9"/>
      <c r="J778" s="9"/>
      <c r="K778" s="357"/>
      <c r="L778" s="9"/>
      <c r="M778" s="9"/>
      <c r="N778" s="9"/>
      <c r="O778" s="9"/>
      <c r="P778" s="9"/>
      <c r="Q778" s="9"/>
      <c r="R778" s="14"/>
      <c r="S778" s="14"/>
    </row>
    <row r="779" spans="1:19" ht="14.25">
      <c r="A779" s="14"/>
      <c r="B779" s="9"/>
      <c r="C779" s="9"/>
      <c r="D779" s="9"/>
      <c r="E779" s="9"/>
      <c r="F779" s="9"/>
      <c r="G779" s="9"/>
      <c r="H779" s="9"/>
      <c r="I779" s="9"/>
      <c r="J779" s="9"/>
      <c r="K779" s="357"/>
      <c r="L779" s="9"/>
      <c r="M779" s="9"/>
      <c r="N779" s="9"/>
      <c r="O779" s="9"/>
      <c r="P779" s="9"/>
      <c r="Q779" s="9"/>
      <c r="R779" s="14"/>
      <c r="S779" s="14"/>
    </row>
    <row r="780" spans="1:19" ht="14.25">
      <c r="A780" s="14"/>
      <c r="B780" s="9"/>
      <c r="C780" s="9"/>
      <c r="D780" s="9"/>
      <c r="E780" s="9"/>
      <c r="F780" s="9"/>
      <c r="G780" s="9"/>
      <c r="H780" s="9"/>
      <c r="I780" s="9"/>
      <c r="J780" s="9"/>
      <c r="K780" s="357"/>
      <c r="L780" s="9"/>
      <c r="M780" s="9"/>
      <c r="N780" s="9"/>
      <c r="O780" s="9"/>
      <c r="P780" s="9"/>
      <c r="Q780" s="9"/>
      <c r="R780" s="14"/>
      <c r="S780" s="14"/>
    </row>
    <row r="781" spans="1:19" ht="14.25">
      <c r="A781" s="14"/>
      <c r="B781" s="9"/>
      <c r="C781" s="9"/>
      <c r="D781" s="9"/>
      <c r="E781" s="9"/>
      <c r="F781" s="9"/>
      <c r="G781" s="9"/>
      <c r="H781" s="9"/>
      <c r="I781" s="9"/>
      <c r="J781" s="9"/>
      <c r="K781" s="357"/>
      <c r="L781" s="9"/>
      <c r="M781" s="9"/>
      <c r="N781" s="9"/>
      <c r="O781" s="9"/>
      <c r="P781" s="9"/>
      <c r="Q781" s="9"/>
      <c r="R781" s="14"/>
      <c r="S781" s="14"/>
    </row>
    <row r="782" spans="1:19" ht="14.25">
      <c r="A782" s="14"/>
      <c r="B782" s="9"/>
      <c r="C782" s="9"/>
      <c r="D782" s="9"/>
      <c r="E782" s="9"/>
      <c r="F782" s="9"/>
      <c r="G782" s="9"/>
      <c r="H782" s="9"/>
      <c r="I782" s="9"/>
      <c r="J782" s="9"/>
      <c r="K782" s="357"/>
      <c r="L782" s="9"/>
      <c r="M782" s="9"/>
      <c r="N782" s="9"/>
      <c r="O782" s="9"/>
      <c r="P782" s="9"/>
      <c r="Q782" s="9"/>
      <c r="R782" s="14"/>
      <c r="S782" s="14"/>
    </row>
    <row r="783" spans="1:19" ht="14.25">
      <c r="A783" s="14"/>
      <c r="B783" s="9"/>
      <c r="C783" s="9"/>
      <c r="D783" s="9"/>
      <c r="E783" s="9"/>
      <c r="F783" s="9"/>
      <c r="G783" s="9"/>
      <c r="H783" s="9"/>
      <c r="I783" s="9"/>
      <c r="J783" s="9"/>
      <c r="K783" s="357"/>
      <c r="L783" s="9"/>
      <c r="M783" s="9"/>
      <c r="N783" s="9"/>
      <c r="O783" s="9"/>
      <c r="P783" s="9"/>
      <c r="Q783" s="9"/>
      <c r="R783" s="14"/>
      <c r="S783" s="14"/>
    </row>
    <row r="784" spans="1:19" ht="14.25">
      <c r="A784" s="14"/>
      <c r="B784" s="9"/>
      <c r="C784" s="9"/>
      <c r="D784" s="9"/>
      <c r="E784" s="9"/>
      <c r="F784" s="9"/>
      <c r="G784" s="9"/>
      <c r="H784" s="9"/>
      <c r="I784" s="9"/>
      <c r="J784" s="9"/>
      <c r="K784" s="357"/>
      <c r="L784" s="9"/>
      <c r="M784" s="9"/>
      <c r="N784" s="9"/>
      <c r="O784" s="9"/>
      <c r="P784" s="9"/>
      <c r="Q784" s="9"/>
      <c r="R784" s="14"/>
      <c r="S784" s="14"/>
    </row>
    <row r="785" spans="1:19" ht="14.25">
      <c r="A785" s="14"/>
      <c r="B785" s="9"/>
      <c r="C785" s="9"/>
      <c r="D785" s="9"/>
      <c r="E785" s="9"/>
      <c r="F785" s="9"/>
      <c r="G785" s="9"/>
      <c r="H785" s="9"/>
      <c r="I785" s="9"/>
      <c r="J785" s="9"/>
      <c r="K785" s="357"/>
      <c r="L785" s="9"/>
      <c r="M785" s="9"/>
      <c r="N785" s="9"/>
      <c r="O785" s="9"/>
      <c r="P785" s="9"/>
      <c r="Q785" s="9"/>
      <c r="R785" s="14"/>
      <c r="S785" s="14"/>
    </row>
    <row r="786" spans="1:19" ht="14.25">
      <c r="A786" s="14"/>
      <c r="B786" s="9"/>
      <c r="C786" s="9"/>
      <c r="D786" s="9"/>
      <c r="E786" s="9"/>
      <c r="F786" s="9"/>
      <c r="G786" s="9"/>
      <c r="H786" s="9"/>
      <c r="I786" s="9"/>
      <c r="J786" s="9"/>
      <c r="K786" s="357"/>
      <c r="L786" s="9"/>
      <c r="M786" s="9"/>
      <c r="N786" s="9"/>
      <c r="O786" s="9"/>
      <c r="P786" s="9"/>
      <c r="Q786" s="9"/>
      <c r="R786" s="14"/>
      <c r="S786" s="14"/>
    </row>
    <row r="787" spans="1:19" ht="14.25">
      <c r="A787" s="14"/>
      <c r="B787" s="9"/>
      <c r="C787" s="9"/>
      <c r="D787" s="9"/>
      <c r="E787" s="9"/>
      <c r="F787" s="9"/>
      <c r="G787" s="9"/>
      <c r="H787" s="9"/>
      <c r="I787" s="9"/>
      <c r="J787" s="9"/>
      <c r="K787" s="357"/>
      <c r="L787" s="9"/>
      <c r="M787" s="9"/>
      <c r="N787" s="9"/>
      <c r="O787" s="9"/>
      <c r="P787" s="9"/>
      <c r="Q787" s="9"/>
      <c r="R787" s="14"/>
      <c r="S787" s="14"/>
    </row>
    <row r="788" spans="1:19" ht="14.25">
      <c r="A788" s="14"/>
      <c r="B788" s="9"/>
      <c r="C788" s="9"/>
      <c r="D788" s="9"/>
      <c r="E788" s="9"/>
      <c r="F788" s="9"/>
      <c r="G788" s="9"/>
      <c r="H788" s="9"/>
      <c r="I788" s="9"/>
      <c r="J788" s="9"/>
      <c r="K788" s="357"/>
      <c r="L788" s="9"/>
      <c r="M788" s="9"/>
      <c r="N788" s="9"/>
      <c r="O788" s="9"/>
      <c r="P788" s="9"/>
      <c r="Q788" s="9"/>
      <c r="R788" s="14"/>
      <c r="S788" s="14"/>
    </row>
    <row r="789" spans="1:19" ht="14.25">
      <c r="A789" s="14"/>
      <c r="B789" s="9"/>
      <c r="C789" s="9"/>
      <c r="D789" s="9"/>
      <c r="E789" s="9"/>
      <c r="F789" s="9"/>
      <c r="G789" s="9"/>
      <c r="H789" s="9"/>
      <c r="I789" s="9"/>
      <c r="J789" s="9"/>
      <c r="K789" s="357"/>
      <c r="L789" s="9"/>
      <c r="M789" s="9"/>
      <c r="N789" s="9"/>
      <c r="O789" s="9"/>
      <c r="P789" s="9"/>
      <c r="Q789" s="9"/>
      <c r="R789" s="14"/>
      <c r="S789" s="14"/>
    </row>
    <row r="790" spans="1:19" ht="14.25">
      <c r="A790" s="14"/>
      <c r="B790" s="9"/>
      <c r="C790" s="9"/>
      <c r="D790" s="9"/>
      <c r="E790" s="9"/>
      <c r="F790" s="9"/>
      <c r="G790" s="9"/>
      <c r="H790" s="9"/>
      <c r="I790" s="9"/>
      <c r="J790" s="9"/>
      <c r="K790" s="357"/>
      <c r="L790" s="9"/>
      <c r="M790" s="9"/>
      <c r="N790" s="9"/>
      <c r="O790" s="9"/>
      <c r="P790" s="9"/>
      <c r="Q790" s="9"/>
      <c r="R790" s="14"/>
      <c r="S790" s="14"/>
    </row>
    <row r="791" spans="1:19" ht="14.25">
      <c r="A791" s="14"/>
      <c r="B791" s="9"/>
      <c r="C791" s="9"/>
      <c r="D791" s="9"/>
      <c r="E791" s="9"/>
      <c r="F791" s="9"/>
      <c r="G791" s="9"/>
      <c r="H791" s="9"/>
      <c r="I791" s="9"/>
      <c r="J791" s="9"/>
      <c r="K791" s="357"/>
      <c r="L791" s="9"/>
      <c r="M791" s="9"/>
      <c r="N791" s="9"/>
      <c r="O791" s="9"/>
      <c r="P791" s="9"/>
      <c r="Q791" s="9"/>
      <c r="R791" s="14"/>
      <c r="S791" s="14"/>
    </row>
    <row r="792" spans="1:19" ht="14.25">
      <c r="A792" s="14"/>
      <c r="B792" s="9"/>
      <c r="C792" s="9"/>
      <c r="D792" s="9"/>
      <c r="E792" s="9"/>
      <c r="F792" s="9"/>
      <c r="G792" s="9"/>
      <c r="H792" s="9"/>
      <c r="I792" s="9"/>
      <c r="J792" s="9"/>
      <c r="K792" s="357"/>
      <c r="L792" s="9"/>
      <c r="M792" s="9"/>
      <c r="N792" s="9"/>
      <c r="O792" s="9"/>
      <c r="P792" s="9"/>
      <c r="Q792" s="9"/>
      <c r="R792" s="14"/>
      <c r="S792" s="14"/>
    </row>
    <row r="793" spans="1:19" ht="14.25">
      <c r="A793" s="14"/>
      <c r="B793" s="9"/>
      <c r="C793" s="9"/>
      <c r="D793" s="9"/>
      <c r="E793" s="9"/>
      <c r="F793" s="9"/>
      <c r="G793" s="9"/>
      <c r="H793" s="9"/>
      <c r="I793" s="9"/>
      <c r="J793" s="9"/>
      <c r="K793" s="357"/>
      <c r="L793" s="9"/>
      <c r="M793" s="9"/>
      <c r="N793" s="9"/>
      <c r="O793" s="9"/>
      <c r="P793" s="9"/>
      <c r="Q793" s="9"/>
      <c r="R793" s="14"/>
      <c r="S793" s="14"/>
    </row>
    <row r="794" spans="1:19" ht="14.25">
      <c r="A794" s="14"/>
      <c r="B794" s="9"/>
      <c r="C794" s="9"/>
      <c r="D794" s="9"/>
      <c r="E794" s="9"/>
      <c r="F794" s="9"/>
      <c r="G794" s="9"/>
      <c r="H794" s="9"/>
      <c r="I794" s="9"/>
      <c r="J794" s="9"/>
      <c r="K794" s="357"/>
      <c r="L794" s="9"/>
      <c r="M794" s="9"/>
      <c r="N794" s="9"/>
      <c r="O794" s="9"/>
      <c r="P794" s="9"/>
      <c r="Q794" s="9"/>
      <c r="R794" s="14"/>
      <c r="S794" s="14"/>
    </row>
    <row r="795" spans="1:19" ht="14.25">
      <c r="A795" s="14"/>
      <c r="B795" s="9"/>
      <c r="C795" s="9"/>
      <c r="D795" s="9"/>
      <c r="E795" s="9"/>
      <c r="F795" s="9"/>
      <c r="G795" s="9"/>
      <c r="H795" s="9"/>
      <c r="I795" s="9"/>
      <c r="J795" s="9"/>
      <c r="K795" s="357"/>
      <c r="L795" s="9"/>
      <c r="M795" s="9"/>
      <c r="N795" s="9"/>
      <c r="O795" s="9"/>
      <c r="P795" s="9"/>
      <c r="Q795" s="9"/>
      <c r="R795" s="14"/>
      <c r="S795" s="14"/>
    </row>
    <row r="796" spans="1:19" ht="14.25">
      <c r="A796" s="14"/>
      <c r="B796" s="9"/>
      <c r="C796" s="9"/>
      <c r="D796" s="9"/>
      <c r="E796" s="9"/>
      <c r="F796" s="9"/>
      <c r="G796" s="9"/>
      <c r="H796" s="9"/>
      <c r="I796" s="9"/>
      <c r="J796" s="9"/>
      <c r="K796" s="357"/>
      <c r="L796" s="9"/>
      <c r="M796" s="9"/>
      <c r="N796" s="9"/>
      <c r="O796" s="9"/>
      <c r="P796" s="9"/>
      <c r="Q796" s="9"/>
      <c r="R796" s="14"/>
      <c r="S796" s="14"/>
    </row>
    <row r="797" spans="1:19" ht="14.25">
      <c r="A797" s="14"/>
      <c r="B797" s="9"/>
      <c r="C797" s="9"/>
      <c r="D797" s="9"/>
      <c r="E797" s="9"/>
      <c r="F797" s="9"/>
      <c r="G797" s="9"/>
      <c r="H797" s="9"/>
      <c r="I797" s="9"/>
      <c r="J797" s="9"/>
      <c r="K797" s="357"/>
      <c r="L797" s="9"/>
      <c r="M797" s="9"/>
      <c r="N797" s="9"/>
      <c r="O797" s="9"/>
      <c r="P797" s="9"/>
      <c r="Q797" s="9"/>
      <c r="R797" s="14"/>
      <c r="S797" s="14"/>
    </row>
    <row r="798" spans="1:19" ht="14.25">
      <c r="A798" s="14"/>
      <c r="B798" s="9"/>
      <c r="C798" s="9"/>
      <c r="D798" s="9"/>
      <c r="E798" s="9"/>
      <c r="F798" s="9"/>
      <c r="G798" s="9"/>
      <c r="H798" s="9"/>
      <c r="I798" s="9"/>
      <c r="J798" s="9"/>
      <c r="K798" s="357"/>
      <c r="L798" s="9"/>
      <c r="M798" s="9"/>
      <c r="N798" s="9"/>
      <c r="O798" s="9"/>
      <c r="P798" s="9"/>
      <c r="Q798" s="9"/>
      <c r="R798" s="14"/>
      <c r="S798" s="14"/>
    </row>
    <row r="799" spans="1:19" ht="14.25">
      <c r="A799" s="14"/>
      <c r="B799" s="9"/>
      <c r="C799" s="9"/>
      <c r="D799" s="9"/>
      <c r="E799" s="9"/>
      <c r="F799" s="9"/>
      <c r="G799" s="9"/>
      <c r="H799" s="9"/>
      <c r="I799" s="9"/>
      <c r="J799" s="9"/>
      <c r="K799" s="357"/>
      <c r="L799" s="9"/>
      <c r="M799" s="9"/>
      <c r="N799" s="9"/>
      <c r="O799" s="9"/>
      <c r="P799" s="9"/>
      <c r="Q799" s="9"/>
      <c r="R799" s="14"/>
      <c r="S799" s="14"/>
    </row>
    <row r="800" spans="1:19" ht="14.25">
      <c r="A800" s="14"/>
      <c r="B800" s="9"/>
      <c r="C800" s="9"/>
      <c r="D800" s="9"/>
      <c r="E800" s="9"/>
      <c r="F800" s="9"/>
      <c r="G800" s="9"/>
      <c r="H800" s="9"/>
      <c r="I800" s="9"/>
      <c r="J800" s="9"/>
      <c r="K800" s="357"/>
      <c r="L800" s="9"/>
      <c r="M800" s="9"/>
      <c r="N800" s="9"/>
      <c r="O800" s="9"/>
      <c r="P800" s="9"/>
      <c r="Q800" s="9"/>
      <c r="R800" s="14"/>
      <c r="S800" s="14"/>
    </row>
    <row r="801" spans="1:19" ht="14.25">
      <c r="A801" s="14"/>
      <c r="B801" s="9"/>
      <c r="C801" s="9"/>
      <c r="D801" s="9"/>
      <c r="E801" s="9"/>
      <c r="F801" s="9"/>
      <c r="G801" s="9"/>
      <c r="H801" s="9"/>
      <c r="I801" s="9"/>
      <c r="J801" s="9"/>
      <c r="K801" s="357"/>
      <c r="L801" s="9"/>
      <c r="M801" s="9"/>
      <c r="N801" s="9"/>
      <c r="O801" s="9"/>
      <c r="P801" s="9"/>
      <c r="Q801" s="9"/>
      <c r="R801" s="14"/>
      <c r="S801" s="14"/>
    </row>
    <row r="802" spans="1:19" ht="14.25">
      <c r="A802" s="14"/>
      <c r="B802" s="9"/>
      <c r="C802" s="9"/>
      <c r="D802" s="9"/>
      <c r="E802" s="9"/>
      <c r="F802" s="9"/>
      <c r="G802" s="9"/>
      <c r="H802" s="9"/>
      <c r="I802" s="9"/>
      <c r="J802" s="9"/>
      <c r="K802" s="357"/>
      <c r="L802" s="9"/>
      <c r="M802" s="9"/>
      <c r="N802" s="9"/>
      <c r="O802" s="9"/>
      <c r="P802" s="9"/>
      <c r="Q802" s="9"/>
      <c r="R802" s="14"/>
      <c r="S802" s="14"/>
    </row>
    <row r="803" spans="1:19" ht="14.25">
      <c r="A803" s="14"/>
      <c r="B803" s="9"/>
      <c r="C803" s="9"/>
      <c r="D803" s="9"/>
      <c r="E803" s="9"/>
      <c r="F803" s="9"/>
      <c r="G803" s="9"/>
      <c r="H803" s="9"/>
      <c r="I803" s="9"/>
      <c r="J803" s="9"/>
      <c r="K803" s="357"/>
      <c r="L803" s="9"/>
      <c r="M803" s="9"/>
      <c r="N803" s="9"/>
      <c r="O803" s="9"/>
      <c r="P803" s="9"/>
      <c r="Q803" s="9"/>
      <c r="R803" s="14"/>
      <c r="S803" s="14"/>
    </row>
    <row r="804" spans="1:19" ht="14.25">
      <c r="A804" s="14"/>
      <c r="B804" s="9"/>
      <c r="C804" s="9"/>
      <c r="D804" s="9"/>
      <c r="E804" s="9"/>
      <c r="F804" s="9"/>
      <c r="G804" s="9"/>
      <c r="H804" s="9"/>
      <c r="I804" s="9"/>
      <c r="J804" s="9"/>
      <c r="K804" s="357"/>
      <c r="L804" s="9"/>
      <c r="M804" s="9"/>
      <c r="N804" s="9"/>
      <c r="O804" s="9"/>
      <c r="P804" s="9"/>
      <c r="Q804" s="9"/>
      <c r="R804" s="14"/>
      <c r="S804" s="14"/>
    </row>
    <row r="805" spans="1:19" ht="14.25">
      <c r="A805" s="14"/>
      <c r="B805" s="9"/>
      <c r="C805" s="9"/>
      <c r="D805" s="9"/>
      <c r="E805" s="9"/>
      <c r="F805" s="9"/>
      <c r="G805" s="9"/>
      <c r="H805" s="9"/>
      <c r="I805" s="9"/>
      <c r="J805" s="9"/>
      <c r="K805" s="357"/>
      <c r="L805" s="9"/>
      <c r="M805" s="9"/>
      <c r="N805" s="9"/>
      <c r="O805" s="9"/>
      <c r="P805" s="9"/>
      <c r="Q805" s="9"/>
      <c r="R805" s="14"/>
      <c r="S805" s="14"/>
    </row>
    <row r="806" spans="1:19" ht="14.25">
      <c r="A806" s="14"/>
      <c r="B806" s="9"/>
      <c r="C806" s="9"/>
      <c r="D806" s="9"/>
      <c r="E806" s="9"/>
      <c r="F806" s="9"/>
      <c r="G806" s="9"/>
      <c r="H806" s="9"/>
      <c r="I806" s="9"/>
      <c r="J806" s="9"/>
      <c r="K806" s="357"/>
      <c r="L806" s="9"/>
      <c r="M806" s="9"/>
      <c r="N806" s="9"/>
      <c r="O806" s="9"/>
      <c r="P806" s="9"/>
      <c r="Q806" s="9"/>
      <c r="R806" s="14"/>
      <c r="S806" s="14"/>
    </row>
    <row r="807" spans="1:19" ht="14.25">
      <c r="A807" s="14"/>
      <c r="B807" s="9"/>
      <c r="C807" s="9"/>
      <c r="D807" s="9"/>
      <c r="E807" s="9"/>
      <c r="F807" s="9"/>
      <c r="G807" s="9"/>
      <c r="H807" s="9"/>
      <c r="I807" s="9"/>
      <c r="J807" s="9"/>
      <c r="K807" s="357"/>
      <c r="L807" s="9"/>
      <c r="M807" s="9"/>
      <c r="N807" s="9"/>
      <c r="O807" s="9"/>
      <c r="P807" s="9"/>
      <c r="Q807" s="9"/>
      <c r="R807" s="14"/>
      <c r="S807" s="14"/>
    </row>
    <row r="808" spans="1:19" ht="14.25">
      <c r="A808" s="14"/>
      <c r="B808" s="9"/>
      <c r="C808" s="9"/>
      <c r="D808" s="9"/>
      <c r="E808" s="9"/>
      <c r="F808" s="9"/>
      <c r="G808" s="9"/>
      <c r="H808" s="9"/>
      <c r="I808" s="9"/>
      <c r="J808" s="9"/>
      <c r="K808" s="357"/>
      <c r="L808" s="9"/>
      <c r="M808" s="9"/>
      <c r="N808" s="9"/>
      <c r="O808" s="9"/>
      <c r="P808" s="9"/>
      <c r="Q808" s="9"/>
      <c r="R808" s="14"/>
      <c r="S808" s="14"/>
    </row>
    <row r="809" spans="1:19" ht="14.25">
      <c r="A809" s="14"/>
      <c r="B809" s="9"/>
      <c r="C809" s="9"/>
      <c r="D809" s="9"/>
      <c r="E809" s="9"/>
      <c r="F809" s="9"/>
      <c r="G809" s="9"/>
      <c r="H809" s="9"/>
      <c r="I809" s="9"/>
      <c r="J809" s="9"/>
      <c r="K809" s="357"/>
      <c r="L809" s="9"/>
      <c r="M809" s="9"/>
      <c r="N809" s="9"/>
      <c r="O809" s="9"/>
      <c r="P809" s="9"/>
      <c r="Q809" s="9"/>
      <c r="R809" s="14"/>
      <c r="S809" s="14"/>
    </row>
    <row r="810" spans="1:19" ht="14.25">
      <c r="A810" s="14"/>
      <c r="B810" s="9"/>
      <c r="C810" s="9"/>
      <c r="D810" s="9"/>
      <c r="E810" s="9"/>
      <c r="F810" s="9"/>
      <c r="G810" s="9"/>
      <c r="H810" s="9"/>
      <c r="I810" s="9"/>
      <c r="J810" s="9"/>
      <c r="K810" s="357"/>
      <c r="L810" s="9"/>
      <c r="M810" s="9"/>
      <c r="N810" s="9"/>
      <c r="O810" s="9"/>
      <c r="P810" s="9"/>
      <c r="Q810" s="9"/>
      <c r="R810" s="14"/>
      <c r="S810" s="14"/>
    </row>
    <row r="811" spans="1:19" ht="14.25">
      <c r="A811" s="14"/>
      <c r="B811" s="9"/>
      <c r="C811" s="9"/>
      <c r="D811" s="9"/>
      <c r="E811" s="9"/>
      <c r="F811" s="9"/>
      <c r="G811" s="9"/>
      <c r="H811" s="9"/>
      <c r="I811" s="9"/>
      <c r="J811" s="9"/>
      <c r="K811" s="357"/>
      <c r="L811" s="9"/>
      <c r="M811" s="9"/>
      <c r="N811" s="9"/>
      <c r="O811" s="9"/>
      <c r="P811" s="9"/>
      <c r="Q811" s="9"/>
      <c r="R811" s="14"/>
      <c r="S811" s="14"/>
    </row>
    <row r="812" spans="1:19" ht="14.25">
      <c r="A812" s="14"/>
      <c r="B812" s="9"/>
      <c r="C812" s="9"/>
      <c r="D812" s="9"/>
      <c r="E812" s="9"/>
      <c r="F812" s="9"/>
      <c r="G812" s="9"/>
      <c r="H812" s="9"/>
      <c r="I812" s="9"/>
      <c r="J812" s="9"/>
      <c r="K812" s="357"/>
      <c r="L812" s="9"/>
      <c r="M812" s="9"/>
      <c r="N812" s="9"/>
      <c r="O812" s="9"/>
      <c r="P812" s="9"/>
      <c r="Q812" s="9"/>
      <c r="R812" s="14"/>
      <c r="S812" s="14"/>
    </row>
    <row r="813" spans="1:19" ht="14.25">
      <c r="A813" s="14"/>
      <c r="B813" s="9"/>
      <c r="C813" s="9"/>
      <c r="D813" s="9"/>
      <c r="E813" s="9"/>
      <c r="F813" s="9"/>
      <c r="G813" s="9"/>
      <c r="H813" s="9"/>
      <c r="I813" s="9"/>
      <c r="J813" s="9"/>
      <c r="K813" s="357"/>
      <c r="L813" s="9"/>
      <c r="M813" s="9"/>
      <c r="N813" s="9"/>
      <c r="O813" s="9"/>
      <c r="P813" s="9"/>
      <c r="Q813" s="9"/>
      <c r="R813" s="14"/>
      <c r="S813" s="14"/>
    </row>
    <row r="814" spans="1:19" ht="14.25">
      <c r="A814" s="14"/>
      <c r="B814" s="9"/>
      <c r="C814" s="9"/>
      <c r="D814" s="9"/>
      <c r="E814" s="9"/>
      <c r="F814" s="9"/>
      <c r="G814" s="9"/>
      <c r="H814" s="9"/>
      <c r="I814" s="9"/>
      <c r="J814" s="9"/>
      <c r="K814" s="357"/>
      <c r="L814" s="9"/>
      <c r="M814" s="9"/>
      <c r="N814" s="9"/>
      <c r="O814" s="9"/>
      <c r="P814" s="9"/>
      <c r="Q814" s="9"/>
      <c r="R814" s="14"/>
      <c r="S814" s="14"/>
    </row>
    <row r="815" spans="1:19" ht="14.25">
      <c r="A815" s="14"/>
      <c r="B815" s="9"/>
      <c r="C815" s="9"/>
      <c r="D815" s="9"/>
      <c r="E815" s="9"/>
      <c r="F815" s="9"/>
      <c r="G815" s="9"/>
      <c r="H815" s="9"/>
      <c r="I815" s="9"/>
      <c r="J815" s="9"/>
      <c r="K815" s="357"/>
      <c r="L815" s="9"/>
      <c r="M815" s="9"/>
      <c r="N815" s="9"/>
      <c r="O815" s="9"/>
      <c r="P815" s="9"/>
      <c r="Q815" s="9"/>
      <c r="R815" s="14"/>
      <c r="S815" s="14"/>
    </row>
    <row r="816" spans="1:19" ht="14.25">
      <c r="A816" s="14"/>
      <c r="B816" s="9"/>
      <c r="C816" s="9"/>
      <c r="D816" s="9"/>
      <c r="E816" s="9"/>
      <c r="F816" s="9"/>
      <c r="G816" s="9"/>
      <c r="H816" s="9"/>
      <c r="I816" s="9"/>
      <c r="J816" s="9"/>
      <c r="K816" s="357"/>
      <c r="L816" s="9"/>
      <c r="M816" s="9"/>
      <c r="N816" s="9"/>
      <c r="O816" s="9"/>
      <c r="P816" s="9"/>
      <c r="Q816" s="9"/>
      <c r="R816" s="14"/>
      <c r="S816" s="14"/>
    </row>
    <row r="817" spans="1:19" ht="14.25">
      <c r="A817" s="14"/>
      <c r="B817" s="9"/>
      <c r="C817" s="9"/>
      <c r="D817" s="9"/>
      <c r="E817" s="9"/>
      <c r="F817" s="9"/>
      <c r="G817" s="9"/>
      <c r="H817" s="9"/>
      <c r="I817" s="9"/>
      <c r="J817" s="9"/>
      <c r="K817" s="357"/>
      <c r="L817" s="9"/>
      <c r="M817" s="9"/>
      <c r="N817" s="9"/>
      <c r="O817" s="9"/>
      <c r="P817" s="9"/>
      <c r="Q817" s="9"/>
      <c r="R817" s="14"/>
      <c r="S817" s="14"/>
    </row>
    <row r="818" spans="1:19" ht="14.25">
      <c r="A818" s="14"/>
      <c r="B818" s="9"/>
      <c r="C818" s="9"/>
      <c r="D818" s="9"/>
      <c r="E818" s="9"/>
      <c r="F818" s="9"/>
      <c r="G818" s="9"/>
      <c r="H818" s="9"/>
      <c r="I818" s="9"/>
      <c r="J818" s="9"/>
      <c r="K818" s="357"/>
      <c r="L818" s="9"/>
      <c r="M818" s="9"/>
      <c r="N818" s="9"/>
      <c r="O818" s="9"/>
      <c r="P818" s="9"/>
      <c r="Q818" s="9"/>
      <c r="R818" s="14"/>
      <c r="S818" s="14"/>
    </row>
    <row r="819" spans="1:19" ht="14.25">
      <c r="A819" s="14"/>
      <c r="B819" s="9"/>
      <c r="C819" s="9"/>
      <c r="D819" s="9"/>
      <c r="E819" s="9"/>
      <c r="F819" s="9"/>
      <c r="G819" s="9"/>
      <c r="H819" s="9"/>
      <c r="I819" s="9"/>
      <c r="J819" s="9"/>
      <c r="K819" s="357"/>
      <c r="L819" s="9"/>
      <c r="M819" s="9"/>
      <c r="N819" s="9"/>
      <c r="O819" s="9"/>
      <c r="P819" s="9"/>
      <c r="Q819" s="9"/>
      <c r="R819" s="14"/>
      <c r="S819" s="14"/>
    </row>
    <row r="820" spans="1:19" ht="14.25">
      <c r="A820" s="14"/>
      <c r="B820" s="9"/>
      <c r="C820" s="9"/>
      <c r="D820" s="9"/>
      <c r="E820" s="9"/>
      <c r="F820" s="9"/>
      <c r="G820" s="9"/>
      <c r="H820" s="9"/>
      <c r="I820" s="9"/>
      <c r="J820" s="9"/>
      <c r="K820" s="357"/>
      <c r="L820" s="9"/>
      <c r="M820" s="9"/>
      <c r="N820" s="9"/>
      <c r="O820" s="9"/>
      <c r="P820" s="9"/>
      <c r="Q820" s="9"/>
      <c r="R820" s="14"/>
      <c r="S820" s="14"/>
    </row>
    <row r="821" spans="1:19" ht="14.25">
      <c r="A821" s="14"/>
      <c r="B821" s="9"/>
      <c r="C821" s="9"/>
      <c r="D821" s="9"/>
      <c r="E821" s="9"/>
      <c r="F821" s="9"/>
      <c r="G821" s="9"/>
      <c r="H821" s="9"/>
      <c r="I821" s="9"/>
      <c r="J821" s="9"/>
      <c r="K821" s="357"/>
      <c r="L821" s="9"/>
      <c r="M821" s="9"/>
      <c r="N821" s="9"/>
      <c r="O821" s="9"/>
      <c r="P821" s="9"/>
      <c r="Q821" s="9"/>
      <c r="R821" s="14"/>
      <c r="S821" s="14"/>
    </row>
    <row r="822" spans="1:19" ht="14.25">
      <c r="A822" s="14"/>
      <c r="B822" s="9"/>
      <c r="C822" s="9"/>
      <c r="D822" s="9"/>
      <c r="E822" s="9"/>
      <c r="F822" s="9"/>
      <c r="G822" s="9"/>
      <c r="H822" s="9"/>
      <c r="I822" s="9"/>
      <c r="J822" s="9"/>
      <c r="K822" s="357"/>
      <c r="L822" s="9"/>
      <c r="M822" s="9"/>
      <c r="N822" s="9"/>
      <c r="O822" s="9"/>
      <c r="P822" s="9"/>
      <c r="Q822" s="9"/>
      <c r="R822" s="14"/>
      <c r="S822" s="14"/>
    </row>
    <row r="823" spans="1:19" ht="14.25">
      <c r="A823" s="14"/>
      <c r="B823" s="9"/>
      <c r="C823" s="9"/>
      <c r="D823" s="9"/>
      <c r="E823" s="9"/>
      <c r="F823" s="9"/>
      <c r="G823" s="9"/>
      <c r="H823" s="9"/>
      <c r="I823" s="9"/>
      <c r="J823" s="9"/>
      <c r="K823" s="357"/>
      <c r="L823" s="9"/>
      <c r="M823" s="9"/>
      <c r="N823" s="9"/>
      <c r="O823" s="9"/>
      <c r="P823" s="9"/>
      <c r="Q823" s="9"/>
      <c r="R823" s="14"/>
      <c r="S823" s="14"/>
    </row>
    <row r="824" spans="1:19" ht="14.25">
      <c r="A824" s="14"/>
      <c r="B824" s="9"/>
      <c r="C824" s="9"/>
      <c r="D824" s="9"/>
      <c r="E824" s="9"/>
      <c r="F824" s="9"/>
      <c r="G824" s="9"/>
      <c r="H824" s="9"/>
      <c r="I824" s="9"/>
      <c r="J824" s="9"/>
      <c r="K824" s="357"/>
      <c r="L824" s="9"/>
      <c r="M824" s="9"/>
      <c r="N824" s="9"/>
      <c r="O824" s="9"/>
      <c r="P824" s="9"/>
      <c r="Q824" s="9"/>
      <c r="R824" s="14"/>
      <c r="S824" s="14"/>
    </row>
    <row r="825" spans="1:19" ht="14.25">
      <c r="A825" s="14"/>
      <c r="B825" s="9"/>
      <c r="C825" s="9"/>
      <c r="D825" s="9"/>
      <c r="E825" s="9"/>
      <c r="F825" s="9"/>
      <c r="G825" s="9"/>
      <c r="H825" s="9"/>
      <c r="I825" s="9"/>
      <c r="J825" s="9"/>
      <c r="K825" s="357"/>
      <c r="L825" s="9"/>
      <c r="M825" s="9"/>
      <c r="N825" s="9"/>
      <c r="O825" s="9"/>
      <c r="P825" s="9"/>
      <c r="Q825" s="9"/>
      <c r="R825" s="14"/>
      <c r="S825" s="14"/>
    </row>
    <row r="826" spans="1:19" ht="14.25">
      <c r="A826" s="14"/>
      <c r="B826" s="9"/>
      <c r="C826" s="9"/>
      <c r="D826" s="9"/>
      <c r="E826" s="9"/>
      <c r="F826" s="9"/>
      <c r="G826" s="9"/>
      <c r="H826" s="9"/>
      <c r="I826" s="9"/>
      <c r="J826" s="9"/>
      <c r="K826" s="357"/>
      <c r="L826" s="9"/>
      <c r="M826" s="9"/>
      <c r="N826" s="9"/>
      <c r="O826" s="9"/>
      <c r="P826" s="9"/>
      <c r="Q826" s="9"/>
      <c r="R826" s="14"/>
      <c r="S826" s="14"/>
    </row>
    <row r="827" spans="1:19" ht="14.25">
      <c r="A827" s="14"/>
      <c r="B827" s="9"/>
      <c r="C827" s="9"/>
      <c r="D827" s="9"/>
      <c r="E827" s="9"/>
      <c r="F827" s="9"/>
      <c r="G827" s="9"/>
      <c r="H827" s="9"/>
      <c r="I827" s="9"/>
      <c r="J827" s="9"/>
      <c r="K827" s="357"/>
      <c r="L827" s="9"/>
      <c r="M827" s="9"/>
      <c r="N827" s="9"/>
      <c r="O827" s="9"/>
      <c r="P827" s="9"/>
      <c r="Q827" s="9"/>
      <c r="R827" s="14"/>
      <c r="S827" s="14"/>
    </row>
    <row r="828" spans="1:19" ht="14.25">
      <c r="A828" s="14"/>
      <c r="B828" s="9"/>
      <c r="C828" s="9"/>
      <c r="D828" s="9"/>
      <c r="E828" s="9"/>
      <c r="F828" s="9"/>
      <c r="G828" s="9"/>
      <c r="H828" s="9"/>
      <c r="I828" s="9"/>
      <c r="J828" s="9"/>
      <c r="K828" s="357"/>
      <c r="L828" s="9"/>
      <c r="M828" s="9"/>
      <c r="N828" s="9"/>
      <c r="O828" s="9"/>
      <c r="P828" s="9"/>
      <c r="Q828" s="9"/>
      <c r="R828" s="14"/>
      <c r="S828" s="14"/>
    </row>
    <row r="829" spans="1:19" ht="14.25">
      <c r="A829" s="14"/>
      <c r="B829" s="9"/>
      <c r="C829" s="9"/>
      <c r="D829" s="9"/>
      <c r="E829" s="9"/>
      <c r="F829" s="9"/>
      <c r="G829" s="9"/>
      <c r="H829" s="9"/>
      <c r="I829" s="9"/>
      <c r="J829" s="9"/>
      <c r="K829" s="357"/>
      <c r="L829" s="9"/>
      <c r="M829" s="9"/>
      <c r="N829" s="9"/>
      <c r="O829" s="9"/>
      <c r="P829" s="9"/>
      <c r="Q829" s="9"/>
      <c r="R829" s="14"/>
      <c r="S829" s="14"/>
    </row>
    <row r="830" spans="1:19" ht="14.25">
      <c r="A830" s="14"/>
      <c r="B830" s="9"/>
      <c r="C830" s="9"/>
      <c r="D830" s="9"/>
      <c r="E830" s="9"/>
      <c r="F830" s="9"/>
      <c r="G830" s="9"/>
      <c r="H830" s="9"/>
      <c r="I830" s="9"/>
      <c r="J830" s="9"/>
      <c r="K830" s="357"/>
      <c r="L830" s="9"/>
      <c r="M830" s="9"/>
      <c r="N830" s="9"/>
      <c r="O830" s="9"/>
      <c r="P830" s="9"/>
      <c r="Q830" s="9"/>
      <c r="R830" s="14"/>
      <c r="S830" s="14"/>
    </row>
    <row r="831" spans="1:19" ht="14.25">
      <c r="A831" s="14"/>
      <c r="B831" s="9"/>
      <c r="C831" s="9"/>
      <c r="D831" s="9"/>
      <c r="E831" s="9"/>
      <c r="F831" s="9"/>
      <c r="G831" s="9"/>
      <c r="H831" s="9"/>
      <c r="I831" s="9"/>
      <c r="J831" s="9"/>
      <c r="K831" s="357"/>
      <c r="L831" s="9"/>
      <c r="M831" s="9"/>
      <c r="N831" s="9"/>
      <c r="O831" s="9"/>
      <c r="P831" s="9"/>
      <c r="Q831" s="9"/>
      <c r="R831" s="14"/>
      <c r="S831" s="14"/>
    </row>
    <row r="832" spans="1:19" ht="14.25">
      <c r="A832" s="14"/>
      <c r="B832" s="9"/>
      <c r="C832" s="9"/>
      <c r="D832" s="9"/>
      <c r="E832" s="9"/>
      <c r="F832" s="9"/>
      <c r="G832" s="9"/>
      <c r="H832" s="9"/>
      <c r="I832" s="9"/>
      <c r="J832" s="9"/>
      <c r="K832" s="357"/>
      <c r="L832" s="9"/>
      <c r="M832" s="9"/>
      <c r="N832" s="9"/>
      <c r="O832" s="9"/>
      <c r="P832" s="9"/>
      <c r="Q832" s="9"/>
      <c r="R832" s="14"/>
      <c r="S832" s="14"/>
    </row>
    <row r="833" spans="1:19" ht="14.25">
      <c r="A833" s="14"/>
      <c r="B833" s="9"/>
      <c r="C833" s="9"/>
      <c r="D833" s="9"/>
      <c r="E833" s="9"/>
      <c r="F833" s="9"/>
      <c r="G833" s="9"/>
      <c r="H833" s="9"/>
      <c r="I833" s="9"/>
      <c r="J833" s="9"/>
      <c r="K833" s="357"/>
      <c r="L833" s="9"/>
      <c r="M833" s="9"/>
      <c r="N833" s="9"/>
      <c r="O833" s="9"/>
      <c r="P833" s="9"/>
      <c r="Q833" s="9"/>
      <c r="R833" s="14"/>
      <c r="S833" s="14"/>
    </row>
    <row r="834" spans="1:19" ht="14.25">
      <c r="A834" s="14"/>
      <c r="B834" s="9"/>
      <c r="C834" s="9"/>
      <c r="D834" s="9"/>
      <c r="E834" s="9"/>
      <c r="F834" s="9"/>
      <c r="G834" s="9"/>
      <c r="H834" s="9"/>
      <c r="I834" s="9"/>
      <c r="J834" s="9"/>
      <c r="K834" s="357"/>
      <c r="L834" s="9"/>
      <c r="M834" s="9"/>
      <c r="N834" s="9"/>
      <c r="O834" s="9"/>
      <c r="P834" s="9"/>
      <c r="Q834" s="9"/>
      <c r="R834" s="14"/>
      <c r="S834" s="14"/>
    </row>
    <row r="835" spans="1:19" ht="14.25">
      <c r="A835" s="14"/>
      <c r="B835" s="9"/>
      <c r="C835" s="9"/>
      <c r="D835" s="9"/>
      <c r="E835" s="9"/>
      <c r="F835" s="9"/>
      <c r="G835" s="9"/>
      <c r="H835" s="9"/>
      <c r="I835" s="9"/>
      <c r="J835" s="9"/>
      <c r="K835" s="357"/>
      <c r="L835" s="9"/>
      <c r="M835" s="9"/>
      <c r="N835" s="9"/>
      <c r="O835" s="9"/>
      <c r="P835" s="9"/>
      <c r="Q835" s="9"/>
      <c r="R835" s="14"/>
      <c r="S835" s="14"/>
    </row>
    <row r="836" spans="1:19" ht="14.25">
      <c r="A836" s="14"/>
      <c r="B836" s="9"/>
      <c r="C836" s="9"/>
      <c r="D836" s="9"/>
      <c r="E836" s="9"/>
      <c r="F836" s="9"/>
      <c r="G836" s="9"/>
      <c r="H836" s="9"/>
      <c r="I836" s="9"/>
      <c r="J836" s="9"/>
      <c r="K836" s="357"/>
      <c r="L836" s="9"/>
      <c r="M836" s="9"/>
      <c r="N836" s="9"/>
      <c r="O836" s="9"/>
      <c r="P836" s="9"/>
      <c r="Q836" s="9"/>
      <c r="R836" s="14"/>
      <c r="S836" s="14"/>
    </row>
    <row r="837" spans="1:19" ht="14.25">
      <c r="A837" s="14"/>
      <c r="B837" s="9"/>
      <c r="C837" s="9"/>
      <c r="D837" s="9"/>
      <c r="E837" s="9"/>
      <c r="F837" s="9"/>
      <c r="G837" s="9"/>
      <c r="H837" s="9"/>
      <c r="I837" s="9"/>
      <c r="J837" s="9"/>
      <c r="K837" s="357"/>
      <c r="L837" s="9"/>
      <c r="M837" s="9"/>
      <c r="N837" s="9"/>
      <c r="O837" s="9"/>
      <c r="P837" s="9"/>
      <c r="Q837" s="9"/>
      <c r="R837" s="14"/>
      <c r="S837" s="14"/>
    </row>
    <row r="838" spans="1:19" ht="14.25">
      <c r="A838" s="14"/>
      <c r="B838" s="9"/>
      <c r="C838" s="9"/>
      <c r="D838" s="9"/>
      <c r="E838" s="9"/>
      <c r="F838" s="9"/>
      <c r="G838" s="9"/>
      <c r="H838" s="9"/>
      <c r="I838" s="9"/>
      <c r="J838" s="9"/>
      <c r="K838" s="357"/>
      <c r="L838" s="9"/>
      <c r="M838" s="9"/>
      <c r="N838" s="9"/>
      <c r="O838" s="9"/>
      <c r="P838" s="9"/>
      <c r="Q838" s="9"/>
      <c r="R838" s="14"/>
      <c r="S838" s="14"/>
    </row>
    <row r="839" spans="1:19" ht="14.25">
      <c r="A839" s="14"/>
      <c r="B839" s="9"/>
      <c r="C839" s="9"/>
      <c r="D839" s="9"/>
      <c r="E839" s="9"/>
      <c r="F839" s="9"/>
      <c r="G839" s="9"/>
      <c r="H839" s="9"/>
      <c r="I839" s="9"/>
      <c r="J839" s="9"/>
      <c r="K839" s="357"/>
      <c r="L839" s="9"/>
      <c r="M839" s="9"/>
      <c r="N839" s="9"/>
      <c r="O839" s="9"/>
      <c r="P839" s="9"/>
      <c r="Q839" s="9"/>
      <c r="R839" s="14"/>
      <c r="S839" s="14"/>
    </row>
    <row r="840" spans="1:19" ht="14.25">
      <c r="A840" s="14"/>
      <c r="B840" s="9"/>
      <c r="C840" s="9"/>
      <c r="D840" s="9"/>
      <c r="E840" s="9"/>
      <c r="F840" s="9"/>
      <c r="G840" s="9"/>
      <c r="H840" s="9"/>
      <c r="I840" s="9"/>
      <c r="J840" s="9"/>
      <c r="K840" s="357"/>
      <c r="L840" s="9"/>
      <c r="M840" s="9"/>
      <c r="N840" s="9"/>
      <c r="O840" s="9"/>
      <c r="P840" s="9"/>
      <c r="Q840" s="9"/>
      <c r="R840" s="14"/>
      <c r="S840" s="14"/>
    </row>
    <row r="841" spans="1:19" ht="14.25">
      <c r="A841" s="14"/>
      <c r="B841" s="9"/>
      <c r="C841" s="9"/>
      <c r="D841" s="9"/>
      <c r="E841" s="9"/>
      <c r="F841" s="9"/>
      <c r="G841" s="9"/>
      <c r="H841" s="9"/>
      <c r="I841" s="9"/>
      <c r="J841" s="9"/>
      <c r="K841" s="357"/>
      <c r="L841" s="9"/>
      <c r="M841" s="9"/>
      <c r="N841" s="9"/>
      <c r="O841" s="9"/>
      <c r="P841" s="9"/>
      <c r="Q841" s="9"/>
      <c r="R841" s="14"/>
      <c r="S841" s="14"/>
    </row>
    <row r="842" spans="1:19" ht="14.25">
      <c r="A842" s="14"/>
      <c r="B842" s="9"/>
      <c r="C842" s="9"/>
      <c r="D842" s="9"/>
      <c r="E842" s="9"/>
      <c r="F842" s="9"/>
      <c r="G842" s="9"/>
      <c r="H842" s="9"/>
      <c r="I842" s="9"/>
      <c r="J842" s="9"/>
      <c r="K842" s="357"/>
      <c r="L842" s="9"/>
      <c r="M842" s="9"/>
      <c r="N842" s="9"/>
      <c r="O842" s="9"/>
      <c r="P842" s="9"/>
      <c r="Q842" s="9"/>
      <c r="R842" s="14"/>
      <c r="S842" s="14"/>
    </row>
    <row r="843" spans="1:19" ht="14.25">
      <c r="A843" s="14"/>
      <c r="B843" s="9"/>
      <c r="C843" s="9"/>
      <c r="D843" s="9"/>
      <c r="E843" s="9"/>
      <c r="F843" s="9"/>
      <c r="G843" s="9"/>
      <c r="H843" s="9"/>
      <c r="I843" s="9"/>
      <c r="J843" s="9"/>
      <c r="K843" s="357"/>
      <c r="L843" s="9"/>
      <c r="M843" s="9"/>
      <c r="N843" s="9"/>
      <c r="O843" s="9"/>
      <c r="P843" s="9"/>
      <c r="Q843" s="9"/>
      <c r="R843" s="14"/>
      <c r="S843" s="14"/>
    </row>
    <row r="844" spans="1:19" ht="14.25">
      <c r="A844" s="14"/>
      <c r="B844" s="9"/>
      <c r="C844" s="9"/>
      <c r="D844" s="9"/>
      <c r="E844" s="9"/>
      <c r="F844" s="9"/>
      <c r="G844" s="9"/>
      <c r="H844" s="9"/>
      <c r="I844" s="9"/>
      <c r="J844" s="9"/>
      <c r="K844" s="357"/>
      <c r="L844" s="9"/>
      <c r="M844" s="9"/>
      <c r="N844" s="9"/>
      <c r="O844" s="9"/>
      <c r="P844" s="9"/>
      <c r="Q844" s="9"/>
      <c r="R844" s="14"/>
      <c r="S844" s="14"/>
    </row>
    <row r="845" spans="1:19" ht="14.25">
      <c r="A845" s="14"/>
      <c r="B845" s="9"/>
      <c r="C845" s="9"/>
      <c r="D845" s="9"/>
      <c r="E845" s="9"/>
      <c r="F845" s="9"/>
      <c r="G845" s="9"/>
      <c r="H845" s="9"/>
      <c r="I845" s="9"/>
      <c r="J845" s="9"/>
      <c r="K845" s="357"/>
      <c r="L845" s="9"/>
      <c r="M845" s="9"/>
      <c r="N845" s="9"/>
      <c r="O845" s="9"/>
      <c r="P845" s="9"/>
      <c r="Q845" s="9"/>
      <c r="R845" s="14"/>
      <c r="S845" s="14"/>
    </row>
    <row r="846" spans="1:19" ht="14.25">
      <c r="A846" s="14"/>
      <c r="B846" s="9"/>
      <c r="C846" s="9"/>
      <c r="D846" s="9"/>
      <c r="E846" s="9"/>
      <c r="F846" s="9"/>
      <c r="G846" s="9"/>
      <c r="H846" s="9"/>
      <c r="I846" s="9"/>
      <c r="J846" s="9"/>
      <c r="K846" s="357"/>
      <c r="L846" s="9"/>
      <c r="M846" s="9"/>
      <c r="N846" s="9"/>
      <c r="O846" s="9"/>
      <c r="P846" s="9"/>
      <c r="Q846" s="9"/>
      <c r="R846" s="14"/>
      <c r="S846" s="14"/>
    </row>
    <row r="847" spans="1:19" ht="14.25">
      <c r="A847" s="14"/>
      <c r="B847" s="9"/>
      <c r="C847" s="9"/>
      <c r="D847" s="9"/>
      <c r="E847" s="9"/>
      <c r="F847" s="9"/>
      <c r="G847" s="9"/>
      <c r="H847" s="9"/>
      <c r="I847" s="9"/>
      <c r="J847" s="9"/>
      <c r="K847" s="357"/>
      <c r="L847" s="9"/>
      <c r="M847" s="9"/>
      <c r="N847" s="9"/>
      <c r="O847" s="9"/>
      <c r="P847" s="9"/>
      <c r="Q847" s="9"/>
      <c r="R847" s="14"/>
      <c r="S847" s="14"/>
    </row>
    <row r="848" spans="1:19" ht="14.25">
      <c r="A848" s="14"/>
      <c r="B848" s="9"/>
      <c r="C848" s="9"/>
      <c r="D848" s="9"/>
      <c r="E848" s="9"/>
      <c r="F848" s="9"/>
      <c r="G848" s="9"/>
      <c r="H848" s="9"/>
      <c r="I848" s="9"/>
      <c r="J848" s="9"/>
      <c r="K848" s="357"/>
      <c r="L848" s="9"/>
      <c r="M848" s="9"/>
      <c r="N848" s="9"/>
      <c r="O848" s="9"/>
      <c r="P848" s="9"/>
      <c r="Q848" s="9"/>
      <c r="R848" s="14"/>
      <c r="S848" s="14"/>
    </row>
    <row r="849" spans="1:19" ht="14.25">
      <c r="A849" s="14"/>
      <c r="B849" s="9"/>
      <c r="C849" s="9"/>
      <c r="D849" s="9"/>
      <c r="E849" s="9"/>
      <c r="F849" s="9"/>
      <c r="G849" s="9"/>
      <c r="H849" s="9"/>
      <c r="I849" s="9"/>
      <c r="J849" s="9"/>
      <c r="K849" s="357"/>
      <c r="L849" s="9"/>
      <c r="M849" s="9"/>
      <c r="N849" s="9"/>
      <c r="O849" s="9"/>
      <c r="P849" s="9"/>
      <c r="Q849" s="9"/>
      <c r="R849" s="14"/>
      <c r="S849" s="14"/>
    </row>
    <row r="850" spans="1:19" ht="14.25">
      <c r="A850" s="14"/>
      <c r="B850" s="9"/>
      <c r="C850" s="9"/>
      <c r="D850" s="9"/>
      <c r="E850" s="9"/>
      <c r="F850" s="9"/>
      <c r="G850" s="9"/>
      <c r="H850" s="9"/>
      <c r="I850" s="9"/>
      <c r="J850" s="9"/>
      <c r="K850" s="357"/>
      <c r="L850" s="9"/>
      <c r="M850" s="9"/>
      <c r="N850" s="9"/>
      <c r="O850" s="9"/>
      <c r="P850" s="9"/>
      <c r="Q850" s="9"/>
      <c r="R850" s="14"/>
      <c r="S850" s="14"/>
    </row>
    <row r="851" spans="1:19" ht="14.25">
      <c r="A851" s="14"/>
      <c r="B851" s="9"/>
      <c r="C851" s="9"/>
      <c r="D851" s="9"/>
      <c r="E851" s="9"/>
      <c r="F851" s="9"/>
      <c r="G851" s="9"/>
      <c r="H851" s="9"/>
      <c r="I851" s="9"/>
      <c r="J851" s="9"/>
      <c r="K851" s="357"/>
      <c r="L851" s="9"/>
      <c r="M851" s="9"/>
      <c r="N851" s="9"/>
      <c r="O851" s="9"/>
      <c r="P851" s="9"/>
      <c r="Q851" s="9"/>
      <c r="R851" s="14"/>
      <c r="S851" s="14"/>
    </row>
    <row r="852" spans="1:19" ht="14.25">
      <c r="A852" s="14"/>
      <c r="B852" s="9"/>
      <c r="C852" s="9"/>
      <c r="D852" s="9"/>
      <c r="E852" s="9"/>
      <c r="F852" s="9"/>
      <c r="G852" s="9"/>
      <c r="H852" s="9"/>
      <c r="I852" s="9"/>
      <c r="J852" s="9"/>
      <c r="K852" s="357"/>
      <c r="L852" s="9"/>
      <c r="M852" s="9"/>
      <c r="N852" s="9"/>
      <c r="O852" s="9"/>
      <c r="P852" s="9"/>
      <c r="Q852" s="9"/>
      <c r="R852" s="14"/>
      <c r="S852" s="14"/>
    </row>
    <row r="853" spans="1:19" ht="14.25">
      <c r="A853" s="14"/>
      <c r="B853" s="9"/>
      <c r="C853" s="9"/>
      <c r="D853" s="9"/>
      <c r="E853" s="9"/>
      <c r="F853" s="9"/>
      <c r="G853" s="9"/>
      <c r="H853" s="9"/>
      <c r="I853" s="9"/>
      <c r="J853" s="9"/>
      <c r="K853" s="357"/>
      <c r="L853" s="9"/>
      <c r="M853" s="9"/>
      <c r="N853" s="9"/>
      <c r="O853" s="9"/>
      <c r="P853" s="9"/>
      <c r="Q853" s="9"/>
      <c r="R853" s="14"/>
      <c r="S853" s="14"/>
    </row>
    <row r="854" spans="1:19" ht="14.25">
      <c r="A854" s="14"/>
      <c r="B854" s="9"/>
      <c r="C854" s="9"/>
      <c r="D854" s="9"/>
      <c r="E854" s="9"/>
      <c r="F854" s="9"/>
      <c r="G854" s="9"/>
      <c r="H854" s="9"/>
      <c r="I854" s="9"/>
      <c r="J854" s="9"/>
      <c r="K854" s="357"/>
      <c r="L854" s="9"/>
      <c r="M854" s="9"/>
      <c r="N854" s="9"/>
      <c r="O854" s="9"/>
      <c r="P854" s="9"/>
      <c r="Q854" s="9"/>
      <c r="R854" s="14"/>
      <c r="S854" s="14"/>
    </row>
    <row r="855" spans="1:19" ht="14.25">
      <c r="A855" s="14"/>
      <c r="B855" s="9"/>
      <c r="C855" s="9"/>
      <c r="D855" s="9"/>
      <c r="E855" s="9"/>
      <c r="F855" s="9"/>
      <c r="G855" s="9"/>
      <c r="H855" s="9"/>
      <c r="I855" s="9"/>
      <c r="J855" s="9"/>
      <c r="K855" s="357"/>
      <c r="L855" s="9"/>
      <c r="M855" s="9"/>
      <c r="N855" s="9"/>
      <c r="O855" s="9"/>
      <c r="P855" s="9"/>
      <c r="Q855" s="9"/>
      <c r="R855" s="14"/>
      <c r="S855" s="14"/>
    </row>
    <row r="856" spans="1:19" ht="14.25">
      <c r="A856" s="14"/>
      <c r="B856" s="9"/>
      <c r="C856" s="9"/>
      <c r="D856" s="9"/>
      <c r="E856" s="9"/>
      <c r="F856" s="9"/>
      <c r="G856" s="9"/>
      <c r="H856" s="9"/>
      <c r="I856" s="9"/>
      <c r="J856" s="9"/>
      <c r="K856" s="357"/>
      <c r="L856" s="9"/>
      <c r="M856" s="9"/>
      <c r="N856" s="9"/>
      <c r="O856" s="9"/>
      <c r="P856" s="9"/>
      <c r="Q856" s="9"/>
      <c r="R856" s="14"/>
      <c r="S856" s="14"/>
    </row>
    <row r="857" spans="1:19" ht="14.25">
      <c r="A857" s="14"/>
      <c r="B857" s="9"/>
      <c r="C857" s="9"/>
      <c r="D857" s="9"/>
      <c r="E857" s="9"/>
      <c r="F857" s="9"/>
      <c r="G857" s="9"/>
      <c r="H857" s="9"/>
      <c r="I857" s="9"/>
      <c r="J857" s="9"/>
      <c r="K857" s="357"/>
      <c r="L857" s="9"/>
      <c r="M857" s="9"/>
      <c r="N857" s="9"/>
      <c r="O857" s="9"/>
      <c r="P857" s="9"/>
      <c r="Q857" s="9"/>
      <c r="R857" s="14"/>
      <c r="S857" s="14"/>
    </row>
    <row r="858" spans="1:19" ht="14.25">
      <c r="A858" s="14"/>
      <c r="B858" s="9"/>
      <c r="C858" s="9"/>
      <c r="D858" s="9"/>
      <c r="E858" s="9"/>
      <c r="F858" s="9"/>
      <c r="G858" s="9"/>
      <c r="H858" s="9"/>
      <c r="I858" s="9"/>
      <c r="J858" s="9"/>
      <c r="K858" s="357"/>
      <c r="L858" s="9"/>
      <c r="M858" s="9"/>
      <c r="N858" s="9"/>
      <c r="O858" s="9"/>
      <c r="P858" s="9"/>
      <c r="Q858" s="9"/>
      <c r="R858" s="14"/>
      <c r="S858" s="14"/>
    </row>
    <row r="859" spans="1:19" ht="14.25">
      <c r="A859" s="14"/>
      <c r="B859" s="9"/>
      <c r="C859" s="9"/>
      <c r="D859" s="9"/>
      <c r="E859" s="9"/>
      <c r="F859" s="9"/>
      <c r="G859" s="9"/>
      <c r="H859" s="9"/>
      <c r="I859" s="9"/>
      <c r="J859" s="9"/>
      <c r="K859" s="357"/>
      <c r="L859" s="9"/>
      <c r="M859" s="9"/>
      <c r="N859" s="9"/>
      <c r="O859" s="9"/>
      <c r="P859" s="9"/>
      <c r="Q859" s="9"/>
      <c r="R859" s="14"/>
      <c r="S859" s="14"/>
    </row>
    <row r="860" spans="1:19" ht="14.25">
      <c r="A860" s="14"/>
      <c r="B860" s="9"/>
      <c r="C860" s="9"/>
      <c r="D860" s="9"/>
      <c r="E860" s="9"/>
      <c r="F860" s="9"/>
      <c r="G860" s="9"/>
      <c r="H860" s="9"/>
      <c r="I860" s="9"/>
      <c r="J860" s="9"/>
      <c r="K860" s="357"/>
      <c r="L860" s="9"/>
      <c r="M860" s="9"/>
      <c r="N860" s="9"/>
      <c r="O860" s="9"/>
      <c r="P860" s="9"/>
      <c r="Q860" s="9"/>
      <c r="R860" s="14"/>
      <c r="S860" s="14"/>
    </row>
    <row r="861" spans="1:19" ht="14.25">
      <c r="A861" s="14"/>
      <c r="B861" s="9"/>
      <c r="C861" s="9"/>
      <c r="D861" s="9"/>
      <c r="E861" s="9"/>
      <c r="F861" s="9"/>
      <c r="G861" s="9"/>
      <c r="H861" s="9"/>
      <c r="I861" s="9"/>
      <c r="J861" s="9"/>
      <c r="K861" s="357"/>
      <c r="L861" s="9"/>
      <c r="M861" s="9"/>
      <c r="N861" s="9"/>
      <c r="O861" s="9"/>
      <c r="P861" s="9"/>
      <c r="Q861" s="9"/>
      <c r="R861" s="14"/>
      <c r="S861" s="14"/>
    </row>
    <row r="862" spans="1:19" ht="14.25">
      <c r="A862" s="14"/>
      <c r="B862" s="9"/>
      <c r="C862" s="9"/>
      <c r="D862" s="9"/>
      <c r="E862" s="9"/>
      <c r="F862" s="9"/>
      <c r="G862" s="9"/>
      <c r="H862" s="9"/>
      <c r="I862" s="9"/>
      <c r="J862" s="9"/>
      <c r="K862" s="357"/>
      <c r="L862" s="9"/>
      <c r="M862" s="9"/>
      <c r="N862" s="9"/>
      <c r="O862" s="9"/>
      <c r="P862" s="9"/>
      <c r="Q862" s="9"/>
      <c r="R862" s="14"/>
      <c r="S862" s="14"/>
    </row>
    <row r="863" spans="1:19" ht="14.25">
      <c r="A863" s="14"/>
      <c r="B863" s="9"/>
      <c r="C863" s="9"/>
      <c r="D863" s="9"/>
      <c r="E863" s="9"/>
      <c r="F863" s="9"/>
      <c r="G863" s="9"/>
      <c r="H863" s="9"/>
      <c r="I863" s="9"/>
      <c r="J863" s="9"/>
      <c r="K863" s="357"/>
      <c r="L863" s="9"/>
      <c r="M863" s="9"/>
      <c r="N863" s="9"/>
      <c r="O863" s="9"/>
      <c r="P863" s="9"/>
      <c r="Q863" s="9"/>
      <c r="R863" s="14"/>
      <c r="S863" s="14"/>
    </row>
    <row r="864" spans="1:19" ht="14.25">
      <c r="A864" s="14"/>
      <c r="B864" s="9"/>
      <c r="C864" s="9"/>
      <c r="D864" s="9"/>
      <c r="E864" s="9"/>
      <c r="F864" s="9"/>
      <c r="G864" s="9"/>
      <c r="H864" s="9"/>
      <c r="I864" s="9"/>
      <c r="J864" s="9"/>
      <c r="K864" s="357"/>
      <c r="L864" s="9"/>
      <c r="M864" s="9"/>
      <c r="N864" s="9"/>
      <c r="O864" s="9"/>
      <c r="P864" s="9"/>
      <c r="Q864" s="9"/>
      <c r="R864" s="14"/>
      <c r="S864" s="14"/>
    </row>
    <row r="865" spans="1:19" ht="14.25">
      <c r="A865" s="14"/>
      <c r="B865" s="9"/>
      <c r="C865" s="9"/>
      <c r="D865" s="9"/>
      <c r="E865" s="9"/>
      <c r="F865" s="9"/>
      <c r="G865" s="9"/>
      <c r="H865" s="9"/>
      <c r="I865" s="9"/>
      <c r="J865" s="9"/>
      <c r="K865" s="357"/>
      <c r="L865" s="9"/>
      <c r="M865" s="9"/>
      <c r="N865" s="9"/>
      <c r="O865" s="9"/>
      <c r="P865" s="9"/>
      <c r="Q865" s="9"/>
      <c r="R865" s="14"/>
      <c r="S865" s="14"/>
    </row>
    <row r="866" spans="1:19" ht="14.25">
      <c r="A866" s="14"/>
      <c r="B866" s="9"/>
      <c r="C866" s="9"/>
      <c r="D866" s="9"/>
      <c r="E866" s="9"/>
      <c r="F866" s="9"/>
      <c r="G866" s="9"/>
      <c r="H866" s="9"/>
      <c r="I866" s="9"/>
      <c r="J866" s="9"/>
      <c r="K866" s="357"/>
      <c r="L866" s="9"/>
      <c r="M866" s="9"/>
      <c r="N866" s="9"/>
      <c r="O866" s="9"/>
      <c r="P866" s="9"/>
      <c r="Q866" s="9"/>
      <c r="R866" s="14"/>
      <c r="S866" s="14"/>
    </row>
    <row r="867" spans="1:19" ht="14.25">
      <c r="A867" s="14"/>
      <c r="B867" s="9"/>
      <c r="C867" s="9"/>
      <c r="D867" s="9"/>
      <c r="E867" s="9"/>
      <c r="F867" s="9"/>
      <c r="G867" s="9"/>
      <c r="H867" s="9"/>
      <c r="I867" s="9"/>
      <c r="J867" s="9"/>
      <c r="K867" s="357"/>
      <c r="L867" s="9"/>
      <c r="M867" s="9"/>
      <c r="N867" s="9"/>
      <c r="O867" s="9"/>
      <c r="P867" s="9"/>
      <c r="Q867" s="9"/>
      <c r="R867" s="14"/>
      <c r="S867" s="14"/>
    </row>
    <row r="868" spans="1:19" ht="14.25">
      <c r="A868" s="14"/>
      <c r="B868" s="9"/>
      <c r="C868" s="9"/>
      <c r="D868" s="9"/>
      <c r="E868" s="9"/>
      <c r="F868" s="9"/>
      <c r="G868" s="9"/>
      <c r="H868" s="9"/>
      <c r="I868" s="9"/>
      <c r="J868" s="9"/>
      <c r="K868" s="357"/>
      <c r="L868" s="9"/>
      <c r="M868" s="9"/>
      <c r="N868" s="9"/>
      <c r="O868" s="9"/>
      <c r="P868" s="9"/>
      <c r="Q868" s="9"/>
      <c r="R868" s="14"/>
      <c r="S868" s="14"/>
    </row>
    <row r="869" spans="1:19" ht="14.25">
      <c r="A869" s="14"/>
      <c r="B869" s="9"/>
      <c r="C869" s="9"/>
      <c r="D869" s="9"/>
      <c r="E869" s="9"/>
      <c r="F869" s="9"/>
      <c r="G869" s="9"/>
      <c r="H869" s="9"/>
      <c r="I869" s="9"/>
      <c r="J869" s="9"/>
      <c r="K869" s="357"/>
      <c r="L869" s="9"/>
      <c r="M869" s="9"/>
      <c r="N869" s="9"/>
      <c r="O869" s="9"/>
      <c r="P869" s="9"/>
      <c r="Q869" s="9"/>
      <c r="R869" s="14"/>
      <c r="S869" s="14"/>
    </row>
    <row r="870" spans="1:19" ht="14.25">
      <c r="A870" s="14"/>
      <c r="B870" s="9"/>
      <c r="C870" s="9"/>
      <c r="D870" s="9"/>
      <c r="E870" s="9"/>
      <c r="F870" s="9"/>
      <c r="G870" s="9"/>
      <c r="H870" s="9"/>
      <c r="I870" s="9"/>
      <c r="J870" s="9"/>
      <c r="K870" s="357"/>
      <c r="L870" s="9"/>
      <c r="M870" s="9"/>
      <c r="N870" s="9"/>
      <c r="O870" s="9"/>
      <c r="P870" s="9"/>
      <c r="Q870" s="9"/>
      <c r="R870" s="14"/>
      <c r="S870" s="14"/>
    </row>
    <row r="871" spans="1:19" ht="14.25">
      <c r="A871" s="14"/>
      <c r="B871" s="9"/>
      <c r="C871" s="9"/>
      <c r="D871" s="9"/>
      <c r="E871" s="9"/>
      <c r="F871" s="9"/>
      <c r="G871" s="9"/>
      <c r="H871" s="9"/>
      <c r="I871" s="9"/>
      <c r="J871" s="9"/>
      <c r="K871" s="357"/>
      <c r="L871" s="9"/>
      <c r="M871" s="9"/>
      <c r="N871" s="9"/>
      <c r="O871" s="9"/>
      <c r="P871" s="9"/>
      <c r="Q871" s="9"/>
      <c r="R871" s="14"/>
      <c r="S871" s="14"/>
    </row>
    <row r="872" spans="1:19" ht="14.25">
      <c r="A872" s="14"/>
      <c r="B872" s="9"/>
      <c r="C872" s="9"/>
      <c r="D872" s="9"/>
      <c r="E872" s="9"/>
      <c r="F872" s="9"/>
      <c r="G872" s="9"/>
      <c r="H872" s="9"/>
      <c r="I872" s="9"/>
      <c r="J872" s="9"/>
      <c r="K872" s="357"/>
      <c r="L872" s="9"/>
      <c r="M872" s="9"/>
      <c r="N872" s="9"/>
      <c r="O872" s="9"/>
      <c r="P872" s="9"/>
      <c r="Q872" s="9"/>
      <c r="R872" s="14"/>
      <c r="S872" s="14"/>
    </row>
    <row r="873" spans="1:19" ht="14.25">
      <c r="A873" s="14"/>
      <c r="B873" s="9"/>
      <c r="C873" s="9"/>
      <c r="D873" s="9"/>
      <c r="E873" s="9"/>
      <c r="F873" s="9"/>
      <c r="G873" s="9"/>
      <c r="H873" s="9"/>
      <c r="I873" s="9"/>
      <c r="J873" s="9"/>
      <c r="K873" s="357"/>
      <c r="L873" s="9"/>
      <c r="M873" s="9"/>
      <c r="N873" s="9"/>
      <c r="O873" s="9"/>
      <c r="P873" s="9"/>
      <c r="Q873" s="9"/>
      <c r="R873" s="14"/>
      <c r="S873" s="14"/>
    </row>
    <row r="874" spans="1:19" ht="14.25">
      <c r="A874" s="14"/>
      <c r="B874" s="9"/>
      <c r="C874" s="9"/>
      <c r="D874" s="9"/>
      <c r="E874" s="9"/>
      <c r="F874" s="9"/>
      <c r="G874" s="9"/>
      <c r="H874" s="9"/>
      <c r="I874" s="9"/>
      <c r="J874" s="9"/>
      <c r="K874" s="357"/>
      <c r="L874" s="9"/>
      <c r="M874" s="9"/>
      <c r="N874" s="9"/>
      <c r="O874" s="9"/>
      <c r="P874" s="9"/>
      <c r="Q874" s="9"/>
      <c r="R874" s="14"/>
      <c r="S874" s="14"/>
    </row>
    <row r="875" spans="1:19" ht="14.25">
      <c r="A875" s="14"/>
      <c r="B875" s="9"/>
      <c r="C875" s="9"/>
      <c r="D875" s="9"/>
      <c r="E875" s="9"/>
      <c r="F875" s="9"/>
      <c r="G875" s="9"/>
      <c r="H875" s="9"/>
      <c r="I875" s="9"/>
      <c r="J875" s="9"/>
      <c r="K875" s="357"/>
      <c r="L875" s="9"/>
      <c r="M875" s="9"/>
      <c r="N875" s="9"/>
      <c r="O875" s="9"/>
      <c r="P875" s="9"/>
      <c r="Q875" s="9"/>
      <c r="R875" s="14"/>
      <c r="S875" s="14"/>
    </row>
    <row r="876" spans="1:19" ht="14.25">
      <c r="A876" s="14"/>
      <c r="B876" s="9"/>
      <c r="C876" s="9"/>
      <c r="D876" s="9"/>
      <c r="E876" s="9"/>
      <c r="F876" s="9"/>
      <c r="G876" s="9"/>
      <c r="H876" s="9"/>
      <c r="I876" s="9"/>
      <c r="J876" s="9"/>
      <c r="K876" s="357"/>
      <c r="L876" s="9"/>
      <c r="M876" s="9"/>
      <c r="N876" s="9"/>
      <c r="O876" s="9"/>
      <c r="P876" s="9"/>
      <c r="Q876" s="9"/>
      <c r="R876" s="14"/>
      <c r="S876" s="14"/>
    </row>
    <row r="877" spans="1:19" ht="14.25">
      <c r="A877" s="14"/>
      <c r="B877" s="9"/>
      <c r="C877" s="9"/>
      <c r="D877" s="9"/>
      <c r="E877" s="9"/>
      <c r="F877" s="9"/>
      <c r="G877" s="9"/>
      <c r="H877" s="9"/>
      <c r="I877" s="9"/>
      <c r="J877" s="9"/>
      <c r="K877" s="357"/>
      <c r="L877" s="9"/>
      <c r="M877" s="9"/>
      <c r="N877" s="9"/>
      <c r="O877" s="9"/>
      <c r="P877" s="9"/>
      <c r="Q877" s="9"/>
      <c r="R877" s="14"/>
      <c r="S877" s="14"/>
    </row>
    <row r="878" spans="1:19" ht="14.25">
      <c r="A878" s="14"/>
      <c r="B878" s="9"/>
      <c r="C878" s="9"/>
      <c r="D878" s="9"/>
      <c r="E878" s="9"/>
      <c r="F878" s="9"/>
      <c r="G878" s="9"/>
      <c r="H878" s="9"/>
      <c r="I878" s="9"/>
      <c r="J878" s="9"/>
      <c r="K878" s="357"/>
      <c r="L878" s="9"/>
      <c r="M878" s="9"/>
      <c r="N878" s="9"/>
      <c r="O878" s="9"/>
      <c r="P878" s="9"/>
      <c r="Q878" s="9"/>
      <c r="R878" s="14"/>
      <c r="S878" s="14"/>
    </row>
    <row r="879" spans="1:19" ht="14.25">
      <c r="A879" s="14"/>
      <c r="B879" s="9"/>
      <c r="C879" s="9"/>
      <c r="D879" s="9"/>
      <c r="E879" s="9"/>
      <c r="F879" s="9"/>
      <c r="G879" s="9"/>
      <c r="H879" s="9"/>
      <c r="I879" s="9"/>
      <c r="J879" s="9"/>
      <c r="K879" s="357"/>
      <c r="L879" s="9"/>
      <c r="M879" s="9"/>
      <c r="N879" s="9"/>
      <c r="O879" s="9"/>
      <c r="P879" s="9"/>
      <c r="Q879" s="9"/>
      <c r="R879" s="14"/>
      <c r="S879" s="14"/>
    </row>
    <row r="880" spans="1:19" ht="14.25">
      <c r="A880" s="14"/>
      <c r="B880" s="9"/>
      <c r="C880" s="9"/>
      <c r="D880" s="9"/>
      <c r="E880" s="9"/>
      <c r="F880" s="9"/>
      <c r="G880" s="9"/>
      <c r="H880" s="9"/>
      <c r="I880" s="9"/>
      <c r="J880" s="9"/>
      <c r="K880" s="357"/>
      <c r="L880" s="9"/>
      <c r="M880" s="9"/>
      <c r="N880" s="9"/>
      <c r="O880" s="9"/>
      <c r="P880" s="9"/>
      <c r="Q880" s="9"/>
      <c r="R880" s="14"/>
      <c r="S880" s="14"/>
    </row>
    <row r="881" spans="1:19" ht="14.25">
      <c r="A881" s="14"/>
      <c r="B881" s="9"/>
      <c r="C881" s="9"/>
      <c r="D881" s="9"/>
      <c r="E881" s="9"/>
      <c r="F881" s="9"/>
      <c r="G881" s="9"/>
      <c r="H881" s="9"/>
      <c r="I881" s="9"/>
      <c r="J881" s="9"/>
      <c r="K881" s="357"/>
      <c r="L881" s="9"/>
      <c r="M881" s="9"/>
      <c r="N881" s="9"/>
      <c r="O881" s="9"/>
      <c r="P881" s="9"/>
      <c r="Q881" s="9"/>
      <c r="R881" s="14"/>
      <c r="S881" s="14"/>
    </row>
    <row r="882" spans="1:19" ht="14.25">
      <c r="A882" s="14"/>
      <c r="B882" s="9"/>
      <c r="C882" s="9"/>
      <c r="D882" s="9"/>
      <c r="E882" s="9"/>
      <c r="F882" s="9"/>
      <c r="G882" s="9"/>
      <c r="H882" s="9"/>
      <c r="I882" s="9"/>
      <c r="J882" s="9"/>
      <c r="K882" s="357"/>
      <c r="L882" s="9"/>
      <c r="M882" s="9"/>
      <c r="N882" s="9"/>
      <c r="O882" s="9"/>
      <c r="P882" s="9"/>
      <c r="Q882" s="9"/>
      <c r="R882" s="14"/>
      <c r="S882" s="14"/>
    </row>
    <row r="883" spans="1:19" ht="14.25">
      <c r="A883" s="14"/>
      <c r="B883" s="9"/>
      <c r="C883" s="9"/>
      <c r="D883" s="9"/>
      <c r="E883" s="9"/>
      <c r="F883" s="9"/>
      <c r="G883" s="9"/>
      <c r="H883" s="9"/>
      <c r="I883" s="9"/>
      <c r="J883" s="9"/>
      <c r="K883" s="357"/>
      <c r="L883" s="9"/>
      <c r="M883" s="9"/>
      <c r="N883" s="9"/>
      <c r="O883" s="9"/>
      <c r="P883" s="9"/>
      <c r="Q883" s="9"/>
      <c r="R883" s="14"/>
      <c r="S883" s="14"/>
    </row>
    <row r="884" spans="1:19" ht="14.25">
      <c r="A884" s="14"/>
      <c r="B884" s="9"/>
      <c r="C884" s="9"/>
      <c r="D884" s="9"/>
      <c r="E884" s="9"/>
      <c r="F884" s="9"/>
      <c r="G884" s="9"/>
      <c r="H884" s="9"/>
      <c r="I884" s="9"/>
      <c r="J884" s="9"/>
      <c r="K884" s="357"/>
      <c r="L884" s="9"/>
      <c r="M884" s="9"/>
      <c r="N884" s="9"/>
      <c r="O884" s="9"/>
      <c r="P884" s="9"/>
      <c r="Q884" s="9"/>
      <c r="R884" s="14"/>
      <c r="S884" s="14"/>
    </row>
    <row r="885" spans="1:19" ht="14.25">
      <c r="A885" s="14"/>
      <c r="B885" s="9"/>
      <c r="C885" s="9"/>
      <c r="D885" s="9"/>
      <c r="E885" s="9"/>
      <c r="F885" s="9"/>
      <c r="G885" s="9"/>
      <c r="H885" s="9"/>
      <c r="I885" s="9"/>
      <c r="J885" s="9"/>
      <c r="K885" s="357"/>
      <c r="L885" s="9"/>
      <c r="M885" s="9"/>
      <c r="N885" s="9"/>
      <c r="O885" s="9"/>
      <c r="P885" s="9"/>
      <c r="Q885" s="9"/>
      <c r="R885" s="14"/>
      <c r="S885" s="14"/>
    </row>
    <row r="886" spans="1:19" ht="14.25">
      <c r="A886" s="14"/>
      <c r="B886" s="9"/>
      <c r="C886" s="9"/>
      <c r="D886" s="9"/>
      <c r="E886" s="9"/>
      <c r="F886" s="9"/>
      <c r="G886" s="9"/>
      <c r="H886" s="9"/>
      <c r="I886" s="9"/>
      <c r="J886" s="9"/>
      <c r="K886" s="357"/>
      <c r="L886" s="9"/>
      <c r="M886" s="9"/>
      <c r="N886" s="9"/>
      <c r="O886" s="9"/>
      <c r="P886" s="9"/>
      <c r="Q886" s="9"/>
      <c r="R886" s="14"/>
      <c r="S886" s="14"/>
    </row>
    <row r="887" spans="1:19" ht="14.25">
      <c r="A887" s="14"/>
      <c r="B887" s="9"/>
      <c r="C887" s="9"/>
      <c r="D887" s="9"/>
      <c r="E887" s="9"/>
      <c r="F887" s="9"/>
      <c r="G887" s="9"/>
      <c r="H887" s="9"/>
      <c r="I887" s="9"/>
      <c r="J887" s="9"/>
      <c r="K887" s="357"/>
      <c r="L887" s="9"/>
      <c r="M887" s="9"/>
      <c r="N887" s="9"/>
      <c r="O887" s="9"/>
      <c r="P887" s="9"/>
      <c r="Q887" s="9"/>
      <c r="R887" s="14"/>
      <c r="S887" s="14"/>
    </row>
    <row r="888" spans="1:19" ht="14.25">
      <c r="A888" s="14"/>
      <c r="B888" s="9"/>
      <c r="C888" s="9"/>
      <c r="D888" s="9"/>
      <c r="E888" s="9"/>
      <c r="F888" s="9"/>
      <c r="G888" s="9"/>
      <c r="H888" s="9"/>
      <c r="I888" s="9"/>
      <c r="J888" s="9"/>
      <c r="K888" s="357"/>
      <c r="L888" s="9"/>
      <c r="M888" s="9"/>
      <c r="N888" s="9"/>
      <c r="O888" s="9"/>
      <c r="P888" s="9"/>
      <c r="Q888" s="9"/>
      <c r="R888" s="14"/>
      <c r="S888" s="14"/>
    </row>
    <row r="889" spans="1:19" ht="14.25">
      <c r="A889" s="14"/>
      <c r="B889" s="9"/>
      <c r="C889" s="9"/>
      <c r="D889" s="9"/>
      <c r="E889" s="9"/>
      <c r="F889" s="9"/>
      <c r="G889" s="9"/>
      <c r="H889" s="9"/>
      <c r="I889" s="9"/>
      <c r="J889" s="9"/>
      <c r="K889" s="357"/>
      <c r="L889" s="9"/>
      <c r="M889" s="9"/>
      <c r="N889" s="9"/>
      <c r="O889" s="9"/>
      <c r="P889" s="9"/>
      <c r="Q889" s="9"/>
      <c r="R889" s="14"/>
      <c r="S889" s="14"/>
    </row>
    <row r="890" spans="1:19" ht="14.25">
      <c r="A890" s="14"/>
      <c r="B890" s="9"/>
      <c r="C890" s="9"/>
      <c r="D890" s="9"/>
      <c r="E890" s="9"/>
      <c r="F890" s="9"/>
      <c r="G890" s="9"/>
      <c r="H890" s="9"/>
      <c r="I890" s="9"/>
      <c r="J890" s="9"/>
      <c r="K890" s="357"/>
      <c r="L890" s="9"/>
      <c r="M890" s="9"/>
      <c r="N890" s="9"/>
      <c r="O890" s="9"/>
      <c r="P890" s="9"/>
      <c r="Q890" s="9"/>
      <c r="R890" s="14"/>
      <c r="S890" s="14"/>
    </row>
    <row r="891" spans="1:19" ht="14.25">
      <c r="A891" s="14"/>
      <c r="B891" s="9"/>
      <c r="C891" s="9"/>
      <c r="D891" s="9"/>
      <c r="E891" s="9"/>
      <c r="F891" s="9"/>
      <c r="G891" s="9"/>
      <c r="H891" s="9"/>
      <c r="I891" s="9"/>
      <c r="J891" s="9"/>
      <c r="K891" s="357"/>
      <c r="L891" s="9"/>
      <c r="M891" s="9"/>
      <c r="N891" s="9"/>
      <c r="O891" s="9"/>
      <c r="P891" s="9"/>
      <c r="Q891" s="9"/>
      <c r="R891" s="14"/>
      <c r="S891" s="14"/>
    </row>
    <row r="892" spans="1:19" ht="14.25">
      <c r="A892" s="14"/>
      <c r="B892" s="9"/>
      <c r="C892" s="9"/>
      <c r="D892" s="9"/>
      <c r="E892" s="9"/>
      <c r="F892" s="9"/>
      <c r="G892" s="9"/>
      <c r="H892" s="9"/>
      <c r="I892" s="9"/>
      <c r="J892" s="9"/>
      <c r="K892" s="357"/>
      <c r="L892" s="9"/>
      <c r="M892" s="9"/>
      <c r="N892" s="9"/>
      <c r="O892" s="9"/>
      <c r="P892" s="9"/>
      <c r="Q892" s="9"/>
      <c r="R892" s="14"/>
      <c r="S892" s="14"/>
    </row>
    <row r="893" spans="1:19" ht="14.25">
      <c r="A893" s="14"/>
      <c r="B893" s="9"/>
      <c r="C893" s="9"/>
      <c r="D893" s="9"/>
      <c r="E893" s="9"/>
      <c r="F893" s="9"/>
      <c r="G893" s="9"/>
      <c r="H893" s="9"/>
      <c r="I893" s="9"/>
      <c r="J893" s="9"/>
      <c r="K893" s="357"/>
      <c r="L893" s="9"/>
      <c r="M893" s="9"/>
      <c r="N893" s="9"/>
      <c r="O893" s="9"/>
      <c r="P893" s="9"/>
      <c r="Q893" s="9"/>
      <c r="R893" s="14"/>
      <c r="S893" s="14"/>
    </row>
    <row r="894" spans="1:19" ht="14.25">
      <c r="A894" s="14"/>
      <c r="B894" s="9"/>
      <c r="C894" s="9"/>
      <c r="D894" s="9"/>
      <c r="E894" s="9"/>
      <c r="F894" s="9"/>
      <c r="G894" s="9"/>
      <c r="H894" s="9"/>
      <c r="I894" s="9"/>
      <c r="J894" s="9"/>
      <c r="K894" s="357"/>
      <c r="L894" s="9"/>
      <c r="M894" s="9"/>
      <c r="N894" s="9"/>
      <c r="O894" s="9"/>
      <c r="P894" s="9"/>
      <c r="Q894" s="9"/>
      <c r="R894" s="14"/>
      <c r="S894" s="14"/>
    </row>
    <row r="895" spans="1:19" ht="14.25">
      <c r="A895" s="14"/>
      <c r="B895" s="9"/>
      <c r="C895" s="9"/>
      <c r="D895" s="9"/>
      <c r="E895" s="9"/>
      <c r="F895" s="9"/>
      <c r="G895" s="9"/>
      <c r="H895" s="9"/>
      <c r="I895" s="9"/>
      <c r="J895" s="9"/>
      <c r="K895" s="357"/>
      <c r="L895" s="9"/>
      <c r="M895" s="9"/>
      <c r="N895" s="9"/>
      <c r="O895" s="9"/>
      <c r="P895" s="9"/>
      <c r="Q895" s="9"/>
      <c r="R895" s="14"/>
      <c r="S895" s="14"/>
    </row>
    <row r="896" spans="1:19" ht="14.25">
      <c r="A896" s="14"/>
      <c r="B896" s="9"/>
      <c r="C896" s="9"/>
      <c r="D896" s="9"/>
      <c r="E896" s="9"/>
      <c r="F896" s="9"/>
      <c r="G896" s="9"/>
      <c r="H896" s="9"/>
      <c r="I896" s="9"/>
      <c r="J896" s="9"/>
      <c r="K896" s="357"/>
      <c r="L896" s="9"/>
      <c r="M896" s="9"/>
      <c r="N896" s="9"/>
      <c r="O896" s="9"/>
      <c r="P896" s="9"/>
      <c r="Q896" s="9"/>
      <c r="R896" s="14"/>
      <c r="S896" s="14"/>
    </row>
    <row r="897" spans="1:19" ht="14.25">
      <c r="A897" s="14"/>
      <c r="B897" s="9"/>
      <c r="C897" s="9"/>
      <c r="D897" s="9"/>
      <c r="E897" s="9"/>
      <c r="F897" s="9"/>
      <c r="G897" s="9"/>
      <c r="H897" s="9"/>
      <c r="I897" s="9"/>
      <c r="J897" s="9"/>
      <c r="K897" s="357"/>
      <c r="L897" s="9"/>
      <c r="M897" s="9"/>
      <c r="N897" s="9"/>
      <c r="O897" s="9"/>
      <c r="P897" s="9"/>
      <c r="Q897" s="9"/>
      <c r="R897" s="14"/>
      <c r="S897" s="14"/>
    </row>
    <row r="898" spans="1:19" ht="14.25">
      <c r="A898" s="14"/>
      <c r="B898" s="9"/>
      <c r="C898" s="9"/>
      <c r="D898" s="9"/>
      <c r="E898" s="9"/>
      <c r="F898" s="9"/>
      <c r="G898" s="9"/>
      <c r="H898" s="9"/>
      <c r="I898" s="9"/>
      <c r="J898" s="9"/>
      <c r="K898" s="357"/>
      <c r="L898" s="9"/>
      <c r="M898" s="9"/>
      <c r="N898" s="9"/>
      <c r="O898" s="9"/>
      <c r="P898" s="9"/>
      <c r="Q898" s="9"/>
      <c r="R898" s="14"/>
      <c r="S898" s="14"/>
    </row>
    <row r="899" spans="1:19" ht="14.25">
      <c r="A899" s="14"/>
      <c r="B899" s="9"/>
      <c r="C899" s="9"/>
      <c r="D899" s="9"/>
      <c r="E899" s="9"/>
      <c r="F899" s="9"/>
      <c r="G899" s="9"/>
      <c r="H899" s="9"/>
      <c r="I899" s="9"/>
      <c r="J899" s="9"/>
      <c r="K899" s="357"/>
      <c r="L899" s="9"/>
      <c r="M899" s="9"/>
      <c r="N899" s="9"/>
      <c r="O899" s="9"/>
      <c r="P899" s="9"/>
      <c r="Q899" s="9"/>
      <c r="R899" s="14"/>
      <c r="S899" s="14"/>
    </row>
    <row r="900" spans="1:19" ht="14.25">
      <c r="A900" s="14"/>
      <c r="B900" s="9"/>
      <c r="C900" s="9"/>
      <c r="D900" s="9"/>
      <c r="E900" s="9"/>
      <c r="F900" s="9"/>
      <c r="G900" s="9"/>
      <c r="H900" s="9"/>
      <c r="I900" s="9"/>
      <c r="J900" s="9"/>
      <c r="K900" s="357"/>
      <c r="L900" s="9"/>
      <c r="M900" s="9"/>
      <c r="N900" s="9"/>
      <c r="O900" s="9"/>
      <c r="P900" s="9"/>
      <c r="Q900" s="9"/>
      <c r="R900" s="14"/>
      <c r="S900" s="14"/>
    </row>
    <row r="901" spans="1:19" ht="14.25">
      <c r="A901" s="14"/>
      <c r="B901" s="9"/>
      <c r="C901" s="9"/>
      <c r="D901" s="9"/>
      <c r="E901" s="9"/>
      <c r="F901" s="9"/>
      <c r="G901" s="9"/>
      <c r="H901" s="9"/>
      <c r="I901" s="9"/>
      <c r="J901" s="9"/>
      <c r="K901" s="357"/>
      <c r="L901" s="9"/>
      <c r="M901" s="9"/>
      <c r="N901" s="9"/>
      <c r="O901" s="9"/>
      <c r="P901" s="9"/>
      <c r="Q901" s="9"/>
      <c r="R901" s="14"/>
      <c r="S901" s="14"/>
    </row>
    <row r="902" spans="1:19" ht="14.25">
      <c r="A902" s="14"/>
      <c r="B902" s="9"/>
      <c r="C902" s="9"/>
      <c r="D902" s="9"/>
      <c r="E902" s="9"/>
      <c r="F902" s="9"/>
      <c r="G902" s="9"/>
      <c r="H902" s="9"/>
      <c r="I902" s="9"/>
      <c r="J902" s="9"/>
      <c r="K902" s="357"/>
      <c r="L902" s="9"/>
      <c r="M902" s="9"/>
      <c r="N902" s="9"/>
      <c r="O902" s="9"/>
      <c r="P902" s="9"/>
      <c r="Q902" s="9"/>
      <c r="R902" s="14"/>
      <c r="S902" s="14"/>
    </row>
    <row r="903" spans="1:19" ht="14.25">
      <c r="A903" s="14"/>
      <c r="B903" s="9"/>
      <c r="C903" s="9"/>
      <c r="D903" s="9"/>
      <c r="E903" s="9"/>
      <c r="F903" s="9"/>
      <c r="G903" s="9"/>
      <c r="H903" s="9"/>
      <c r="I903" s="9"/>
      <c r="J903" s="9"/>
      <c r="K903" s="357"/>
      <c r="L903" s="9"/>
      <c r="M903" s="9"/>
      <c r="N903" s="9"/>
      <c r="O903" s="9"/>
      <c r="P903" s="9"/>
      <c r="Q903" s="9"/>
      <c r="R903" s="14"/>
      <c r="S903" s="14"/>
    </row>
    <row r="904" spans="1:19" ht="14.25">
      <c r="A904" s="14"/>
      <c r="B904" s="9"/>
      <c r="C904" s="9"/>
      <c r="D904" s="9"/>
      <c r="E904" s="9"/>
      <c r="F904" s="9"/>
      <c r="G904" s="9"/>
      <c r="H904" s="9"/>
      <c r="I904" s="9"/>
      <c r="J904" s="9"/>
      <c r="K904" s="357"/>
      <c r="L904" s="9"/>
      <c r="M904" s="9"/>
      <c r="N904" s="9"/>
      <c r="O904" s="9"/>
      <c r="P904" s="9"/>
      <c r="Q904" s="9"/>
      <c r="R904" s="14"/>
      <c r="S904" s="14"/>
    </row>
    <row r="905" spans="1:19" ht="14.25">
      <c r="A905" s="14"/>
      <c r="B905" s="9"/>
      <c r="C905" s="9"/>
      <c r="D905" s="9"/>
      <c r="E905" s="9"/>
      <c r="F905" s="9"/>
      <c r="G905" s="9"/>
      <c r="H905" s="9"/>
      <c r="I905" s="9"/>
      <c r="J905" s="9"/>
      <c r="K905" s="357"/>
      <c r="L905" s="9"/>
      <c r="M905" s="9"/>
      <c r="N905" s="9"/>
      <c r="O905" s="9"/>
      <c r="P905" s="9"/>
      <c r="Q905" s="9"/>
      <c r="R905" s="14"/>
      <c r="S905" s="14"/>
    </row>
    <row r="906" spans="1:19" ht="14.25">
      <c r="A906" s="14"/>
      <c r="B906" s="9"/>
      <c r="C906" s="9"/>
      <c r="D906" s="9"/>
      <c r="E906" s="9"/>
      <c r="F906" s="9"/>
      <c r="G906" s="9"/>
      <c r="H906" s="9"/>
      <c r="I906" s="9"/>
      <c r="J906" s="9"/>
      <c r="K906" s="357"/>
      <c r="L906" s="9"/>
      <c r="M906" s="9"/>
      <c r="N906" s="9"/>
      <c r="O906" s="9"/>
      <c r="P906" s="9"/>
      <c r="Q906" s="9"/>
      <c r="R906" s="14"/>
      <c r="S906" s="14"/>
    </row>
    <row r="907" spans="1:19" ht="14.25">
      <c r="A907" s="14"/>
      <c r="B907" s="9"/>
      <c r="C907" s="9"/>
      <c r="D907" s="9"/>
      <c r="E907" s="9"/>
      <c r="F907" s="9"/>
      <c r="G907" s="9"/>
      <c r="H907" s="9"/>
      <c r="I907" s="9"/>
      <c r="J907" s="9"/>
      <c r="K907" s="357"/>
      <c r="L907" s="9"/>
      <c r="M907" s="9"/>
      <c r="N907" s="9"/>
      <c r="O907" s="9"/>
      <c r="P907" s="9"/>
      <c r="Q907" s="9"/>
      <c r="R907" s="14"/>
      <c r="S907" s="14"/>
    </row>
    <row r="908" spans="1:19" ht="14.25">
      <c r="A908" s="14"/>
      <c r="B908" s="9"/>
      <c r="C908" s="9"/>
      <c r="D908" s="9"/>
      <c r="E908" s="9"/>
      <c r="F908" s="9"/>
      <c r="G908" s="9"/>
      <c r="H908" s="9"/>
      <c r="I908" s="9"/>
      <c r="J908" s="9"/>
      <c r="K908" s="357"/>
      <c r="L908" s="9"/>
      <c r="M908" s="9"/>
      <c r="N908" s="9"/>
      <c r="O908" s="9"/>
      <c r="P908" s="9"/>
      <c r="Q908" s="9"/>
      <c r="R908" s="14"/>
      <c r="S908" s="14"/>
    </row>
    <row r="909" spans="1:19" ht="14.25">
      <c r="A909" s="14"/>
      <c r="B909" s="9"/>
      <c r="C909" s="9"/>
      <c r="D909" s="9"/>
      <c r="E909" s="9"/>
      <c r="F909" s="9"/>
      <c r="G909" s="9"/>
      <c r="H909" s="9"/>
      <c r="I909" s="9"/>
      <c r="J909" s="9"/>
      <c r="K909" s="357"/>
      <c r="L909" s="9"/>
      <c r="M909" s="9"/>
      <c r="N909" s="9"/>
      <c r="O909" s="9"/>
      <c r="P909" s="9"/>
      <c r="Q909" s="9"/>
      <c r="R909" s="14"/>
      <c r="S909" s="14"/>
    </row>
    <row r="910" spans="1:19" ht="14.25">
      <c r="A910" s="14"/>
      <c r="B910" s="9"/>
      <c r="C910" s="9"/>
      <c r="D910" s="9"/>
      <c r="E910" s="9"/>
      <c r="F910" s="9"/>
      <c r="G910" s="9"/>
      <c r="H910" s="9"/>
      <c r="I910" s="9"/>
      <c r="J910" s="9"/>
      <c r="K910" s="357"/>
      <c r="L910" s="9"/>
      <c r="M910" s="9"/>
      <c r="N910" s="9"/>
      <c r="O910" s="9"/>
      <c r="P910" s="9"/>
      <c r="Q910" s="9"/>
      <c r="R910" s="14"/>
      <c r="S910" s="14"/>
    </row>
    <row r="911" spans="1:19" ht="14.25">
      <c r="A911" s="14"/>
      <c r="B911" s="9"/>
      <c r="C911" s="9"/>
      <c r="D911" s="9"/>
      <c r="E911" s="9"/>
      <c r="F911" s="9"/>
      <c r="G911" s="9"/>
      <c r="H911" s="9"/>
      <c r="I911" s="9"/>
      <c r="J911" s="9"/>
      <c r="K911" s="357"/>
      <c r="L911" s="9"/>
      <c r="M911" s="9"/>
      <c r="N911" s="9"/>
      <c r="O911" s="9"/>
      <c r="P911" s="9"/>
      <c r="Q911" s="9"/>
      <c r="R911" s="14"/>
      <c r="S911" s="14"/>
    </row>
    <row r="912" spans="1:19" ht="14.25">
      <c r="A912" s="14"/>
      <c r="B912" s="9"/>
      <c r="C912" s="9"/>
      <c r="D912" s="9"/>
      <c r="E912" s="9"/>
      <c r="F912" s="9"/>
      <c r="G912" s="9"/>
      <c r="H912" s="9"/>
      <c r="I912" s="9"/>
      <c r="J912" s="9"/>
      <c r="K912" s="357"/>
      <c r="L912" s="9"/>
      <c r="M912" s="9"/>
      <c r="N912" s="9"/>
      <c r="O912" s="9"/>
      <c r="P912" s="9"/>
      <c r="Q912" s="9"/>
      <c r="R912" s="14"/>
      <c r="S912" s="14"/>
    </row>
    <row r="913" spans="1:19" ht="14.25">
      <c r="A913" s="14"/>
      <c r="B913" s="9"/>
      <c r="C913" s="9"/>
      <c r="D913" s="9"/>
      <c r="E913" s="9"/>
      <c r="F913" s="9"/>
      <c r="G913" s="9"/>
      <c r="H913" s="9"/>
      <c r="I913" s="9"/>
      <c r="J913" s="9"/>
      <c r="K913" s="357"/>
      <c r="L913" s="9"/>
      <c r="M913" s="9"/>
      <c r="N913" s="9"/>
      <c r="O913" s="9"/>
      <c r="P913" s="9"/>
      <c r="Q913" s="9"/>
      <c r="R913" s="14"/>
      <c r="S913" s="14"/>
    </row>
    <row r="914" spans="1:19" ht="14.25">
      <c r="A914" s="14"/>
      <c r="B914" s="9"/>
      <c r="C914" s="9"/>
      <c r="D914" s="9"/>
      <c r="E914" s="9"/>
      <c r="F914" s="9"/>
      <c r="G914" s="9"/>
      <c r="H914" s="9"/>
      <c r="I914" s="9"/>
      <c r="J914" s="9"/>
      <c r="K914" s="357"/>
      <c r="L914" s="9"/>
      <c r="M914" s="9"/>
      <c r="N914" s="9"/>
      <c r="O914" s="9"/>
      <c r="P914" s="9"/>
      <c r="Q914" s="9"/>
      <c r="R914" s="14"/>
      <c r="S914" s="14"/>
    </row>
    <row r="915" spans="1:19" ht="14.25">
      <c r="A915" s="14"/>
      <c r="B915" s="9"/>
      <c r="C915" s="9"/>
      <c r="D915" s="9"/>
      <c r="E915" s="9"/>
      <c r="F915" s="9"/>
      <c r="G915" s="9"/>
      <c r="H915" s="9"/>
      <c r="I915" s="9"/>
      <c r="J915" s="9"/>
      <c r="K915" s="357"/>
      <c r="L915" s="9"/>
      <c r="M915" s="9"/>
      <c r="N915" s="9"/>
      <c r="O915" s="9"/>
      <c r="P915" s="9"/>
      <c r="Q915" s="9"/>
      <c r="R915" s="14"/>
      <c r="S915" s="14"/>
    </row>
    <row r="916" spans="1:19" ht="14.25">
      <c r="A916" s="14"/>
      <c r="B916" s="9"/>
      <c r="C916" s="9"/>
      <c r="D916" s="9"/>
      <c r="E916" s="9"/>
      <c r="F916" s="9"/>
      <c r="G916" s="9"/>
      <c r="H916" s="9"/>
      <c r="I916" s="9"/>
      <c r="J916" s="9"/>
      <c r="K916" s="357"/>
      <c r="L916" s="9"/>
      <c r="M916" s="9"/>
      <c r="N916" s="9"/>
      <c r="O916" s="9"/>
      <c r="P916" s="9"/>
      <c r="Q916" s="9"/>
      <c r="R916" s="14"/>
      <c r="S916" s="14"/>
    </row>
    <row r="917" spans="1:19" ht="14.25">
      <c r="A917" s="14"/>
      <c r="B917" s="9"/>
      <c r="C917" s="9"/>
      <c r="D917" s="9"/>
      <c r="E917" s="9"/>
      <c r="F917" s="9"/>
      <c r="G917" s="9"/>
      <c r="H917" s="9"/>
      <c r="I917" s="9"/>
      <c r="J917" s="9"/>
      <c r="K917" s="357"/>
      <c r="L917" s="9"/>
      <c r="M917" s="9"/>
      <c r="N917" s="9"/>
      <c r="O917" s="9"/>
      <c r="P917" s="9"/>
      <c r="Q917" s="9"/>
      <c r="R917" s="14"/>
      <c r="S917" s="14"/>
    </row>
    <row r="918" spans="1:19" ht="14.25">
      <c r="A918" s="14"/>
      <c r="B918" s="9"/>
      <c r="C918" s="9"/>
      <c r="D918" s="9"/>
      <c r="E918" s="9"/>
      <c r="F918" s="9"/>
      <c r="G918" s="9"/>
      <c r="H918" s="9"/>
      <c r="I918" s="9"/>
      <c r="J918" s="9"/>
      <c r="K918" s="357"/>
      <c r="L918" s="9"/>
      <c r="M918" s="9"/>
      <c r="N918" s="9"/>
      <c r="O918" s="9"/>
      <c r="P918" s="9"/>
      <c r="Q918" s="9"/>
      <c r="R918" s="14"/>
      <c r="S918" s="14"/>
    </row>
    <row r="919" spans="1:19" ht="14.25">
      <c r="A919" s="14"/>
      <c r="B919" s="9"/>
      <c r="C919" s="9"/>
      <c r="D919" s="9"/>
      <c r="E919" s="9"/>
      <c r="F919" s="9"/>
      <c r="G919" s="9"/>
      <c r="H919" s="9"/>
      <c r="I919" s="9"/>
      <c r="J919" s="9"/>
      <c r="K919" s="357"/>
      <c r="L919" s="9"/>
      <c r="M919" s="9"/>
      <c r="N919" s="9"/>
      <c r="O919" s="9"/>
      <c r="P919" s="9"/>
      <c r="Q919" s="9"/>
      <c r="R919" s="14"/>
      <c r="S919" s="14"/>
    </row>
    <row r="920" spans="1:19" ht="14.25">
      <c r="A920" s="14"/>
      <c r="B920" s="9"/>
      <c r="C920" s="9"/>
      <c r="D920" s="9"/>
      <c r="E920" s="9"/>
      <c r="F920" s="9"/>
      <c r="G920" s="9"/>
      <c r="H920" s="9"/>
      <c r="I920" s="9"/>
      <c r="J920" s="9"/>
      <c r="K920" s="357"/>
      <c r="L920" s="9"/>
      <c r="M920" s="9"/>
      <c r="N920" s="9"/>
      <c r="O920" s="9"/>
      <c r="P920" s="9"/>
      <c r="Q920" s="9"/>
      <c r="R920" s="14"/>
      <c r="S920" s="14"/>
    </row>
    <row r="921" spans="1:19" ht="14.25">
      <c r="A921" s="14"/>
      <c r="B921" s="9"/>
      <c r="C921" s="9"/>
      <c r="D921" s="9"/>
      <c r="E921" s="9"/>
      <c r="F921" s="9"/>
      <c r="G921" s="9"/>
      <c r="H921" s="9"/>
      <c r="I921" s="9"/>
      <c r="J921" s="9"/>
      <c r="K921" s="357"/>
      <c r="L921" s="9"/>
      <c r="M921" s="9"/>
      <c r="N921" s="9"/>
      <c r="O921" s="9"/>
      <c r="P921" s="9"/>
      <c r="Q921" s="9"/>
      <c r="R921" s="14"/>
      <c r="S921" s="14"/>
    </row>
    <row r="922" spans="1:19" ht="14.25">
      <c r="A922" s="14"/>
      <c r="B922" s="9"/>
      <c r="C922" s="9"/>
      <c r="D922" s="9"/>
      <c r="E922" s="9"/>
      <c r="F922" s="9"/>
      <c r="G922" s="9"/>
      <c r="H922" s="9"/>
      <c r="I922" s="9"/>
      <c r="J922" s="9"/>
      <c r="K922" s="357"/>
      <c r="L922" s="9"/>
      <c r="M922" s="9"/>
      <c r="N922" s="9"/>
      <c r="O922" s="9"/>
      <c r="P922" s="9"/>
      <c r="Q922" s="9"/>
      <c r="R922" s="14"/>
      <c r="S922" s="14"/>
    </row>
    <row r="923" spans="1:19" ht="14.25">
      <c r="A923" s="14"/>
      <c r="B923" s="9"/>
      <c r="C923" s="9"/>
      <c r="D923" s="9"/>
      <c r="E923" s="9"/>
      <c r="F923" s="9"/>
      <c r="G923" s="9"/>
      <c r="H923" s="9"/>
      <c r="I923" s="9"/>
      <c r="J923" s="9"/>
      <c r="K923" s="357"/>
      <c r="L923" s="9"/>
      <c r="M923" s="9"/>
      <c r="N923" s="9"/>
      <c r="O923" s="9"/>
      <c r="P923" s="9"/>
      <c r="Q923" s="9"/>
      <c r="R923" s="14"/>
      <c r="S923" s="14"/>
    </row>
    <row r="924" spans="1:19" ht="14.25">
      <c r="A924" s="14"/>
      <c r="B924" s="9"/>
      <c r="C924" s="9"/>
      <c r="D924" s="9"/>
      <c r="E924" s="9"/>
      <c r="F924" s="9"/>
      <c r="G924" s="9"/>
      <c r="H924" s="9"/>
      <c r="I924" s="9"/>
      <c r="J924" s="9"/>
      <c r="K924" s="357"/>
      <c r="L924" s="9"/>
      <c r="M924" s="9"/>
      <c r="N924" s="9"/>
      <c r="O924" s="9"/>
      <c r="P924" s="9"/>
      <c r="Q924" s="9"/>
      <c r="R924" s="14"/>
      <c r="S924" s="14"/>
    </row>
    <row r="925" spans="1:19" ht="14.25">
      <c r="A925" s="14"/>
      <c r="B925" s="9"/>
      <c r="C925" s="9"/>
      <c r="D925" s="9"/>
      <c r="E925" s="9"/>
      <c r="F925" s="9"/>
      <c r="G925" s="9"/>
      <c r="H925" s="9"/>
      <c r="I925" s="9"/>
      <c r="J925" s="9"/>
      <c r="K925" s="357"/>
      <c r="L925" s="9"/>
      <c r="M925" s="9"/>
      <c r="N925" s="9"/>
      <c r="O925" s="9"/>
      <c r="P925" s="9"/>
      <c r="Q925" s="9"/>
      <c r="R925" s="14"/>
      <c r="S925" s="14"/>
    </row>
    <row r="926" spans="1:19" ht="14.25">
      <c r="A926" s="14"/>
      <c r="B926" s="9"/>
      <c r="C926" s="9"/>
      <c r="D926" s="9"/>
      <c r="E926" s="9"/>
      <c r="F926" s="9"/>
      <c r="G926" s="9"/>
      <c r="H926" s="9"/>
      <c r="I926" s="9"/>
      <c r="J926" s="9"/>
      <c r="K926" s="357"/>
      <c r="L926" s="9"/>
      <c r="M926" s="9"/>
      <c r="N926" s="9"/>
      <c r="O926" s="9"/>
      <c r="P926" s="9"/>
      <c r="Q926" s="9"/>
      <c r="R926" s="14"/>
      <c r="S926" s="14"/>
    </row>
    <row r="927" spans="1:19" ht="14.25">
      <c r="A927" s="14"/>
      <c r="B927" s="9"/>
      <c r="C927" s="9"/>
      <c r="D927" s="9"/>
      <c r="E927" s="9"/>
      <c r="F927" s="9"/>
      <c r="G927" s="9"/>
      <c r="H927" s="9"/>
      <c r="I927" s="9"/>
      <c r="J927" s="9"/>
      <c r="K927" s="357"/>
      <c r="L927" s="9"/>
      <c r="M927" s="9"/>
      <c r="N927" s="9"/>
      <c r="O927" s="9"/>
      <c r="P927" s="9"/>
      <c r="Q927" s="9"/>
      <c r="R927" s="14"/>
      <c r="S927" s="14"/>
    </row>
    <row r="928" spans="1:19" ht="14.25">
      <c r="A928" s="14"/>
      <c r="B928" s="9"/>
      <c r="C928" s="9"/>
      <c r="D928" s="9"/>
      <c r="E928" s="9"/>
      <c r="F928" s="9"/>
      <c r="G928" s="9"/>
      <c r="H928" s="9"/>
      <c r="I928" s="9"/>
      <c r="J928" s="9"/>
      <c r="K928" s="357"/>
      <c r="L928" s="9"/>
      <c r="M928" s="9"/>
      <c r="N928" s="9"/>
      <c r="O928" s="9"/>
      <c r="P928" s="9"/>
      <c r="Q928" s="9"/>
      <c r="R928" s="14"/>
      <c r="S928" s="14"/>
    </row>
    <row r="929" spans="1:19" ht="14.25">
      <c r="A929" s="14"/>
      <c r="B929" s="9"/>
      <c r="C929" s="9"/>
      <c r="D929" s="9"/>
      <c r="E929" s="9"/>
      <c r="F929" s="9"/>
      <c r="G929" s="9"/>
      <c r="H929" s="9"/>
      <c r="I929" s="9"/>
      <c r="J929" s="9"/>
      <c r="K929" s="357"/>
      <c r="L929" s="9"/>
      <c r="M929" s="9"/>
      <c r="N929" s="9"/>
      <c r="O929" s="9"/>
      <c r="P929" s="9"/>
      <c r="Q929" s="9"/>
      <c r="R929" s="14"/>
      <c r="S929" s="14"/>
    </row>
    <row r="930" spans="1:19" ht="14.25">
      <c r="A930" s="14"/>
      <c r="B930" s="9"/>
      <c r="C930" s="9"/>
      <c r="D930" s="9"/>
      <c r="E930" s="9"/>
      <c r="F930" s="9"/>
      <c r="G930" s="9"/>
      <c r="H930" s="9"/>
      <c r="I930" s="9"/>
      <c r="J930" s="9"/>
      <c r="K930" s="357"/>
      <c r="L930" s="9"/>
      <c r="M930" s="9"/>
      <c r="N930" s="9"/>
      <c r="O930" s="9"/>
      <c r="P930" s="9"/>
      <c r="Q930" s="9"/>
      <c r="R930" s="14"/>
      <c r="S930" s="14"/>
    </row>
    <row r="931" spans="1:19" ht="14.25">
      <c r="A931" s="14"/>
      <c r="B931" s="9"/>
      <c r="C931" s="9"/>
      <c r="D931" s="9"/>
      <c r="E931" s="9"/>
      <c r="F931" s="9"/>
      <c r="G931" s="9"/>
      <c r="H931" s="9"/>
      <c r="I931" s="9"/>
      <c r="J931" s="9"/>
      <c r="K931" s="357"/>
      <c r="L931" s="9"/>
      <c r="M931" s="9"/>
      <c r="N931" s="9"/>
      <c r="O931" s="9"/>
      <c r="P931" s="9"/>
      <c r="Q931" s="9"/>
      <c r="R931" s="14"/>
      <c r="S931" s="14"/>
    </row>
    <row r="932" spans="1:19" ht="14.25">
      <c r="A932" s="14"/>
      <c r="B932" s="9"/>
      <c r="C932" s="9"/>
      <c r="D932" s="9"/>
      <c r="E932" s="9"/>
      <c r="F932" s="9"/>
      <c r="G932" s="9"/>
      <c r="H932" s="9"/>
      <c r="I932" s="9"/>
      <c r="J932" s="9"/>
      <c r="K932" s="357"/>
      <c r="L932" s="9"/>
      <c r="M932" s="9"/>
      <c r="N932" s="9"/>
      <c r="O932" s="9"/>
      <c r="P932" s="9"/>
      <c r="Q932" s="9"/>
      <c r="R932" s="14"/>
      <c r="S932" s="14"/>
    </row>
    <row r="933" spans="1:19" ht="14.25">
      <c r="A933" s="14"/>
      <c r="B933" s="9"/>
      <c r="C933" s="9"/>
      <c r="D933" s="9"/>
      <c r="E933" s="9"/>
      <c r="F933" s="9"/>
      <c r="G933" s="9"/>
      <c r="H933" s="9"/>
      <c r="I933" s="9"/>
      <c r="J933" s="9"/>
      <c r="K933" s="357"/>
      <c r="L933" s="9"/>
      <c r="M933" s="9"/>
      <c r="N933" s="9"/>
      <c r="O933" s="9"/>
      <c r="P933" s="9"/>
      <c r="Q933" s="9"/>
      <c r="R933" s="14"/>
      <c r="S933" s="14"/>
    </row>
    <row r="934" spans="1:19" ht="14.25">
      <c r="A934" s="14"/>
      <c r="B934" s="9"/>
      <c r="C934" s="9"/>
      <c r="D934" s="9"/>
      <c r="E934" s="9"/>
      <c r="F934" s="9"/>
      <c r="G934" s="9"/>
      <c r="H934" s="9"/>
      <c r="I934" s="9"/>
      <c r="J934" s="9"/>
      <c r="K934" s="357"/>
      <c r="L934" s="9"/>
      <c r="M934" s="9"/>
      <c r="N934" s="9"/>
      <c r="O934" s="9"/>
      <c r="P934" s="9"/>
      <c r="Q934" s="9"/>
      <c r="R934" s="14"/>
      <c r="S934" s="14"/>
    </row>
    <row r="935" spans="1:19" ht="14.25">
      <c r="A935" s="14"/>
      <c r="B935" s="9"/>
      <c r="C935" s="9"/>
      <c r="D935" s="9"/>
      <c r="E935" s="9"/>
      <c r="F935" s="9"/>
      <c r="G935" s="9"/>
      <c r="H935" s="9"/>
      <c r="I935" s="9"/>
      <c r="J935" s="9"/>
      <c r="K935" s="357"/>
      <c r="L935" s="9"/>
      <c r="M935" s="9"/>
      <c r="N935" s="9"/>
      <c r="O935" s="9"/>
      <c r="P935" s="9"/>
      <c r="Q935" s="9"/>
      <c r="R935" s="14"/>
      <c r="S935" s="14"/>
    </row>
    <row r="936" spans="1:19" ht="14.25">
      <c r="A936" s="14"/>
      <c r="B936" s="9"/>
      <c r="C936" s="9"/>
      <c r="D936" s="9"/>
      <c r="E936" s="9"/>
      <c r="F936" s="9"/>
      <c r="G936" s="9"/>
      <c r="H936" s="9"/>
      <c r="I936" s="9"/>
      <c r="J936" s="9"/>
      <c r="K936" s="357"/>
      <c r="L936" s="9"/>
      <c r="M936" s="9"/>
      <c r="N936" s="9"/>
      <c r="O936" s="9"/>
      <c r="P936" s="9"/>
      <c r="Q936" s="9"/>
      <c r="R936" s="14"/>
      <c r="S936" s="14"/>
    </row>
    <row r="937" spans="1:19" ht="14.25">
      <c r="A937" s="14"/>
      <c r="B937" s="9"/>
      <c r="C937" s="9"/>
      <c r="D937" s="9"/>
      <c r="E937" s="9"/>
      <c r="F937" s="9"/>
      <c r="G937" s="9"/>
      <c r="H937" s="9"/>
      <c r="I937" s="9"/>
      <c r="J937" s="9"/>
      <c r="K937" s="357"/>
      <c r="L937" s="9"/>
      <c r="M937" s="9"/>
      <c r="N937" s="9"/>
      <c r="O937" s="9"/>
      <c r="P937" s="9"/>
      <c r="Q937" s="9"/>
      <c r="R937" s="14"/>
      <c r="S937" s="14"/>
    </row>
    <row r="938" spans="1:19" ht="14.25">
      <c r="A938" s="14"/>
      <c r="B938" s="9"/>
      <c r="C938" s="9"/>
      <c r="D938" s="9"/>
      <c r="E938" s="9"/>
      <c r="F938" s="9"/>
      <c r="G938" s="9"/>
      <c r="H938" s="9"/>
      <c r="I938" s="9"/>
      <c r="J938" s="9"/>
      <c r="K938" s="357"/>
      <c r="L938" s="9"/>
      <c r="M938" s="9"/>
      <c r="N938" s="9"/>
      <c r="O938" s="9"/>
      <c r="P938" s="9"/>
      <c r="Q938" s="9"/>
      <c r="R938" s="14"/>
      <c r="S938" s="14"/>
    </row>
    <row r="939" spans="1:19" ht="14.25">
      <c r="A939" s="14"/>
      <c r="B939" s="9"/>
      <c r="C939" s="9"/>
      <c r="D939" s="9"/>
      <c r="E939" s="9"/>
      <c r="F939" s="9"/>
      <c r="G939" s="9"/>
      <c r="H939" s="9"/>
      <c r="I939" s="9"/>
      <c r="J939" s="9"/>
      <c r="K939" s="357"/>
      <c r="L939" s="9"/>
      <c r="M939" s="9"/>
      <c r="N939" s="9"/>
      <c r="O939" s="9"/>
      <c r="P939" s="9"/>
      <c r="Q939" s="9"/>
      <c r="R939" s="14"/>
      <c r="S939" s="14"/>
    </row>
    <row r="940" spans="1:19" ht="14.25">
      <c r="A940" s="14"/>
      <c r="B940" s="9"/>
      <c r="C940" s="9"/>
      <c r="D940" s="9"/>
      <c r="E940" s="9"/>
      <c r="F940" s="9"/>
      <c r="G940" s="9"/>
      <c r="H940" s="9"/>
      <c r="I940" s="9"/>
      <c r="J940" s="9"/>
      <c r="K940" s="357"/>
      <c r="L940" s="9"/>
      <c r="M940" s="9"/>
      <c r="N940" s="9"/>
      <c r="O940" s="9"/>
      <c r="P940" s="9"/>
      <c r="Q940" s="9"/>
      <c r="R940" s="14"/>
      <c r="S940" s="14"/>
    </row>
    <row r="941" spans="1:19" ht="14.25">
      <c r="A941" s="14"/>
      <c r="B941" s="9"/>
      <c r="C941" s="9"/>
      <c r="D941" s="9"/>
      <c r="E941" s="9"/>
      <c r="F941" s="9"/>
      <c r="G941" s="9"/>
      <c r="H941" s="9"/>
      <c r="I941" s="9"/>
      <c r="J941" s="9"/>
      <c r="K941" s="357"/>
      <c r="L941" s="9"/>
      <c r="M941" s="9"/>
      <c r="N941" s="9"/>
      <c r="O941" s="9"/>
      <c r="P941" s="9"/>
      <c r="Q941" s="9"/>
      <c r="R941" s="14"/>
      <c r="S941" s="14"/>
    </row>
    <row r="942" spans="1:19" ht="14.25">
      <c r="A942" s="14"/>
      <c r="B942" s="9"/>
      <c r="C942" s="9"/>
      <c r="D942" s="9"/>
      <c r="E942" s="9"/>
      <c r="F942" s="9"/>
      <c r="G942" s="9"/>
      <c r="H942" s="9"/>
      <c r="I942" s="9"/>
      <c r="J942" s="9"/>
      <c r="K942" s="357"/>
      <c r="L942" s="9"/>
      <c r="M942" s="9"/>
      <c r="N942" s="9"/>
      <c r="O942" s="9"/>
      <c r="P942" s="9"/>
      <c r="Q942" s="9"/>
      <c r="R942" s="14"/>
      <c r="S942" s="14"/>
    </row>
    <row r="943" spans="1:19" ht="14.25">
      <c r="A943" s="14"/>
      <c r="B943" s="9"/>
      <c r="C943" s="9"/>
      <c r="D943" s="9"/>
      <c r="E943" s="9"/>
      <c r="F943" s="9"/>
      <c r="G943" s="9"/>
      <c r="H943" s="9"/>
      <c r="I943" s="9"/>
      <c r="J943" s="9"/>
      <c r="K943" s="357"/>
      <c r="L943" s="9"/>
      <c r="M943" s="9"/>
      <c r="N943" s="9"/>
      <c r="O943" s="9"/>
      <c r="P943" s="9"/>
      <c r="Q943" s="9"/>
      <c r="R943" s="14"/>
      <c r="S943" s="14"/>
    </row>
    <row r="944" spans="1:19" ht="14.25">
      <c r="A944" s="14"/>
      <c r="B944" s="9"/>
      <c r="C944" s="9"/>
      <c r="D944" s="9"/>
      <c r="E944" s="9"/>
      <c r="F944" s="9"/>
      <c r="G944" s="9"/>
      <c r="H944" s="9"/>
      <c r="I944" s="9"/>
      <c r="J944" s="9"/>
      <c r="K944" s="357"/>
      <c r="L944" s="9"/>
      <c r="M944" s="9"/>
      <c r="N944" s="9"/>
      <c r="O944" s="9"/>
      <c r="P944" s="9"/>
      <c r="Q944" s="9"/>
      <c r="R944" s="14"/>
      <c r="S944" s="14"/>
    </row>
    <row r="945" spans="1:19" ht="14.25">
      <c r="A945" s="14"/>
      <c r="B945" s="9"/>
      <c r="C945" s="9"/>
      <c r="D945" s="9"/>
      <c r="E945" s="9"/>
      <c r="F945" s="9"/>
      <c r="G945" s="9"/>
      <c r="H945" s="9"/>
      <c r="I945" s="9"/>
      <c r="J945" s="9"/>
      <c r="K945" s="357"/>
      <c r="L945" s="9"/>
      <c r="M945" s="9"/>
      <c r="N945" s="9"/>
      <c r="O945" s="9"/>
      <c r="P945" s="9"/>
      <c r="Q945" s="9"/>
      <c r="R945" s="14"/>
      <c r="S945" s="14"/>
    </row>
    <row r="946" spans="1:19" ht="14.25">
      <c r="A946" s="14"/>
      <c r="B946" s="9"/>
      <c r="C946" s="9"/>
      <c r="D946" s="9"/>
      <c r="E946" s="9"/>
      <c r="F946" s="9"/>
      <c r="G946" s="9"/>
      <c r="H946" s="9"/>
      <c r="I946" s="9"/>
      <c r="J946" s="9"/>
      <c r="K946" s="357"/>
      <c r="L946" s="9"/>
      <c r="M946" s="9"/>
      <c r="N946" s="9"/>
      <c r="O946" s="9"/>
      <c r="P946" s="9"/>
      <c r="Q946" s="9"/>
      <c r="R946" s="14"/>
      <c r="S946" s="14"/>
    </row>
    <row r="947" spans="1:19" ht="14.25">
      <c r="A947" s="14"/>
      <c r="B947" s="9"/>
      <c r="C947" s="9"/>
      <c r="D947" s="9"/>
      <c r="E947" s="9"/>
      <c r="F947" s="9"/>
      <c r="G947" s="9"/>
      <c r="H947" s="9"/>
      <c r="I947" s="9"/>
      <c r="J947" s="9"/>
      <c r="K947" s="357"/>
      <c r="L947" s="9"/>
      <c r="M947" s="9"/>
      <c r="N947" s="9"/>
      <c r="O947" s="9"/>
      <c r="P947" s="9"/>
      <c r="Q947" s="9"/>
      <c r="R947" s="14"/>
      <c r="S947" s="14"/>
    </row>
    <row r="948" spans="1:19" ht="14.25">
      <c r="A948" s="14"/>
      <c r="B948" s="9"/>
      <c r="C948" s="9"/>
      <c r="D948" s="9"/>
      <c r="E948" s="9"/>
      <c r="F948" s="9"/>
      <c r="G948" s="9"/>
      <c r="H948" s="9"/>
      <c r="I948" s="9"/>
      <c r="J948" s="9"/>
      <c r="K948" s="357"/>
      <c r="L948" s="9"/>
      <c r="M948" s="9"/>
      <c r="N948" s="9"/>
      <c r="O948" s="9"/>
      <c r="P948" s="9"/>
      <c r="Q948" s="9"/>
      <c r="R948" s="14"/>
      <c r="S948" s="14"/>
    </row>
    <row r="949" spans="1:19" ht="14.25">
      <c r="A949" s="14"/>
      <c r="B949" s="9"/>
      <c r="C949" s="9"/>
      <c r="D949" s="9"/>
      <c r="E949" s="9"/>
      <c r="F949" s="9"/>
      <c r="G949" s="9"/>
      <c r="H949" s="9"/>
      <c r="I949" s="9"/>
      <c r="J949" s="9"/>
      <c r="K949" s="357"/>
      <c r="L949" s="9"/>
      <c r="M949" s="9"/>
      <c r="N949" s="9"/>
      <c r="O949" s="9"/>
      <c r="P949" s="9"/>
      <c r="Q949" s="9"/>
      <c r="R949" s="14"/>
      <c r="S949" s="14"/>
    </row>
    <row r="950" spans="1:19" ht="14.25">
      <c r="A950" s="14"/>
      <c r="B950" s="9"/>
      <c r="C950" s="9"/>
      <c r="D950" s="9"/>
      <c r="E950" s="9"/>
      <c r="F950" s="9"/>
      <c r="G950" s="9"/>
      <c r="H950" s="9"/>
      <c r="I950" s="9"/>
      <c r="J950" s="9"/>
      <c r="K950" s="357"/>
      <c r="L950" s="9"/>
      <c r="M950" s="9"/>
      <c r="N950" s="9"/>
      <c r="O950" s="9"/>
      <c r="P950" s="9"/>
      <c r="Q950" s="9"/>
      <c r="R950" s="14"/>
      <c r="S950" s="14"/>
    </row>
    <row r="951" spans="1:19" ht="14.25">
      <c r="A951" s="14"/>
      <c r="B951" s="9"/>
      <c r="C951" s="9"/>
      <c r="D951" s="9"/>
      <c r="E951" s="9"/>
      <c r="F951" s="9"/>
      <c r="G951" s="9"/>
      <c r="H951" s="9"/>
      <c r="I951" s="9"/>
      <c r="J951" s="9"/>
      <c r="K951" s="357"/>
      <c r="L951" s="9"/>
      <c r="M951" s="9"/>
      <c r="N951" s="9"/>
      <c r="O951" s="9"/>
      <c r="P951" s="9"/>
      <c r="Q951" s="9"/>
      <c r="R951" s="14"/>
      <c r="S951" s="14"/>
    </row>
    <row r="952" spans="1:19" ht="14.25">
      <c r="A952" s="14"/>
      <c r="B952" s="9"/>
      <c r="C952" s="9"/>
      <c r="D952" s="9"/>
      <c r="E952" s="9"/>
      <c r="F952" s="9"/>
      <c r="G952" s="9"/>
      <c r="H952" s="9"/>
      <c r="I952" s="9"/>
      <c r="J952" s="9"/>
      <c r="K952" s="357"/>
      <c r="L952" s="9"/>
      <c r="M952" s="9"/>
      <c r="N952" s="9"/>
      <c r="O952" s="9"/>
      <c r="P952" s="9"/>
      <c r="Q952" s="9"/>
      <c r="R952" s="14"/>
      <c r="S952" s="14"/>
    </row>
    <row r="953" spans="1:19" ht="14.25">
      <c r="A953" s="14"/>
      <c r="B953" s="9"/>
      <c r="C953" s="9"/>
      <c r="D953" s="9"/>
      <c r="E953" s="9"/>
      <c r="F953" s="9"/>
      <c r="G953" s="9"/>
      <c r="H953" s="9"/>
      <c r="I953" s="9"/>
      <c r="J953" s="9"/>
      <c r="K953" s="357"/>
      <c r="L953" s="9"/>
      <c r="M953" s="9"/>
      <c r="N953" s="9"/>
      <c r="O953" s="9"/>
      <c r="P953" s="9"/>
      <c r="Q953" s="9"/>
      <c r="R953" s="14"/>
      <c r="S953" s="14"/>
    </row>
    <row r="954" spans="1:19" ht="14.25">
      <c r="A954" s="14"/>
      <c r="B954" s="9"/>
      <c r="C954" s="9"/>
      <c r="D954" s="9"/>
      <c r="E954" s="9"/>
      <c r="F954" s="9"/>
      <c r="G954" s="9"/>
      <c r="H954" s="9"/>
      <c r="I954" s="9"/>
      <c r="J954" s="9"/>
      <c r="K954" s="357"/>
      <c r="L954" s="9"/>
      <c r="M954" s="9"/>
      <c r="N954" s="9"/>
      <c r="O954" s="9"/>
      <c r="P954" s="9"/>
      <c r="Q954" s="9"/>
      <c r="R954" s="14"/>
      <c r="S954" s="14"/>
    </row>
    <row r="955" spans="1:19" ht="14.25">
      <c r="A955" s="14"/>
      <c r="B955" s="9"/>
      <c r="C955" s="9"/>
      <c r="D955" s="9"/>
      <c r="E955" s="9"/>
      <c r="F955" s="9"/>
      <c r="G955" s="9"/>
      <c r="H955" s="9"/>
      <c r="I955" s="9"/>
      <c r="J955" s="9"/>
      <c r="K955" s="357"/>
      <c r="L955" s="9"/>
      <c r="M955" s="9"/>
      <c r="N955" s="9"/>
      <c r="O955" s="9"/>
      <c r="P955" s="9"/>
      <c r="Q955" s="9"/>
      <c r="R955" s="14"/>
      <c r="S955" s="14"/>
    </row>
    <row r="956" spans="1:19" ht="14.25">
      <c r="A956" s="14"/>
      <c r="B956" s="9"/>
      <c r="C956" s="9"/>
      <c r="D956" s="9"/>
      <c r="E956" s="9"/>
      <c r="F956" s="9"/>
      <c r="G956" s="9"/>
      <c r="H956" s="9"/>
      <c r="I956" s="9"/>
      <c r="J956" s="9"/>
      <c r="K956" s="357"/>
      <c r="L956" s="9"/>
      <c r="M956" s="9"/>
      <c r="N956" s="9"/>
      <c r="O956" s="9"/>
      <c r="P956" s="9"/>
      <c r="Q956" s="9"/>
      <c r="R956" s="14"/>
      <c r="S956" s="14"/>
    </row>
    <row r="957" spans="1:19" ht="14.25">
      <c r="A957" s="14"/>
      <c r="B957" s="9"/>
      <c r="C957" s="9"/>
      <c r="D957" s="9"/>
      <c r="E957" s="9"/>
      <c r="F957" s="9"/>
      <c r="G957" s="9"/>
      <c r="H957" s="9"/>
      <c r="I957" s="9"/>
      <c r="J957" s="9"/>
      <c r="K957" s="357"/>
      <c r="L957" s="9"/>
      <c r="M957" s="9"/>
      <c r="N957" s="9"/>
      <c r="O957" s="9"/>
      <c r="P957" s="9"/>
      <c r="Q957" s="9"/>
      <c r="R957" s="14"/>
      <c r="S957" s="14"/>
    </row>
    <row r="958" spans="1:19" ht="14.25">
      <c r="A958" s="14"/>
      <c r="B958" s="9"/>
      <c r="C958" s="9"/>
      <c r="D958" s="9"/>
      <c r="E958" s="9"/>
      <c r="F958" s="9"/>
      <c r="G958" s="9"/>
      <c r="H958" s="9"/>
      <c r="I958" s="9"/>
      <c r="J958" s="9"/>
      <c r="K958" s="357"/>
      <c r="L958" s="9"/>
      <c r="M958" s="9"/>
      <c r="N958" s="9"/>
      <c r="O958" s="9"/>
      <c r="P958" s="9"/>
      <c r="Q958" s="9"/>
      <c r="R958" s="14"/>
      <c r="S958" s="14"/>
    </row>
    <row r="959" spans="1:19" ht="14.25">
      <c r="A959" s="14"/>
      <c r="B959" s="9"/>
      <c r="C959" s="9"/>
      <c r="D959" s="9"/>
      <c r="E959" s="9"/>
      <c r="F959" s="9"/>
      <c r="G959" s="9"/>
      <c r="H959" s="9"/>
      <c r="I959" s="9"/>
      <c r="J959" s="9"/>
      <c r="K959" s="357"/>
      <c r="L959" s="9"/>
      <c r="M959" s="9"/>
      <c r="N959" s="9"/>
      <c r="O959" s="9"/>
      <c r="P959" s="9"/>
      <c r="Q959" s="9"/>
      <c r="R959" s="14"/>
      <c r="S959" s="14"/>
    </row>
    <row r="960" spans="1:19" ht="14.25">
      <c r="A960" s="14"/>
      <c r="B960" s="9"/>
      <c r="C960" s="9"/>
      <c r="D960" s="9"/>
      <c r="E960" s="9"/>
      <c r="F960" s="9"/>
      <c r="G960" s="9"/>
      <c r="H960" s="9"/>
      <c r="I960" s="9"/>
      <c r="J960" s="9"/>
      <c r="K960" s="357"/>
      <c r="L960" s="9"/>
      <c r="M960" s="9"/>
      <c r="N960" s="9"/>
      <c r="O960" s="9"/>
      <c r="P960" s="9"/>
      <c r="Q960" s="9"/>
      <c r="R960" s="14"/>
      <c r="S960" s="14"/>
    </row>
    <row r="961" spans="1:19" ht="14.25">
      <c r="A961" s="14"/>
      <c r="B961" s="9"/>
      <c r="C961" s="9"/>
      <c r="D961" s="9"/>
      <c r="E961" s="9"/>
      <c r="F961" s="9"/>
      <c r="G961" s="9"/>
      <c r="H961" s="9"/>
      <c r="I961" s="9"/>
      <c r="J961" s="9"/>
      <c r="K961" s="357"/>
      <c r="L961" s="9"/>
      <c r="M961" s="9"/>
      <c r="N961" s="9"/>
      <c r="O961" s="9"/>
      <c r="P961" s="9"/>
      <c r="Q961" s="9"/>
      <c r="R961" s="14"/>
      <c r="S961" s="14"/>
    </row>
    <row r="962" spans="1:19" ht="14.25">
      <c r="A962" s="14"/>
      <c r="B962" s="9"/>
      <c r="C962" s="9"/>
      <c r="D962" s="9"/>
      <c r="E962" s="9"/>
      <c r="F962" s="9"/>
      <c r="G962" s="9"/>
      <c r="H962" s="9"/>
      <c r="I962" s="9"/>
      <c r="J962" s="9"/>
      <c r="K962" s="357"/>
      <c r="L962" s="9"/>
      <c r="M962" s="9"/>
      <c r="N962" s="9"/>
      <c r="O962" s="9"/>
      <c r="P962" s="9"/>
      <c r="Q962" s="9"/>
      <c r="R962" s="14"/>
      <c r="S962" s="14"/>
    </row>
    <row r="963" spans="1:19" ht="14.25">
      <c r="A963" s="14"/>
      <c r="B963" s="9"/>
      <c r="C963" s="9"/>
      <c r="D963" s="9"/>
      <c r="E963" s="9"/>
      <c r="F963" s="9"/>
      <c r="G963" s="9"/>
      <c r="H963" s="9"/>
      <c r="I963" s="9"/>
      <c r="J963" s="9"/>
      <c r="K963" s="357"/>
      <c r="L963" s="9"/>
      <c r="M963" s="9"/>
      <c r="N963" s="9"/>
      <c r="O963" s="9"/>
      <c r="P963" s="9"/>
      <c r="Q963" s="9"/>
      <c r="R963" s="14"/>
      <c r="S963" s="14"/>
    </row>
    <row r="964" spans="1:19" ht="14.25">
      <c r="A964" s="14"/>
      <c r="B964" s="9"/>
      <c r="C964" s="9"/>
      <c r="D964" s="9"/>
      <c r="E964" s="9"/>
      <c r="F964" s="9"/>
      <c r="G964" s="9"/>
      <c r="H964" s="9"/>
      <c r="I964" s="9"/>
      <c r="J964" s="9"/>
      <c r="K964" s="357"/>
      <c r="L964" s="9"/>
      <c r="M964" s="9"/>
      <c r="N964" s="9"/>
      <c r="O964" s="9"/>
      <c r="P964" s="9"/>
      <c r="Q964" s="9"/>
      <c r="R964" s="14"/>
      <c r="S964" s="14"/>
    </row>
    <row r="965" spans="1:19" ht="14.25">
      <c r="A965" s="14"/>
      <c r="B965" s="9"/>
      <c r="C965" s="9"/>
      <c r="D965" s="9"/>
      <c r="E965" s="9"/>
      <c r="F965" s="9"/>
      <c r="G965" s="9"/>
      <c r="H965" s="9"/>
      <c r="I965" s="9"/>
      <c r="J965" s="9"/>
      <c r="K965" s="357"/>
      <c r="L965" s="9"/>
      <c r="M965" s="9"/>
      <c r="N965" s="9"/>
      <c r="O965" s="9"/>
      <c r="P965" s="9"/>
      <c r="Q965" s="9"/>
      <c r="R965" s="14"/>
      <c r="S965" s="14"/>
    </row>
    <row r="966" spans="1:19" ht="14.25">
      <c r="A966" s="14"/>
      <c r="B966" s="9"/>
      <c r="C966" s="9"/>
      <c r="D966" s="9"/>
      <c r="E966" s="9"/>
      <c r="F966" s="9"/>
      <c r="G966" s="9"/>
      <c r="H966" s="9"/>
      <c r="I966" s="9"/>
      <c r="J966" s="9"/>
      <c r="K966" s="357"/>
      <c r="L966" s="9"/>
      <c r="M966" s="9"/>
      <c r="N966" s="9"/>
      <c r="O966" s="9"/>
      <c r="P966" s="9"/>
      <c r="Q966" s="9"/>
      <c r="R966" s="14"/>
      <c r="S966" s="14"/>
    </row>
    <row r="967" spans="1:19" ht="14.25">
      <c r="A967" s="14"/>
      <c r="B967" s="9"/>
      <c r="C967" s="9"/>
      <c r="D967" s="9"/>
      <c r="E967" s="9"/>
      <c r="F967" s="9"/>
      <c r="G967" s="9"/>
      <c r="H967" s="9"/>
      <c r="I967" s="9"/>
      <c r="J967" s="9"/>
      <c r="K967" s="357"/>
      <c r="L967" s="9"/>
      <c r="M967" s="9"/>
      <c r="N967" s="9"/>
      <c r="O967" s="9"/>
      <c r="P967" s="9"/>
      <c r="Q967" s="9"/>
      <c r="R967" s="14"/>
      <c r="S967" s="14"/>
    </row>
    <row r="968" spans="1:19" ht="14.25">
      <c r="A968" s="14"/>
      <c r="B968" s="9"/>
      <c r="C968" s="9"/>
      <c r="D968" s="9"/>
      <c r="E968" s="9"/>
      <c r="F968" s="9"/>
      <c r="G968" s="9"/>
      <c r="H968" s="9"/>
      <c r="I968" s="9"/>
      <c r="J968" s="9"/>
      <c r="K968" s="357"/>
      <c r="L968" s="9"/>
      <c r="M968" s="9"/>
      <c r="N968" s="9"/>
      <c r="O968" s="9"/>
      <c r="P968" s="9"/>
      <c r="Q968" s="9"/>
      <c r="R968" s="14"/>
      <c r="S968" s="14"/>
    </row>
    <row r="969" spans="1:19" ht="14.25">
      <c r="A969" s="14"/>
      <c r="B969" s="9"/>
      <c r="C969" s="9"/>
      <c r="D969" s="9"/>
      <c r="E969" s="9"/>
      <c r="F969" s="9"/>
      <c r="G969" s="9"/>
      <c r="H969" s="9"/>
      <c r="I969" s="9"/>
      <c r="J969" s="9"/>
      <c r="K969" s="357"/>
      <c r="L969" s="9"/>
      <c r="M969" s="9"/>
      <c r="N969" s="9"/>
      <c r="O969" s="9"/>
      <c r="P969" s="9"/>
      <c r="Q969" s="9"/>
      <c r="R969" s="14"/>
      <c r="S969" s="14"/>
    </row>
    <row r="970" spans="1:19" ht="14.25">
      <c r="A970" s="14"/>
      <c r="B970" s="9"/>
      <c r="C970" s="9"/>
      <c r="D970" s="9"/>
      <c r="E970" s="9"/>
      <c r="F970" s="9"/>
      <c r="G970" s="9"/>
      <c r="H970" s="9"/>
      <c r="I970" s="9"/>
      <c r="J970" s="9"/>
      <c r="K970" s="357"/>
      <c r="L970" s="9"/>
      <c r="M970" s="9"/>
      <c r="N970" s="9"/>
      <c r="O970" s="9"/>
      <c r="P970" s="9"/>
      <c r="Q970" s="9"/>
      <c r="R970" s="14"/>
      <c r="S970" s="14"/>
    </row>
    <row r="971" spans="1:19" ht="14.25">
      <c r="A971" s="14"/>
      <c r="B971" s="9"/>
      <c r="C971" s="9"/>
      <c r="D971" s="9"/>
      <c r="E971" s="9"/>
      <c r="F971" s="9"/>
      <c r="G971" s="9"/>
      <c r="H971" s="9"/>
      <c r="I971" s="9"/>
      <c r="J971" s="9"/>
      <c r="K971" s="357"/>
      <c r="L971" s="9"/>
      <c r="M971" s="9"/>
      <c r="N971" s="9"/>
      <c r="O971" s="9"/>
      <c r="P971" s="9"/>
      <c r="Q971" s="9"/>
      <c r="R971" s="14"/>
      <c r="S971" s="14"/>
    </row>
    <row r="972" spans="1:19" ht="14.25">
      <c r="A972" s="14"/>
      <c r="B972" s="9"/>
      <c r="C972" s="9"/>
      <c r="D972" s="9"/>
      <c r="E972" s="9"/>
      <c r="F972" s="9"/>
      <c r="G972" s="9"/>
      <c r="H972" s="9"/>
      <c r="I972" s="9"/>
      <c r="J972" s="9"/>
      <c r="K972" s="357"/>
      <c r="L972" s="9"/>
      <c r="M972" s="9"/>
      <c r="N972" s="9"/>
      <c r="O972" s="9"/>
      <c r="P972" s="9"/>
      <c r="Q972" s="9"/>
      <c r="R972" s="14"/>
      <c r="S972" s="14"/>
    </row>
    <row r="973" spans="1:19" ht="14.25">
      <c r="A973" s="14"/>
      <c r="B973" s="9"/>
      <c r="C973" s="9"/>
      <c r="D973" s="9"/>
      <c r="E973" s="9"/>
      <c r="F973" s="9"/>
      <c r="G973" s="9"/>
      <c r="H973" s="9"/>
      <c r="I973" s="9"/>
      <c r="J973" s="9"/>
      <c r="K973" s="357"/>
      <c r="L973" s="9"/>
      <c r="M973" s="9"/>
      <c r="N973" s="9"/>
      <c r="O973" s="9"/>
      <c r="P973" s="9"/>
      <c r="Q973" s="9"/>
      <c r="R973" s="14"/>
      <c r="S973" s="14"/>
    </row>
    <row r="974" spans="1:19" ht="14.25">
      <c r="A974" s="14"/>
      <c r="B974" s="9"/>
      <c r="C974" s="9"/>
      <c r="D974" s="9"/>
      <c r="E974" s="9"/>
      <c r="F974" s="9"/>
      <c r="G974" s="9"/>
      <c r="H974" s="9"/>
      <c r="I974" s="9"/>
      <c r="J974" s="9"/>
      <c r="K974" s="357"/>
      <c r="L974" s="9"/>
      <c r="M974" s="9"/>
      <c r="N974" s="9"/>
      <c r="O974" s="9"/>
      <c r="P974" s="9"/>
      <c r="Q974" s="9"/>
      <c r="R974" s="14"/>
      <c r="S974" s="14"/>
    </row>
    <row r="975" spans="1:19" ht="14.25">
      <c r="A975" s="14"/>
      <c r="B975" s="9"/>
      <c r="C975" s="9"/>
      <c r="D975" s="9"/>
      <c r="E975" s="9"/>
      <c r="F975" s="9"/>
      <c r="G975" s="9"/>
      <c r="H975" s="9"/>
      <c r="I975" s="9"/>
      <c r="J975" s="9"/>
      <c r="K975" s="357"/>
      <c r="L975" s="9"/>
      <c r="M975" s="9"/>
      <c r="N975" s="9"/>
      <c r="O975" s="9"/>
      <c r="P975" s="9"/>
      <c r="Q975" s="9"/>
      <c r="R975" s="14"/>
      <c r="S975" s="14"/>
    </row>
    <row r="976" spans="1:19" ht="14.25">
      <c r="A976" s="14"/>
      <c r="B976" s="9"/>
      <c r="C976" s="9"/>
      <c r="D976" s="9"/>
      <c r="E976" s="9"/>
      <c r="F976" s="9"/>
      <c r="G976" s="9"/>
      <c r="H976" s="9"/>
      <c r="I976" s="9"/>
      <c r="J976" s="9"/>
      <c r="K976" s="357"/>
      <c r="L976" s="9"/>
      <c r="M976" s="9"/>
      <c r="N976" s="9"/>
      <c r="O976" s="9"/>
      <c r="P976" s="9"/>
      <c r="Q976" s="9"/>
      <c r="R976" s="14"/>
      <c r="S976" s="14"/>
    </row>
    <row r="977" spans="1:19" ht="14.25">
      <c r="A977" s="14"/>
      <c r="B977" s="9"/>
      <c r="C977" s="9"/>
      <c r="D977" s="9"/>
      <c r="E977" s="9"/>
      <c r="F977" s="9"/>
      <c r="G977" s="9"/>
      <c r="H977" s="9"/>
      <c r="I977" s="9"/>
      <c r="J977" s="9"/>
      <c r="K977" s="357"/>
      <c r="L977" s="9"/>
      <c r="M977" s="9"/>
      <c r="N977" s="9"/>
      <c r="O977" s="9"/>
      <c r="P977" s="9"/>
      <c r="Q977" s="9"/>
      <c r="R977" s="14"/>
      <c r="S977" s="14"/>
    </row>
    <row r="978" spans="1:19" ht="14.25">
      <c r="A978" s="14"/>
      <c r="B978" s="9"/>
      <c r="C978" s="9"/>
      <c r="D978" s="9"/>
      <c r="E978" s="9"/>
      <c r="F978" s="9"/>
      <c r="G978" s="9"/>
      <c r="H978" s="9"/>
      <c r="I978" s="9"/>
      <c r="J978" s="9"/>
      <c r="K978" s="357"/>
      <c r="L978" s="9"/>
      <c r="M978" s="9"/>
      <c r="N978" s="9"/>
      <c r="O978" s="9"/>
      <c r="P978" s="9"/>
      <c r="Q978" s="9"/>
      <c r="R978" s="14"/>
      <c r="S978" s="14"/>
    </row>
    <row r="979" spans="1:19" ht="14.25">
      <c r="A979" s="14"/>
      <c r="B979" s="9"/>
      <c r="C979" s="9"/>
      <c r="D979" s="9"/>
      <c r="E979" s="9"/>
      <c r="F979" s="9"/>
      <c r="G979" s="9"/>
      <c r="H979" s="9"/>
      <c r="I979" s="9"/>
      <c r="J979" s="9"/>
      <c r="K979" s="357"/>
      <c r="L979" s="9"/>
      <c r="M979" s="9"/>
      <c r="N979" s="9"/>
      <c r="O979" s="9"/>
      <c r="P979" s="9"/>
      <c r="Q979" s="9"/>
      <c r="R979" s="14"/>
      <c r="S979" s="14"/>
    </row>
    <row r="980" spans="1:19" ht="14.25">
      <c r="A980" s="14"/>
      <c r="B980" s="9"/>
      <c r="C980" s="9"/>
      <c r="D980" s="9"/>
      <c r="E980" s="9"/>
      <c r="F980" s="9"/>
      <c r="G980" s="9"/>
      <c r="H980" s="9"/>
      <c r="I980" s="9"/>
      <c r="J980" s="9"/>
      <c r="K980" s="357"/>
      <c r="L980" s="9"/>
      <c r="M980" s="9"/>
      <c r="N980" s="9"/>
      <c r="O980" s="9"/>
      <c r="P980" s="9"/>
      <c r="Q980" s="9"/>
      <c r="R980" s="14"/>
      <c r="S980" s="14"/>
    </row>
    <row r="981" spans="1:19" ht="14.25">
      <c r="A981" s="14"/>
      <c r="B981" s="9"/>
      <c r="C981" s="9"/>
      <c r="D981" s="9"/>
      <c r="E981" s="9"/>
      <c r="F981" s="9"/>
      <c r="G981" s="9"/>
      <c r="H981" s="9"/>
      <c r="I981" s="9"/>
      <c r="J981" s="9"/>
      <c r="K981" s="357"/>
      <c r="L981" s="9"/>
      <c r="M981" s="9"/>
      <c r="N981" s="9"/>
      <c r="O981" s="9"/>
      <c r="P981" s="9"/>
      <c r="Q981" s="9"/>
      <c r="R981" s="14"/>
      <c r="S981" s="14"/>
    </row>
    <row r="982" spans="1:19" ht="14.25">
      <c r="A982" s="14"/>
      <c r="B982" s="9"/>
      <c r="C982" s="9"/>
      <c r="D982" s="9"/>
      <c r="E982" s="9"/>
      <c r="F982" s="9"/>
      <c r="G982" s="9"/>
      <c r="H982" s="9"/>
      <c r="I982" s="9"/>
      <c r="J982" s="9"/>
      <c r="K982" s="357"/>
      <c r="L982" s="9"/>
      <c r="M982" s="9"/>
      <c r="N982" s="9"/>
      <c r="O982" s="9"/>
      <c r="P982" s="9"/>
      <c r="Q982" s="9"/>
      <c r="R982" s="14"/>
      <c r="S982" s="14"/>
    </row>
    <row r="983" spans="1:19" ht="14.25">
      <c r="A983" s="14"/>
      <c r="B983" s="9"/>
      <c r="C983" s="9"/>
      <c r="D983" s="9"/>
      <c r="E983" s="9"/>
      <c r="F983" s="9"/>
      <c r="G983" s="9"/>
      <c r="H983" s="9"/>
      <c r="I983" s="9"/>
      <c r="J983" s="9"/>
      <c r="K983" s="357"/>
      <c r="L983" s="9"/>
      <c r="M983" s="9"/>
      <c r="N983" s="9"/>
      <c r="O983" s="9"/>
      <c r="P983" s="9"/>
      <c r="Q983" s="9"/>
      <c r="R983" s="14"/>
      <c r="S983" s="14"/>
    </row>
    <row r="984" spans="1:19" ht="14.25">
      <c r="A984" s="14"/>
      <c r="B984" s="9"/>
      <c r="C984" s="9"/>
      <c r="D984" s="9"/>
      <c r="E984" s="9"/>
      <c r="F984" s="9"/>
      <c r="G984" s="9"/>
      <c r="H984" s="9"/>
      <c r="I984" s="9"/>
      <c r="J984" s="9"/>
      <c r="K984" s="357"/>
      <c r="L984" s="9"/>
      <c r="M984" s="9"/>
      <c r="N984" s="9"/>
      <c r="O984" s="9"/>
      <c r="P984" s="9"/>
      <c r="Q984" s="9"/>
      <c r="R984" s="14"/>
      <c r="S984" s="14"/>
    </row>
    <row r="985" spans="1:19" ht="14.25">
      <c r="A985" s="14"/>
      <c r="B985" s="9"/>
      <c r="C985" s="9"/>
      <c r="D985" s="9"/>
      <c r="E985" s="9"/>
      <c r="F985" s="9"/>
      <c r="G985" s="9"/>
      <c r="H985" s="9"/>
      <c r="I985" s="9"/>
      <c r="J985" s="9"/>
      <c r="K985" s="357"/>
      <c r="L985" s="9"/>
      <c r="M985" s="9"/>
      <c r="N985" s="9"/>
      <c r="O985" s="9"/>
      <c r="P985" s="9"/>
      <c r="Q985" s="9"/>
      <c r="R985" s="14"/>
      <c r="S985" s="14"/>
    </row>
    <row r="986" spans="1:19" ht="14.25">
      <c r="A986" s="14"/>
      <c r="B986" s="9"/>
      <c r="C986" s="9"/>
      <c r="D986" s="9"/>
      <c r="E986" s="9"/>
      <c r="F986" s="9"/>
      <c r="G986" s="9"/>
      <c r="H986" s="9"/>
      <c r="I986" s="9"/>
      <c r="J986" s="9"/>
      <c r="K986" s="357"/>
      <c r="L986" s="9"/>
      <c r="M986" s="9"/>
      <c r="N986" s="9"/>
      <c r="O986" s="9"/>
      <c r="P986" s="9"/>
      <c r="Q986" s="9"/>
      <c r="R986" s="14"/>
      <c r="S986" s="14"/>
    </row>
    <row r="987" spans="1:19" ht="14.25">
      <c r="A987" s="14"/>
      <c r="B987" s="9"/>
      <c r="C987" s="9"/>
      <c r="D987" s="9"/>
      <c r="E987" s="9"/>
      <c r="F987" s="9"/>
      <c r="G987" s="9"/>
      <c r="H987" s="9"/>
      <c r="I987" s="9"/>
      <c r="J987" s="9"/>
      <c r="K987" s="357"/>
      <c r="L987" s="9"/>
      <c r="M987" s="9"/>
      <c r="N987" s="9"/>
      <c r="O987" s="9"/>
      <c r="P987" s="9"/>
      <c r="Q987" s="9"/>
      <c r="R987" s="14"/>
      <c r="S987" s="14"/>
    </row>
    <row r="988" spans="1:19" ht="14.25">
      <c r="A988" s="14"/>
      <c r="B988" s="9"/>
      <c r="C988" s="9"/>
      <c r="D988" s="9"/>
      <c r="E988" s="9"/>
      <c r="F988" s="9"/>
      <c r="G988" s="9"/>
      <c r="H988" s="9"/>
      <c r="I988" s="9"/>
      <c r="J988" s="9"/>
      <c r="K988" s="357"/>
      <c r="L988" s="9"/>
      <c r="M988" s="9"/>
      <c r="N988" s="9"/>
      <c r="O988" s="9"/>
      <c r="P988" s="9"/>
      <c r="Q988" s="9"/>
      <c r="R988" s="14"/>
      <c r="S988" s="14"/>
    </row>
    <row r="989" spans="1:19" ht="14.25">
      <c r="A989" s="14"/>
      <c r="B989" s="9"/>
      <c r="C989" s="9"/>
      <c r="D989" s="9"/>
      <c r="E989" s="9"/>
      <c r="F989" s="9"/>
      <c r="G989" s="9"/>
      <c r="H989" s="9"/>
      <c r="I989" s="9"/>
      <c r="J989" s="9"/>
      <c r="K989" s="357"/>
      <c r="L989" s="9"/>
      <c r="M989" s="9"/>
      <c r="N989" s="9"/>
      <c r="O989" s="9"/>
      <c r="P989" s="9"/>
      <c r="Q989" s="9"/>
      <c r="R989" s="14"/>
      <c r="S989" s="14"/>
    </row>
    <row r="990" spans="1:19" ht="14.25">
      <c r="A990" s="14"/>
      <c r="B990" s="9"/>
      <c r="C990" s="9"/>
      <c r="D990" s="9"/>
      <c r="E990" s="9"/>
      <c r="F990" s="9"/>
      <c r="G990" s="9"/>
      <c r="H990" s="9"/>
      <c r="I990" s="9"/>
      <c r="J990" s="9"/>
      <c r="K990" s="357"/>
      <c r="L990" s="9"/>
      <c r="M990" s="9"/>
      <c r="N990" s="9"/>
      <c r="O990" s="9"/>
      <c r="P990" s="9"/>
      <c r="Q990" s="9"/>
      <c r="R990" s="14"/>
      <c r="S990" s="14"/>
    </row>
    <row r="991" spans="1:19" ht="14.25">
      <c r="A991" s="14"/>
      <c r="B991" s="9"/>
      <c r="C991" s="9"/>
      <c r="D991" s="9"/>
      <c r="E991" s="9"/>
      <c r="F991" s="9"/>
      <c r="G991" s="9"/>
      <c r="H991" s="9"/>
      <c r="I991" s="9"/>
      <c r="J991" s="9"/>
      <c r="K991" s="357"/>
      <c r="L991" s="9"/>
      <c r="M991" s="9"/>
      <c r="N991" s="9"/>
      <c r="O991" s="9"/>
      <c r="P991" s="9"/>
      <c r="Q991" s="9"/>
      <c r="R991" s="14"/>
      <c r="S991" s="14"/>
    </row>
    <row r="992" spans="1:19" ht="14.25">
      <c r="A992" s="14"/>
      <c r="B992" s="9"/>
      <c r="C992" s="9"/>
      <c r="D992" s="9"/>
      <c r="E992" s="9"/>
      <c r="F992" s="9"/>
      <c r="G992" s="9"/>
      <c r="H992" s="9"/>
      <c r="I992" s="9"/>
      <c r="J992" s="9"/>
      <c r="K992" s="357"/>
      <c r="L992" s="9"/>
      <c r="M992" s="9"/>
      <c r="N992" s="9"/>
      <c r="O992" s="9"/>
      <c r="P992" s="9"/>
      <c r="Q992" s="9"/>
      <c r="R992" s="14"/>
      <c r="S992" s="14"/>
    </row>
    <row r="993" spans="1:19" ht="14.25">
      <c r="A993" s="14"/>
      <c r="B993" s="9"/>
      <c r="C993" s="9"/>
      <c r="D993" s="9"/>
      <c r="E993" s="9"/>
      <c r="F993" s="9"/>
      <c r="G993" s="9"/>
      <c r="H993" s="9"/>
      <c r="I993" s="9"/>
      <c r="J993" s="9"/>
      <c r="K993" s="357"/>
      <c r="L993" s="9"/>
      <c r="M993" s="9"/>
      <c r="N993" s="9"/>
      <c r="O993" s="9"/>
      <c r="P993" s="9"/>
      <c r="Q993" s="9"/>
      <c r="R993" s="14"/>
      <c r="S993" s="14"/>
    </row>
    <row r="994" spans="1:19" ht="14.25">
      <c r="A994" s="14"/>
      <c r="B994" s="9"/>
      <c r="C994" s="9"/>
      <c r="D994" s="9"/>
      <c r="E994" s="9"/>
      <c r="F994" s="9"/>
      <c r="G994" s="9"/>
      <c r="H994" s="9"/>
      <c r="I994" s="9"/>
      <c r="J994" s="9"/>
      <c r="K994" s="357"/>
      <c r="L994" s="9"/>
      <c r="M994" s="9"/>
      <c r="N994" s="9"/>
      <c r="O994" s="9"/>
      <c r="P994" s="9"/>
      <c r="Q994" s="9"/>
      <c r="R994" s="14"/>
      <c r="S994" s="14"/>
    </row>
    <row r="995" spans="1:19" ht="14.25">
      <c r="A995" s="14"/>
      <c r="B995" s="9"/>
      <c r="C995" s="9"/>
      <c r="D995" s="9"/>
      <c r="E995" s="9"/>
      <c r="F995" s="9"/>
      <c r="G995" s="9"/>
      <c r="H995" s="9"/>
      <c r="I995" s="9"/>
      <c r="J995" s="9"/>
      <c r="K995" s="357"/>
      <c r="L995" s="9"/>
      <c r="M995" s="9"/>
      <c r="N995" s="9"/>
      <c r="O995" s="9"/>
      <c r="P995" s="9"/>
      <c r="Q995" s="9"/>
      <c r="R995" s="14"/>
      <c r="S995" s="14"/>
    </row>
    <row r="996" spans="1:19" ht="14.25">
      <c r="A996" s="14"/>
      <c r="B996" s="9"/>
      <c r="C996" s="9"/>
      <c r="D996" s="9"/>
      <c r="E996" s="9"/>
      <c r="F996" s="9"/>
      <c r="G996" s="9"/>
      <c r="H996" s="9"/>
      <c r="I996" s="9"/>
      <c r="J996" s="9"/>
      <c r="K996" s="357"/>
      <c r="L996" s="9"/>
      <c r="M996" s="9"/>
      <c r="N996" s="9"/>
      <c r="O996" s="9"/>
      <c r="P996" s="9"/>
      <c r="Q996" s="9"/>
      <c r="R996" s="14"/>
      <c r="S996" s="14"/>
    </row>
    <row r="997" spans="1:19" ht="14.25">
      <c r="A997" s="14"/>
      <c r="B997" s="9"/>
      <c r="C997" s="9"/>
      <c r="D997" s="9"/>
      <c r="E997" s="9"/>
      <c r="F997" s="9"/>
      <c r="G997" s="9"/>
      <c r="H997" s="9"/>
      <c r="I997" s="9"/>
      <c r="J997" s="9"/>
      <c r="K997" s="357"/>
      <c r="L997" s="9"/>
      <c r="M997" s="9"/>
      <c r="N997" s="9"/>
      <c r="O997" s="9"/>
      <c r="P997" s="9"/>
      <c r="Q997" s="9"/>
      <c r="R997" s="14"/>
      <c r="S997" s="14"/>
    </row>
    <row r="998" spans="1:19" ht="14.25">
      <c r="A998" s="14"/>
      <c r="B998" s="9"/>
      <c r="C998" s="9"/>
      <c r="D998" s="9"/>
      <c r="E998" s="9"/>
      <c r="F998" s="9"/>
      <c r="G998" s="9"/>
      <c r="H998" s="9"/>
      <c r="I998" s="9"/>
      <c r="J998" s="9"/>
      <c r="K998" s="357"/>
      <c r="L998" s="9"/>
      <c r="M998" s="9"/>
      <c r="N998" s="9"/>
      <c r="O998" s="9"/>
      <c r="P998" s="9"/>
      <c r="Q998" s="9"/>
      <c r="R998" s="14"/>
      <c r="S998" s="14"/>
    </row>
    <row r="999" spans="1:19" ht="14.25">
      <c r="A999" s="14"/>
      <c r="B999" s="9"/>
      <c r="C999" s="9"/>
      <c r="D999" s="9"/>
      <c r="E999" s="9"/>
      <c r="F999" s="9"/>
      <c r="G999" s="9"/>
      <c r="H999" s="9"/>
      <c r="I999" s="9"/>
      <c r="J999" s="9"/>
      <c r="K999" s="357"/>
      <c r="L999" s="9"/>
      <c r="M999" s="9"/>
      <c r="N999" s="9"/>
      <c r="O999" s="9"/>
      <c r="P999" s="9"/>
      <c r="Q999" s="9"/>
      <c r="R999" s="14"/>
      <c r="S999" s="14"/>
    </row>
    <row r="1000" spans="1:19" ht="14.25">
      <c r="A1000" s="14"/>
      <c r="B1000" s="9"/>
      <c r="C1000" s="9"/>
      <c r="D1000" s="9"/>
      <c r="E1000" s="9"/>
      <c r="F1000" s="9"/>
      <c r="G1000" s="9"/>
      <c r="H1000" s="9"/>
      <c r="I1000" s="9"/>
      <c r="J1000" s="9"/>
      <c r="K1000" s="357"/>
      <c r="L1000" s="9"/>
      <c r="M1000" s="9"/>
      <c r="N1000" s="9"/>
      <c r="O1000" s="9"/>
      <c r="P1000" s="9"/>
      <c r="Q1000" s="9"/>
      <c r="R1000" s="14"/>
      <c r="S1000" s="14"/>
    </row>
    <row r="1001" spans="1:19" ht="14.25">
      <c r="A1001" s="14"/>
      <c r="B1001" s="9"/>
      <c r="C1001" s="9"/>
      <c r="D1001" s="9"/>
      <c r="E1001" s="9"/>
      <c r="F1001" s="9"/>
      <c r="G1001" s="9"/>
      <c r="H1001" s="9"/>
      <c r="I1001" s="9"/>
      <c r="J1001" s="9"/>
      <c r="K1001" s="357"/>
      <c r="L1001" s="9"/>
      <c r="M1001" s="9"/>
      <c r="N1001" s="9"/>
      <c r="O1001" s="9"/>
      <c r="P1001" s="9"/>
      <c r="Q1001" s="9"/>
      <c r="R1001" s="14"/>
      <c r="S1001" s="14"/>
    </row>
    <row r="1002" spans="1:19" ht="14.25">
      <c r="A1002" s="14"/>
      <c r="B1002" s="9"/>
      <c r="C1002" s="9"/>
      <c r="D1002" s="9"/>
      <c r="E1002" s="9"/>
      <c r="F1002" s="9"/>
      <c r="G1002" s="9"/>
      <c r="H1002" s="9"/>
      <c r="I1002" s="9"/>
      <c r="J1002" s="9"/>
      <c r="K1002" s="357"/>
      <c r="L1002" s="9"/>
      <c r="M1002" s="9"/>
      <c r="N1002" s="9"/>
      <c r="O1002" s="9"/>
      <c r="P1002" s="9"/>
      <c r="Q1002" s="9"/>
      <c r="R1002" s="14"/>
      <c r="S1002" s="14"/>
    </row>
    <row r="1003" spans="1:19" ht="14.25">
      <c r="A1003" s="14"/>
      <c r="B1003" s="9"/>
      <c r="C1003" s="9"/>
      <c r="D1003" s="9"/>
      <c r="E1003" s="9"/>
      <c r="F1003" s="9"/>
      <c r="G1003" s="9"/>
      <c r="H1003" s="9"/>
      <c r="I1003" s="9"/>
      <c r="J1003" s="9"/>
      <c r="K1003" s="357"/>
      <c r="L1003" s="9"/>
      <c r="M1003" s="9"/>
      <c r="N1003" s="9"/>
      <c r="O1003" s="9"/>
      <c r="P1003" s="9"/>
      <c r="Q1003" s="9"/>
      <c r="R1003" s="14"/>
      <c r="S1003" s="14"/>
    </row>
    <row r="1004" spans="1:19" ht="14.25">
      <c r="A1004" s="14"/>
      <c r="B1004" s="9"/>
      <c r="C1004" s="9"/>
      <c r="D1004" s="9"/>
      <c r="E1004" s="9"/>
      <c r="F1004" s="9"/>
      <c r="G1004" s="9"/>
      <c r="H1004" s="9"/>
      <c r="I1004" s="9"/>
      <c r="J1004" s="9"/>
      <c r="K1004" s="357"/>
      <c r="L1004" s="9"/>
      <c r="M1004" s="9"/>
      <c r="N1004" s="9"/>
      <c r="O1004" s="9"/>
      <c r="P1004" s="9"/>
      <c r="Q1004" s="9"/>
      <c r="R1004" s="14"/>
      <c r="S1004" s="14"/>
    </row>
    <row r="1005" spans="1:19" ht="14.25">
      <c r="A1005" s="14"/>
      <c r="B1005" s="9"/>
      <c r="C1005" s="9"/>
      <c r="D1005" s="9"/>
      <c r="E1005" s="9"/>
      <c r="F1005" s="9"/>
      <c r="G1005" s="9"/>
      <c r="H1005" s="9"/>
      <c r="I1005" s="9"/>
      <c r="J1005" s="9"/>
      <c r="K1005" s="357"/>
      <c r="L1005" s="9"/>
      <c r="M1005" s="9"/>
      <c r="N1005" s="9"/>
      <c r="O1005" s="9"/>
      <c r="P1005" s="9"/>
      <c r="Q1005" s="9"/>
      <c r="R1005" s="14"/>
      <c r="S1005" s="14"/>
    </row>
    <row r="1006" spans="1:19" ht="14.25">
      <c r="A1006" s="14"/>
      <c r="B1006" s="9"/>
      <c r="C1006" s="9"/>
      <c r="D1006" s="9"/>
      <c r="E1006" s="9"/>
      <c r="F1006" s="9"/>
      <c r="G1006" s="9"/>
      <c r="H1006" s="9"/>
      <c r="I1006" s="9"/>
      <c r="J1006" s="9"/>
      <c r="K1006" s="357"/>
      <c r="L1006" s="9"/>
      <c r="M1006" s="9"/>
      <c r="N1006" s="9"/>
      <c r="O1006" s="9"/>
      <c r="P1006" s="9"/>
      <c r="Q1006" s="9"/>
      <c r="R1006" s="14"/>
      <c r="S1006" s="14"/>
    </row>
    <row r="1007" spans="1:19" ht="14.25">
      <c r="A1007" s="14"/>
      <c r="B1007" s="9"/>
      <c r="C1007" s="9"/>
      <c r="D1007" s="9"/>
      <c r="E1007" s="9"/>
      <c r="F1007" s="9"/>
      <c r="G1007" s="9"/>
      <c r="H1007" s="9"/>
      <c r="I1007" s="9"/>
      <c r="J1007" s="9"/>
      <c r="K1007" s="357"/>
      <c r="L1007" s="9"/>
      <c r="M1007" s="9"/>
      <c r="N1007" s="9"/>
      <c r="O1007" s="9"/>
      <c r="P1007" s="9"/>
      <c r="Q1007" s="9"/>
      <c r="R1007" s="14"/>
      <c r="S1007" s="14"/>
    </row>
    <row r="1008" spans="1:19" ht="14.25">
      <c r="A1008" s="14"/>
      <c r="B1008" s="9"/>
      <c r="C1008" s="9"/>
      <c r="D1008" s="9"/>
      <c r="E1008" s="9"/>
      <c r="F1008" s="9"/>
      <c r="G1008" s="9"/>
      <c r="H1008" s="9"/>
      <c r="I1008" s="9"/>
      <c r="J1008" s="9"/>
      <c r="K1008" s="357"/>
      <c r="L1008" s="9"/>
      <c r="M1008" s="9"/>
      <c r="N1008" s="9"/>
      <c r="O1008" s="9"/>
      <c r="P1008" s="9"/>
      <c r="Q1008" s="9"/>
      <c r="R1008" s="14"/>
      <c r="S1008" s="14"/>
    </row>
    <row r="1009" spans="1:19" ht="14.25">
      <c r="A1009" s="14"/>
      <c r="B1009" s="9"/>
      <c r="C1009" s="9"/>
      <c r="D1009" s="9"/>
      <c r="E1009" s="9"/>
      <c r="F1009" s="9"/>
      <c r="G1009" s="9"/>
      <c r="H1009" s="9"/>
      <c r="I1009" s="9"/>
      <c r="J1009" s="9"/>
      <c r="K1009" s="357"/>
      <c r="L1009" s="9"/>
      <c r="M1009" s="9"/>
      <c r="N1009" s="9"/>
      <c r="O1009" s="9"/>
      <c r="P1009" s="9"/>
      <c r="Q1009" s="9"/>
      <c r="R1009" s="14"/>
      <c r="S1009" s="14"/>
    </row>
    <row r="1010" spans="1:19" ht="14.25">
      <c r="A1010" s="14"/>
      <c r="B1010" s="9"/>
      <c r="C1010" s="9"/>
      <c r="D1010" s="9"/>
      <c r="E1010" s="9"/>
      <c r="F1010" s="9"/>
      <c r="G1010" s="9"/>
      <c r="H1010" s="9"/>
      <c r="I1010" s="9"/>
      <c r="J1010" s="9"/>
      <c r="K1010" s="357"/>
      <c r="L1010" s="9"/>
      <c r="M1010" s="9"/>
      <c r="N1010" s="9"/>
      <c r="O1010" s="9"/>
      <c r="P1010" s="9"/>
      <c r="Q1010" s="9"/>
      <c r="R1010" s="14"/>
      <c r="S1010" s="14"/>
    </row>
    <row r="1011" spans="1:19" ht="14.25">
      <c r="A1011" s="14"/>
      <c r="B1011" s="9"/>
      <c r="C1011" s="9"/>
      <c r="D1011" s="9"/>
      <c r="E1011" s="9"/>
      <c r="F1011" s="9"/>
      <c r="G1011" s="9"/>
      <c r="H1011" s="9"/>
      <c r="I1011" s="9"/>
      <c r="J1011" s="9"/>
      <c r="K1011" s="357"/>
      <c r="L1011" s="9"/>
      <c r="M1011" s="9"/>
      <c r="N1011" s="9"/>
      <c r="O1011" s="9"/>
      <c r="P1011" s="9"/>
      <c r="Q1011" s="9"/>
      <c r="R1011" s="14"/>
      <c r="S1011" s="14"/>
    </row>
    <row r="1012" spans="1:19" ht="14.25">
      <c r="A1012" s="14"/>
      <c r="B1012" s="9"/>
      <c r="C1012" s="9"/>
      <c r="D1012" s="9"/>
      <c r="E1012" s="9"/>
      <c r="F1012" s="9"/>
      <c r="G1012" s="9"/>
      <c r="H1012" s="9"/>
      <c r="I1012" s="9"/>
      <c r="J1012" s="9"/>
      <c r="K1012" s="357"/>
      <c r="L1012" s="9"/>
      <c r="M1012" s="9"/>
      <c r="N1012" s="9"/>
      <c r="O1012" s="9"/>
      <c r="P1012" s="9"/>
      <c r="Q1012" s="9"/>
      <c r="R1012" s="14"/>
      <c r="S1012" s="14"/>
    </row>
    <row r="1013" spans="1:19" ht="14.25">
      <c r="A1013" s="14"/>
      <c r="B1013" s="9"/>
      <c r="C1013" s="9"/>
      <c r="D1013" s="9"/>
      <c r="E1013" s="9"/>
      <c r="F1013" s="9"/>
      <c r="G1013" s="9"/>
      <c r="H1013" s="9"/>
      <c r="I1013" s="9"/>
      <c r="J1013" s="9"/>
      <c r="K1013" s="357"/>
      <c r="L1013" s="9"/>
      <c r="M1013" s="9"/>
      <c r="N1013" s="9"/>
      <c r="O1013" s="9"/>
      <c r="P1013" s="9"/>
      <c r="Q1013" s="9"/>
      <c r="R1013" s="14"/>
      <c r="S1013" s="14"/>
    </row>
    <row r="1014" spans="1:19" ht="14.25">
      <c r="A1014" s="14"/>
      <c r="B1014" s="9"/>
      <c r="C1014" s="9"/>
      <c r="D1014" s="9"/>
      <c r="E1014" s="9"/>
      <c r="F1014" s="9"/>
      <c r="G1014" s="9"/>
      <c r="H1014" s="9"/>
      <c r="I1014" s="9"/>
      <c r="J1014" s="9"/>
      <c r="K1014" s="357"/>
      <c r="L1014" s="9"/>
      <c r="M1014" s="9"/>
      <c r="N1014" s="9"/>
      <c r="O1014" s="9"/>
      <c r="P1014" s="9"/>
      <c r="Q1014" s="9"/>
      <c r="R1014" s="14"/>
      <c r="S1014" s="14"/>
    </row>
    <row r="1015" spans="1:19" ht="14.25">
      <c r="A1015" s="14"/>
      <c r="B1015" s="9"/>
      <c r="C1015" s="9"/>
      <c r="D1015" s="9"/>
      <c r="E1015" s="9"/>
      <c r="F1015" s="9"/>
      <c r="G1015" s="9"/>
      <c r="H1015" s="9"/>
      <c r="I1015" s="9"/>
      <c r="J1015" s="9"/>
      <c r="K1015" s="357"/>
      <c r="L1015" s="9"/>
      <c r="M1015" s="9"/>
      <c r="N1015" s="9"/>
      <c r="O1015" s="9"/>
      <c r="P1015" s="9"/>
      <c r="Q1015" s="9"/>
      <c r="R1015" s="14"/>
      <c r="S1015" s="14"/>
    </row>
    <row r="1016" spans="1:19" ht="14.25">
      <c r="A1016" s="14"/>
      <c r="B1016" s="9"/>
      <c r="C1016" s="9"/>
      <c r="D1016" s="9"/>
      <c r="E1016" s="9"/>
      <c r="F1016" s="9"/>
      <c r="G1016" s="9"/>
      <c r="H1016" s="9"/>
      <c r="I1016" s="9"/>
      <c r="J1016" s="9"/>
      <c r="K1016" s="357"/>
      <c r="L1016" s="9"/>
      <c r="M1016" s="9"/>
      <c r="N1016" s="9"/>
      <c r="O1016" s="9"/>
      <c r="P1016" s="9"/>
      <c r="Q1016" s="9"/>
      <c r="R1016" s="14"/>
      <c r="S1016" s="14"/>
    </row>
    <row r="1017" spans="1:19" ht="14.25">
      <c r="A1017" s="14"/>
      <c r="B1017" s="9"/>
      <c r="C1017" s="9"/>
      <c r="D1017" s="9"/>
      <c r="E1017" s="9"/>
      <c r="F1017" s="9"/>
      <c r="G1017" s="9"/>
      <c r="H1017" s="9"/>
      <c r="I1017" s="9"/>
      <c r="J1017" s="9"/>
      <c r="K1017" s="357"/>
      <c r="L1017" s="9"/>
      <c r="M1017" s="9"/>
      <c r="N1017" s="9"/>
      <c r="O1017" s="9"/>
      <c r="P1017" s="9"/>
      <c r="Q1017" s="9"/>
      <c r="R1017" s="14"/>
      <c r="S1017" s="14"/>
    </row>
    <row r="1018" spans="1:19" ht="14.25">
      <c r="A1018" s="14"/>
      <c r="B1018" s="9"/>
      <c r="C1018" s="9"/>
      <c r="D1018" s="9"/>
      <c r="E1018" s="9"/>
      <c r="F1018" s="9"/>
      <c r="G1018" s="9"/>
      <c r="H1018" s="9"/>
      <c r="I1018" s="9"/>
      <c r="J1018" s="9"/>
      <c r="K1018" s="357"/>
      <c r="L1018" s="9"/>
      <c r="M1018" s="9"/>
      <c r="N1018" s="9"/>
      <c r="O1018" s="9"/>
      <c r="P1018" s="9"/>
      <c r="Q1018" s="9"/>
      <c r="R1018" s="14"/>
      <c r="S1018" s="14"/>
    </row>
    <row r="1019" spans="1:19" ht="14.25">
      <c r="A1019" s="14"/>
      <c r="B1019" s="9"/>
      <c r="C1019" s="9"/>
      <c r="D1019" s="9"/>
      <c r="E1019" s="9"/>
      <c r="F1019" s="9"/>
      <c r="G1019" s="9"/>
      <c r="H1019" s="9"/>
      <c r="I1019" s="9"/>
      <c r="J1019" s="9"/>
      <c r="K1019" s="357"/>
      <c r="L1019" s="9"/>
      <c r="M1019" s="9"/>
      <c r="N1019" s="9"/>
      <c r="O1019" s="9"/>
      <c r="P1019" s="9"/>
      <c r="Q1019" s="9"/>
      <c r="R1019" s="14"/>
      <c r="S1019" s="14"/>
    </row>
    <row r="1020" spans="1:19" ht="14.25">
      <c r="A1020" s="14"/>
      <c r="B1020" s="9"/>
      <c r="C1020" s="9"/>
      <c r="D1020" s="9"/>
      <c r="E1020" s="9"/>
      <c r="F1020" s="9"/>
      <c r="G1020" s="9"/>
      <c r="H1020" s="9"/>
      <c r="I1020" s="9"/>
      <c r="J1020" s="9"/>
      <c r="K1020" s="357"/>
      <c r="L1020" s="9"/>
      <c r="M1020" s="9"/>
      <c r="N1020" s="9"/>
      <c r="O1020" s="9"/>
      <c r="P1020" s="9"/>
      <c r="Q1020" s="9"/>
      <c r="R1020" s="14"/>
      <c r="S1020" s="14"/>
    </row>
    <row r="1021" spans="1:19" ht="14.25">
      <c r="A1021" s="14"/>
      <c r="B1021" s="9"/>
      <c r="C1021" s="9"/>
      <c r="D1021" s="9"/>
      <c r="E1021" s="9"/>
      <c r="F1021" s="9"/>
      <c r="G1021" s="9"/>
      <c r="H1021" s="9"/>
      <c r="I1021" s="9"/>
      <c r="J1021" s="9"/>
      <c r="K1021" s="357"/>
      <c r="L1021" s="9"/>
      <c r="M1021" s="9"/>
      <c r="N1021" s="9"/>
      <c r="O1021" s="9"/>
      <c r="P1021" s="9"/>
      <c r="Q1021" s="9"/>
      <c r="R1021" s="14"/>
      <c r="S1021" s="14"/>
    </row>
    <row r="1022" spans="1:19" ht="14.25">
      <c r="A1022" s="14"/>
      <c r="B1022" s="9"/>
      <c r="C1022" s="9"/>
      <c r="D1022" s="9"/>
      <c r="E1022" s="9"/>
      <c r="F1022" s="9"/>
      <c r="G1022" s="9"/>
      <c r="H1022" s="9"/>
      <c r="I1022" s="9"/>
      <c r="J1022" s="9"/>
      <c r="K1022" s="357"/>
      <c r="L1022" s="9"/>
      <c r="M1022" s="9"/>
      <c r="N1022" s="9"/>
      <c r="O1022" s="9"/>
      <c r="P1022" s="9"/>
      <c r="Q1022" s="9"/>
      <c r="R1022" s="14"/>
      <c r="S1022" s="14"/>
    </row>
    <row r="1023" spans="1:19" ht="14.25">
      <c r="A1023" s="14"/>
      <c r="B1023" s="9"/>
      <c r="C1023" s="9"/>
      <c r="D1023" s="9"/>
      <c r="E1023" s="9"/>
      <c r="F1023" s="9"/>
      <c r="G1023" s="9"/>
      <c r="H1023" s="9"/>
      <c r="I1023" s="9"/>
      <c r="J1023" s="9"/>
      <c r="K1023" s="357"/>
      <c r="L1023" s="9"/>
      <c r="M1023" s="9"/>
      <c r="N1023" s="9"/>
      <c r="O1023" s="9"/>
      <c r="P1023" s="9"/>
      <c r="Q1023" s="9"/>
      <c r="R1023" s="14"/>
      <c r="S1023" s="14"/>
    </row>
    <row r="1024" spans="1:19" ht="14.25">
      <c r="A1024" s="14"/>
      <c r="B1024" s="9"/>
      <c r="C1024" s="9"/>
      <c r="D1024" s="9"/>
      <c r="E1024" s="9"/>
      <c r="F1024" s="9"/>
      <c r="G1024" s="9"/>
      <c r="H1024" s="9"/>
      <c r="I1024" s="9"/>
      <c r="J1024" s="9"/>
      <c r="K1024" s="357"/>
      <c r="L1024" s="9"/>
      <c r="M1024" s="9"/>
      <c r="N1024" s="9"/>
      <c r="O1024" s="9"/>
      <c r="P1024" s="9"/>
      <c r="Q1024" s="9"/>
      <c r="R1024" s="14"/>
      <c r="S1024" s="14"/>
    </row>
    <row r="1025" spans="1:19" ht="14.25">
      <c r="A1025" s="14"/>
      <c r="B1025" s="9"/>
      <c r="C1025" s="9"/>
      <c r="D1025" s="9"/>
      <c r="E1025" s="9"/>
      <c r="F1025" s="9"/>
      <c r="G1025" s="9"/>
      <c r="H1025" s="9"/>
      <c r="I1025" s="9"/>
      <c r="J1025" s="9"/>
      <c r="K1025" s="357"/>
      <c r="L1025" s="9"/>
      <c r="M1025" s="9"/>
      <c r="N1025" s="9"/>
      <c r="O1025" s="9"/>
      <c r="P1025" s="9"/>
      <c r="Q1025" s="9"/>
      <c r="R1025" s="14"/>
      <c r="S1025" s="14"/>
    </row>
    <row r="1026" spans="1:19" ht="14.25">
      <c r="A1026" s="14"/>
      <c r="B1026" s="9"/>
      <c r="C1026" s="9"/>
      <c r="D1026" s="9"/>
      <c r="E1026" s="9"/>
      <c r="F1026" s="9"/>
      <c r="G1026" s="9"/>
      <c r="H1026" s="9"/>
      <c r="I1026" s="9"/>
      <c r="J1026" s="9"/>
      <c r="K1026" s="357"/>
      <c r="L1026" s="9"/>
      <c r="M1026" s="9"/>
      <c r="N1026" s="9"/>
      <c r="O1026" s="9"/>
      <c r="P1026" s="9"/>
      <c r="Q1026" s="9"/>
      <c r="R1026" s="14"/>
      <c r="S1026" s="14"/>
    </row>
    <row r="1027" spans="1:19" ht="14.25">
      <c r="A1027" s="14"/>
      <c r="B1027" s="9"/>
      <c r="C1027" s="9"/>
      <c r="D1027" s="9"/>
      <c r="E1027" s="9"/>
      <c r="F1027" s="9"/>
      <c r="G1027" s="9"/>
      <c r="H1027" s="9"/>
      <c r="I1027" s="9"/>
      <c r="J1027" s="9"/>
      <c r="K1027" s="357"/>
      <c r="L1027" s="9"/>
      <c r="M1027" s="9"/>
      <c r="N1027" s="9"/>
      <c r="O1027" s="9"/>
      <c r="P1027" s="9"/>
      <c r="Q1027" s="9"/>
      <c r="R1027" s="14"/>
      <c r="S1027" s="14"/>
    </row>
    <row r="1028" spans="1:19" ht="14.25">
      <c r="A1028" s="14"/>
      <c r="B1028" s="9"/>
      <c r="C1028" s="9"/>
      <c r="D1028" s="9"/>
      <c r="E1028" s="9"/>
      <c r="F1028" s="9"/>
      <c r="G1028" s="9"/>
      <c r="H1028" s="9"/>
      <c r="I1028" s="9"/>
      <c r="J1028" s="9"/>
      <c r="K1028" s="357"/>
      <c r="L1028" s="9"/>
      <c r="M1028" s="9"/>
      <c r="N1028" s="9"/>
      <c r="O1028" s="9"/>
      <c r="P1028" s="9"/>
      <c r="Q1028" s="9"/>
      <c r="R1028" s="14"/>
      <c r="S1028" s="14"/>
    </row>
    <row r="1029" spans="1:19" ht="14.25">
      <c r="A1029" s="14"/>
      <c r="B1029" s="9"/>
      <c r="C1029" s="9"/>
      <c r="D1029" s="9"/>
      <c r="E1029" s="9"/>
      <c r="F1029" s="9"/>
      <c r="G1029" s="9"/>
      <c r="H1029" s="9"/>
      <c r="I1029" s="9"/>
      <c r="J1029" s="9"/>
      <c r="K1029" s="357"/>
      <c r="L1029" s="9"/>
      <c r="M1029" s="9"/>
      <c r="N1029" s="9"/>
      <c r="O1029" s="9"/>
      <c r="P1029" s="9"/>
      <c r="Q1029" s="9"/>
      <c r="R1029" s="14"/>
      <c r="S1029" s="14"/>
    </row>
    <row r="1030" spans="1:19" ht="14.25">
      <c r="A1030" s="14"/>
      <c r="B1030" s="9"/>
      <c r="C1030" s="9"/>
      <c r="D1030" s="9"/>
      <c r="E1030" s="9"/>
      <c r="F1030" s="9"/>
      <c r="G1030" s="9"/>
      <c r="H1030" s="9"/>
      <c r="I1030" s="9"/>
      <c r="J1030" s="9"/>
      <c r="K1030" s="357"/>
      <c r="L1030" s="9"/>
      <c r="M1030" s="9"/>
      <c r="N1030" s="9"/>
      <c r="O1030" s="9"/>
      <c r="P1030" s="9"/>
      <c r="Q1030" s="9"/>
      <c r="R1030" s="14"/>
      <c r="S1030" s="14"/>
    </row>
    <row r="1031" spans="1:19" ht="14.25">
      <c r="A1031" s="14"/>
      <c r="B1031" s="9"/>
      <c r="C1031" s="9"/>
      <c r="D1031" s="9"/>
      <c r="E1031" s="9"/>
      <c r="F1031" s="9"/>
      <c r="G1031" s="9"/>
      <c r="H1031" s="9"/>
      <c r="I1031" s="9"/>
      <c r="J1031" s="9"/>
      <c r="K1031" s="357"/>
      <c r="L1031" s="9"/>
      <c r="M1031" s="9"/>
      <c r="N1031" s="9"/>
      <c r="O1031" s="9"/>
      <c r="P1031" s="9"/>
      <c r="Q1031" s="9"/>
      <c r="R1031" s="14"/>
      <c r="S1031" s="14"/>
    </row>
    <row r="1032" spans="1:19" ht="14.25">
      <c r="A1032" s="14"/>
      <c r="B1032" s="9"/>
      <c r="C1032" s="9"/>
      <c r="D1032" s="9"/>
      <c r="E1032" s="9"/>
      <c r="F1032" s="9"/>
      <c r="G1032" s="9"/>
      <c r="H1032" s="9"/>
      <c r="I1032" s="9"/>
      <c r="J1032" s="9"/>
      <c r="K1032" s="357"/>
      <c r="L1032" s="9"/>
      <c r="M1032" s="9"/>
      <c r="N1032" s="9"/>
      <c r="O1032" s="9"/>
      <c r="P1032" s="9"/>
      <c r="Q1032" s="9"/>
      <c r="R1032" s="14"/>
      <c r="S1032" s="14"/>
    </row>
    <row r="1033" spans="1:19" ht="14.25">
      <c r="A1033" s="14"/>
      <c r="B1033" s="9"/>
      <c r="C1033" s="9"/>
      <c r="D1033" s="9"/>
      <c r="E1033" s="9"/>
      <c r="F1033" s="9"/>
      <c r="G1033" s="9"/>
      <c r="H1033" s="9"/>
      <c r="I1033" s="9"/>
      <c r="J1033" s="9"/>
      <c r="K1033" s="357"/>
      <c r="L1033" s="9"/>
      <c r="M1033" s="9"/>
      <c r="N1033" s="9"/>
      <c r="O1033" s="9"/>
      <c r="P1033" s="9"/>
      <c r="Q1033" s="9"/>
      <c r="R1033" s="14"/>
      <c r="S1033" s="14"/>
    </row>
    <row r="1034" spans="1:19" ht="14.25">
      <c r="A1034" s="14"/>
      <c r="B1034" s="9"/>
      <c r="C1034" s="9"/>
      <c r="D1034" s="9"/>
      <c r="E1034" s="9"/>
      <c r="F1034" s="9"/>
      <c r="G1034" s="9"/>
      <c r="H1034" s="9"/>
      <c r="I1034" s="9"/>
      <c r="J1034" s="9"/>
      <c r="K1034" s="357"/>
      <c r="L1034" s="9"/>
      <c r="M1034" s="9"/>
      <c r="N1034" s="9"/>
      <c r="O1034" s="9"/>
      <c r="P1034" s="9"/>
      <c r="Q1034" s="9"/>
      <c r="R1034" s="14"/>
      <c r="S1034" s="14"/>
    </row>
    <row r="1035" spans="1:19" ht="14.25">
      <c r="A1035" s="14"/>
      <c r="B1035" s="9"/>
      <c r="C1035" s="9"/>
      <c r="D1035" s="9"/>
      <c r="E1035" s="9"/>
      <c r="F1035" s="9"/>
      <c r="G1035" s="9"/>
      <c r="H1035" s="9"/>
      <c r="I1035" s="9"/>
      <c r="J1035" s="9"/>
      <c r="K1035" s="357"/>
      <c r="L1035" s="9"/>
      <c r="M1035" s="9"/>
      <c r="N1035" s="9"/>
      <c r="O1035" s="9"/>
      <c r="P1035" s="9"/>
      <c r="Q1035" s="9"/>
      <c r="R1035" s="14"/>
      <c r="S1035" s="14"/>
    </row>
    <row r="1036" spans="1:19" ht="14.25">
      <c r="A1036" s="14"/>
      <c r="B1036" s="9"/>
      <c r="C1036" s="9"/>
      <c r="D1036" s="9"/>
      <c r="E1036" s="9"/>
      <c r="F1036" s="9"/>
      <c r="G1036" s="9"/>
      <c r="H1036" s="9"/>
      <c r="I1036" s="9"/>
      <c r="J1036" s="9"/>
      <c r="K1036" s="357"/>
      <c r="L1036" s="9"/>
      <c r="M1036" s="9"/>
      <c r="N1036" s="9"/>
      <c r="O1036" s="9"/>
      <c r="P1036" s="9"/>
      <c r="Q1036" s="9"/>
      <c r="R1036" s="14"/>
      <c r="S1036" s="14"/>
    </row>
    <row r="1037" spans="1:19" ht="14.25">
      <c r="A1037" s="14"/>
      <c r="B1037" s="9"/>
      <c r="C1037" s="9"/>
      <c r="D1037" s="9"/>
      <c r="E1037" s="9"/>
      <c r="F1037" s="9"/>
      <c r="G1037" s="9"/>
      <c r="H1037" s="9"/>
      <c r="I1037" s="9"/>
      <c r="J1037" s="9"/>
      <c r="K1037" s="357"/>
      <c r="L1037" s="9"/>
      <c r="M1037" s="9"/>
      <c r="N1037" s="9"/>
      <c r="O1037" s="9"/>
      <c r="P1037" s="9"/>
      <c r="Q1037" s="9"/>
      <c r="R1037" s="14"/>
      <c r="S1037" s="14"/>
    </row>
    <row r="1038" spans="1:19" ht="14.25">
      <c r="A1038" s="14"/>
      <c r="B1038" s="9"/>
      <c r="C1038" s="9"/>
      <c r="D1038" s="9"/>
      <c r="E1038" s="9"/>
      <c r="F1038" s="9"/>
      <c r="G1038" s="9"/>
      <c r="H1038" s="9"/>
      <c r="I1038" s="9"/>
      <c r="J1038" s="9"/>
      <c r="K1038" s="357"/>
      <c r="L1038" s="9"/>
      <c r="M1038" s="9"/>
      <c r="N1038" s="9"/>
      <c r="O1038" s="9"/>
      <c r="P1038" s="9"/>
      <c r="Q1038" s="9"/>
      <c r="R1038" s="14"/>
      <c r="S1038" s="14"/>
    </row>
    <row r="1039" spans="1:19" ht="14.25">
      <c r="A1039" s="14"/>
      <c r="B1039" s="9"/>
      <c r="C1039" s="9"/>
      <c r="D1039" s="9"/>
      <c r="E1039" s="9"/>
      <c r="F1039" s="9"/>
      <c r="G1039" s="9"/>
      <c r="H1039" s="9"/>
      <c r="I1039" s="9"/>
      <c r="J1039" s="9"/>
      <c r="K1039" s="357"/>
      <c r="L1039" s="9"/>
      <c r="M1039" s="9"/>
      <c r="N1039" s="9"/>
      <c r="O1039" s="9"/>
      <c r="P1039" s="9"/>
      <c r="Q1039" s="9"/>
      <c r="R1039" s="14"/>
      <c r="S1039" s="14"/>
    </row>
    <row r="1040" spans="1:19" ht="14.25">
      <c r="A1040" s="14"/>
      <c r="B1040" s="9"/>
      <c r="C1040" s="9"/>
      <c r="D1040" s="9"/>
      <c r="E1040" s="9"/>
      <c r="F1040" s="9"/>
      <c r="G1040" s="9"/>
      <c r="H1040" s="9"/>
      <c r="I1040" s="9"/>
      <c r="J1040" s="9"/>
      <c r="K1040" s="357"/>
      <c r="L1040" s="9"/>
      <c r="M1040" s="9"/>
      <c r="N1040" s="9"/>
      <c r="O1040" s="9"/>
      <c r="P1040" s="9"/>
      <c r="Q1040" s="9"/>
      <c r="R1040" s="14"/>
      <c r="S1040" s="14"/>
    </row>
    <row r="1041" spans="1:19" ht="14.25">
      <c r="A1041" s="14"/>
      <c r="B1041" s="9"/>
      <c r="C1041" s="9"/>
      <c r="D1041" s="9"/>
      <c r="E1041" s="9"/>
      <c r="F1041" s="9"/>
      <c r="G1041" s="9"/>
      <c r="H1041" s="9"/>
      <c r="I1041" s="9"/>
      <c r="J1041" s="9"/>
      <c r="K1041" s="357"/>
      <c r="L1041" s="9"/>
      <c r="M1041" s="9"/>
      <c r="N1041" s="9"/>
      <c r="O1041" s="9"/>
      <c r="P1041" s="9"/>
      <c r="Q1041" s="9"/>
      <c r="R1041" s="14"/>
      <c r="S1041" s="14"/>
    </row>
    <row r="1042" spans="1:19" ht="14.25">
      <c r="A1042" s="14"/>
      <c r="B1042" s="9"/>
      <c r="C1042" s="9"/>
      <c r="D1042" s="9"/>
      <c r="E1042" s="9"/>
      <c r="F1042" s="9"/>
      <c r="G1042" s="9"/>
      <c r="H1042" s="9"/>
      <c r="I1042" s="9"/>
      <c r="J1042" s="9"/>
      <c r="K1042" s="357"/>
      <c r="L1042" s="9"/>
      <c r="M1042" s="9"/>
      <c r="N1042" s="9"/>
      <c r="O1042" s="9"/>
      <c r="P1042" s="9"/>
      <c r="Q1042" s="9"/>
      <c r="R1042" s="14"/>
      <c r="S1042" s="14"/>
    </row>
    <row r="1043" spans="1:19" ht="14.25">
      <c r="A1043" s="14"/>
      <c r="B1043" s="9"/>
      <c r="C1043" s="9"/>
      <c r="D1043" s="9"/>
      <c r="E1043" s="9"/>
      <c r="F1043" s="9"/>
      <c r="G1043" s="9"/>
      <c r="H1043" s="9"/>
      <c r="I1043" s="9"/>
      <c r="J1043" s="9"/>
      <c r="K1043" s="357"/>
      <c r="L1043" s="9"/>
      <c r="M1043" s="9"/>
      <c r="N1043" s="9"/>
      <c r="O1043" s="9"/>
      <c r="P1043" s="9"/>
      <c r="Q1043" s="9"/>
      <c r="R1043" s="14"/>
      <c r="S1043" s="14"/>
    </row>
    <row r="1044" spans="1:19" ht="14.25">
      <c r="A1044" s="14"/>
      <c r="B1044" s="9"/>
      <c r="C1044" s="9"/>
      <c r="D1044" s="9"/>
      <c r="E1044" s="9"/>
      <c r="F1044" s="9"/>
      <c r="G1044" s="9"/>
      <c r="H1044" s="9"/>
      <c r="I1044" s="9"/>
      <c r="J1044" s="9"/>
      <c r="K1044" s="357"/>
      <c r="L1044" s="9"/>
      <c r="M1044" s="9"/>
      <c r="N1044" s="9"/>
      <c r="O1044" s="9"/>
      <c r="P1044" s="9"/>
      <c r="Q1044" s="9"/>
      <c r="R1044" s="14"/>
      <c r="S1044" s="14"/>
    </row>
    <row r="1045" spans="1:19" ht="14.25">
      <c r="A1045" s="14"/>
      <c r="B1045" s="9"/>
      <c r="C1045" s="9"/>
      <c r="D1045" s="9"/>
      <c r="E1045" s="9"/>
      <c r="F1045" s="9"/>
      <c r="G1045" s="9"/>
      <c r="H1045" s="9"/>
      <c r="I1045" s="9"/>
      <c r="J1045" s="9"/>
      <c r="K1045" s="357"/>
      <c r="L1045" s="9"/>
      <c r="M1045" s="9"/>
      <c r="N1045" s="9"/>
      <c r="O1045" s="9"/>
      <c r="P1045" s="9"/>
      <c r="Q1045" s="9"/>
      <c r="R1045" s="14"/>
      <c r="S1045" s="14"/>
    </row>
    <row r="1046" spans="1:19" ht="14.25">
      <c r="A1046" s="14"/>
      <c r="B1046" s="9"/>
      <c r="C1046" s="9"/>
      <c r="D1046" s="9"/>
      <c r="E1046" s="9"/>
      <c r="F1046" s="9"/>
      <c r="G1046" s="9"/>
      <c r="H1046" s="9"/>
      <c r="I1046" s="9"/>
      <c r="J1046" s="9"/>
      <c r="K1046" s="357"/>
      <c r="L1046" s="9"/>
      <c r="M1046" s="9"/>
      <c r="N1046" s="9"/>
      <c r="O1046" s="9"/>
      <c r="P1046" s="9"/>
      <c r="Q1046" s="9"/>
      <c r="R1046" s="14"/>
      <c r="S1046" s="14"/>
    </row>
    <row r="1047" spans="1:19" ht="14.25">
      <c r="A1047" s="14"/>
      <c r="B1047" s="9"/>
      <c r="C1047" s="9"/>
      <c r="D1047" s="9"/>
      <c r="E1047" s="9"/>
      <c r="F1047" s="9"/>
      <c r="G1047" s="9"/>
      <c r="H1047" s="9"/>
      <c r="I1047" s="9"/>
      <c r="J1047" s="9"/>
      <c r="K1047" s="357"/>
      <c r="L1047" s="9"/>
      <c r="M1047" s="9"/>
      <c r="N1047" s="9"/>
      <c r="O1047" s="9"/>
      <c r="P1047" s="9"/>
      <c r="Q1047" s="9"/>
      <c r="R1047" s="14"/>
      <c r="S1047" s="14"/>
    </row>
    <row r="1048" spans="1:19" ht="14.25">
      <c r="A1048" s="14"/>
      <c r="B1048" s="9"/>
      <c r="C1048" s="9"/>
      <c r="D1048" s="9"/>
      <c r="E1048" s="9"/>
      <c r="F1048" s="9"/>
      <c r="G1048" s="9"/>
      <c r="H1048" s="9"/>
      <c r="I1048" s="9"/>
      <c r="J1048" s="9"/>
      <c r="K1048" s="357"/>
      <c r="L1048" s="9"/>
      <c r="M1048" s="9"/>
      <c r="N1048" s="9"/>
      <c r="O1048" s="9"/>
      <c r="P1048" s="9"/>
      <c r="Q1048" s="9"/>
      <c r="R1048" s="14"/>
      <c r="S1048" s="14"/>
    </row>
    <row r="1049" spans="1:19" ht="14.25">
      <c r="A1049" s="14"/>
      <c r="B1049" s="9"/>
      <c r="C1049" s="9"/>
      <c r="D1049" s="9"/>
      <c r="E1049" s="9"/>
      <c r="F1049" s="9"/>
      <c r="G1049" s="9"/>
      <c r="H1049" s="9"/>
      <c r="I1049" s="9"/>
      <c r="J1049" s="9"/>
      <c r="K1049" s="357"/>
      <c r="L1049" s="9"/>
      <c r="M1049" s="9"/>
      <c r="N1049" s="9"/>
      <c r="O1049" s="9"/>
      <c r="P1049" s="9"/>
      <c r="Q1049" s="9"/>
      <c r="R1049" s="14"/>
      <c r="S1049" s="14"/>
    </row>
    <row r="1050" spans="1:19" ht="14.25">
      <c r="A1050" s="14"/>
      <c r="B1050" s="9"/>
      <c r="C1050" s="9"/>
      <c r="D1050" s="9"/>
      <c r="E1050" s="9"/>
      <c r="F1050" s="9"/>
      <c r="G1050" s="9"/>
      <c r="H1050" s="9"/>
      <c r="I1050" s="9"/>
      <c r="J1050" s="9"/>
      <c r="K1050" s="357"/>
      <c r="L1050" s="9"/>
      <c r="M1050" s="9"/>
      <c r="N1050" s="9"/>
      <c r="O1050" s="9"/>
      <c r="P1050" s="9"/>
      <c r="Q1050" s="9"/>
      <c r="R1050" s="14"/>
      <c r="S1050" s="14"/>
    </row>
    <row r="1051" spans="1:19" ht="14.25">
      <c r="A1051" s="14"/>
      <c r="B1051" s="9"/>
      <c r="C1051" s="9"/>
      <c r="D1051" s="9"/>
      <c r="E1051" s="9"/>
      <c r="F1051" s="9"/>
      <c r="G1051" s="9"/>
      <c r="H1051" s="9"/>
      <c r="I1051" s="9"/>
      <c r="J1051" s="9"/>
      <c r="K1051" s="357"/>
      <c r="L1051" s="9"/>
      <c r="M1051" s="9"/>
      <c r="N1051" s="9"/>
      <c r="O1051" s="9"/>
      <c r="P1051" s="9"/>
      <c r="Q1051" s="9"/>
      <c r="R1051" s="14"/>
      <c r="S1051" s="14"/>
    </row>
    <row r="1052" spans="1:19" ht="14.25">
      <c r="A1052" s="14"/>
      <c r="B1052" s="9"/>
      <c r="C1052" s="9"/>
      <c r="D1052" s="9"/>
      <c r="E1052" s="9"/>
      <c r="F1052" s="9"/>
      <c r="G1052" s="9"/>
      <c r="H1052" s="9"/>
      <c r="I1052" s="9"/>
      <c r="J1052" s="9"/>
      <c r="K1052" s="357"/>
      <c r="L1052" s="9"/>
      <c r="M1052" s="9"/>
      <c r="N1052" s="9"/>
      <c r="O1052" s="9"/>
      <c r="P1052" s="9"/>
      <c r="Q1052" s="9"/>
      <c r="R1052" s="14"/>
      <c r="S1052" s="14"/>
    </row>
    <row r="1053" spans="1:19" ht="14.25">
      <c r="A1053" s="14"/>
      <c r="B1053" s="9"/>
      <c r="C1053" s="9"/>
      <c r="D1053" s="9"/>
      <c r="E1053" s="9"/>
      <c r="F1053" s="9"/>
      <c r="G1053" s="9"/>
      <c r="H1053" s="9"/>
      <c r="I1053" s="9"/>
      <c r="J1053" s="9"/>
      <c r="K1053" s="357"/>
      <c r="L1053" s="9"/>
      <c r="M1053" s="9"/>
      <c r="N1053" s="9"/>
      <c r="O1053" s="9"/>
      <c r="P1053" s="9"/>
      <c r="Q1053" s="9"/>
      <c r="R1053" s="14"/>
      <c r="S1053" s="14"/>
    </row>
    <row r="1054" spans="1:19" ht="14.25">
      <c r="A1054" s="14"/>
      <c r="B1054" s="9"/>
      <c r="C1054" s="9"/>
      <c r="D1054" s="9"/>
      <c r="E1054" s="9"/>
      <c r="F1054" s="9"/>
      <c r="G1054" s="9"/>
      <c r="H1054" s="9"/>
      <c r="I1054" s="9"/>
      <c r="J1054" s="9"/>
      <c r="K1054" s="357"/>
      <c r="L1054" s="9"/>
      <c r="M1054" s="9"/>
      <c r="N1054" s="9"/>
      <c r="O1054" s="9"/>
      <c r="P1054" s="9"/>
      <c r="Q1054" s="9"/>
      <c r="R1054" s="14"/>
      <c r="S1054" s="14"/>
    </row>
    <row r="1055" spans="1:19" ht="14.25">
      <c r="A1055" s="14"/>
      <c r="B1055" s="9"/>
      <c r="C1055" s="9"/>
      <c r="D1055" s="9"/>
      <c r="E1055" s="9"/>
      <c r="F1055" s="9"/>
      <c r="G1055" s="9"/>
      <c r="H1055" s="9"/>
      <c r="I1055" s="9"/>
      <c r="J1055" s="9"/>
      <c r="K1055" s="357"/>
      <c r="L1055" s="9"/>
      <c r="M1055" s="9"/>
      <c r="N1055" s="9"/>
      <c r="O1055" s="9"/>
      <c r="P1055" s="9"/>
      <c r="Q1055" s="9"/>
      <c r="R1055" s="14"/>
      <c r="S1055" s="14"/>
    </row>
    <row r="1056" spans="1:19" ht="14.25">
      <c r="A1056" s="14"/>
      <c r="B1056" s="9"/>
      <c r="C1056" s="9"/>
      <c r="D1056" s="9"/>
      <c r="E1056" s="9"/>
      <c r="F1056" s="9"/>
      <c r="G1056" s="9"/>
      <c r="H1056" s="9"/>
      <c r="I1056" s="9"/>
      <c r="J1056" s="9"/>
      <c r="K1056" s="357"/>
      <c r="L1056" s="9"/>
      <c r="M1056" s="9"/>
      <c r="N1056" s="9"/>
      <c r="O1056" s="9"/>
      <c r="P1056" s="9"/>
      <c r="Q1056" s="9"/>
      <c r="R1056" s="14"/>
      <c r="S1056" s="14"/>
    </row>
    <row r="1057" spans="1:19" ht="14.25">
      <c r="A1057" s="14"/>
      <c r="B1057" s="9"/>
      <c r="C1057" s="9"/>
      <c r="D1057" s="9"/>
      <c r="E1057" s="9"/>
      <c r="F1057" s="9"/>
      <c r="G1057" s="9"/>
      <c r="H1057" s="9"/>
      <c r="I1057" s="9"/>
      <c r="J1057" s="9"/>
      <c r="K1057" s="357"/>
      <c r="L1057" s="9"/>
      <c r="M1057" s="9"/>
      <c r="N1057" s="9"/>
      <c r="O1057" s="9"/>
      <c r="P1057" s="9"/>
      <c r="Q1057" s="9"/>
      <c r="R1057" s="14"/>
      <c r="S1057" s="14"/>
    </row>
    <row r="1058" spans="1:19" ht="14.25">
      <c r="A1058" s="14"/>
      <c r="B1058" s="9"/>
      <c r="C1058" s="9"/>
      <c r="D1058" s="9"/>
      <c r="E1058" s="9"/>
      <c r="F1058" s="9"/>
      <c r="G1058" s="9"/>
      <c r="H1058" s="9"/>
      <c r="I1058" s="9"/>
      <c r="J1058" s="9"/>
      <c r="K1058" s="357"/>
      <c r="L1058" s="9"/>
      <c r="M1058" s="9"/>
      <c r="N1058" s="9"/>
      <c r="O1058" s="9"/>
      <c r="P1058" s="9"/>
      <c r="Q1058" s="9"/>
      <c r="R1058" s="14"/>
      <c r="S1058" s="14"/>
    </row>
    <row r="1059" spans="1:19" ht="14.25">
      <c r="A1059" s="14"/>
      <c r="B1059" s="9"/>
      <c r="C1059" s="9"/>
      <c r="D1059" s="9"/>
      <c r="E1059" s="9"/>
      <c r="F1059" s="9"/>
      <c r="G1059" s="9"/>
      <c r="H1059" s="9"/>
      <c r="I1059" s="9"/>
      <c r="J1059" s="9"/>
      <c r="K1059" s="357"/>
      <c r="L1059" s="9"/>
      <c r="M1059" s="9"/>
      <c r="N1059" s="9"/>
      <c r="O1059" s="9"/>
      <c r="P1059" s="9"/>
      <c r="Q1059" s="9"/>
      <c r="R1059" s="14"/>
      <c r="S1059" s="14"/>
    </row>
    <row r="1060" spans="1:19" ht="14.25">
      <c r="A1060" s="14"/>
      <c r="B1060" s="9"/>
      <c r="C1060" s="9"/>
      <c r="D1060" s="9"/>
      <c r="E1060" s="9"/>
      <c r="F1060" s="9"/>
      <c r="G1060" s="9"/>
      <c r="H1060" s="9"/>
      <c r="I1060" s="9"/>
      <c r="J1060" s="9"/>
      <c r="K1060" s="357"/>
      <c r="L1060" s="9"/>
      <c r="M1060" s="9"/>
      <c r="N1060" s="9"/>
      <c r="O1060" s="9"/>
      <c r="P1060" s="9"/>
      <c r="Q1060" s="9"/>
      <c r="R1060" s="14"/>
      <c r="S1060" s="14"/>
    </row>
    <row r="1061" spans="1:19" ht="14.25">
      <c r="A1061" s="14"/>
      <c r="B1061" s="9"/>
      <c r="C1061" s="9"/>
      <c r="D1061" s="9"/>
      <c r="E1061" s="9"/>
      <c r="F1061" s="9"/>
      <c r="G1061" s="9"/>
      <c r="H1061" s="9"/>
      <c r="I1061" s="9"/>
      <c r="J1061" s="9"/>
      <c r="K1061" s="357"/>
      <c r="L1061" s="9"/>
      <c r="M1061" s="9"/>
      <c r="N1061" s="9"/>
      <c r="O1061" s="9"/>
      <c r="P1061" s="9"/>
      <c r="Q1061" s="9"/>
      <c r="R1061" s="14"/>
      <c r="S1061" s="14"/>
    </row>
    <row r="1062" spans="1:19" ht="14.25">
      <c r="A1062" s="14"/>
      <c r="B1062" s="9"/>
      <c r="C1062" s="9"/>
      <c r="D1062" s="9"/>
      <c r="E1062" s="9"/>
      <c r="F1062" s="9"/>
      <c r="G1062" s="9"/>
      <c r="H1062" s="9"/>
      <c r="I1062" s="9"/>
      <c r="J1062" s="9"/>
      <c r="K1062" s="357"/>
      <c r="L1062" s="9"/>
      <c r="M1062" s="9"/>
      <c r="N1062" s="9"/>
      <c r="O1062" s="9"/>
      <c r="P1062" s="9"/>
      <c r="Q1062" s="9"/>
      <c r="R1062" s="14"/>
      <c r="S1062" s="14"/>
    </row>
    <row r="1063" spans="1:19" ht="14.25">
      <c r="A1063" s="14"/>
      <c r="B1063" s="9"/>
      <c r="C1063" s="9"/>
      <c r="D1063" s="9"/>
      <c r="E1063" s="9"/>
      <c r="F1063" s="9"/>
      <c r="G1063" s="9"/>
      <c r="H1063" s="9"/>
      <c r="I1063" s="9"/>
      <c r="J1063" s="9"/>
      <c r="K1063" s="357"/>
      <c r="L1063" s="9"/>
      <c r="M1063" s="9"/>
      <c r="N1063" s="9"/>
      <c r="O1063" s="9"/>
      <c r="P1063" s="9"/>
      <c r="Q1063" s="9"/>
      <c r="R1063" s="14"/>
      <c r="S1063" s="14"/>
    </row>
    <row r="1064" spans="1:19" ht="14.25">
      <c r="A1064" s="14"/>
      <c r="B1064" s="9"/>
      <c r="C1064" s="9"/>
      <c r="D1064" s="9"/>
      <c r="E1064" s="9"/>
      <c r="F1064" s="9"/>
      <c r="G1064" s="9"/>
      <c r="H1064" s="9"/>
      <c r="I1064" s="9"/>
      <c r="J1064" s="9"/>
      <c r="K1064" s="357"/>
      <c r="L1064" s="9"/>
      <c r="M1064" s="9"/>
      <c r="N1064" s="9"/>
      <c r="O1064" s="9"/>
      <c r="P1064" s="9"/>
      <c r="Q1064" s="9"/>
      <c r="R1064" s="14"/>
      <c r="S1064" s="14"/>
    </row>
    <row r="1065" spans="1:19" ht="14.25">
      <c r="A1065" s="14"/>
      <c r="B1065" s="9"/>
      <c r="C1065" s="9"/>
      <c r="D1065" s="9"/>
      <c r="E1065" s="9"/>
      <c r="F1065" s="9"/>
      <c r="G1065" s="9"/>
      <c r="H1065" s="9"/>
      <c r="I1065" s="9"/>
      <c r="J1065" s="9"/>
      <c r="K1065" s="357"/>
      <c r="L1065" s="9"/>
      <c r="M1065" s="9"/>
      <c r="N1065" s="9"/>
      <c r="O1065" s="9"/>
      <c r="P1065" s="9"/>
      <c r="Q1065" s="9"/>
      <c r="R1065" s="14"/>
      <c r="S1065" s="14"/>
    </row>
    <row r="1066" spans="1:19" ht="14.25">
      <c r="A1066" s="14"/>
      <c r="B1066" s="9"/>
      <c r="C1066" s="9"/>
      <c r="D1066" s="9"/>
      <c r="E1066" s="9"/>
      <c r="F1066" s="9"/>
      <c r="G1066" s="9"/>
      <c r="H1066" s="9"/>
      <c r="I1066" s="9"/>
      <c r="J1066" s="9"/>
      <c r="K1066" s="357"/>
      <c r="L1066" s="9"/>
      <c r="M1066" s="9"/>
      <c r="N1066" s="9"/>
      <c r="O1066" s="9"/>
      <c r="P1066" s="9"/>
      <c r="Q1066" s="9"/>
      <c r="R1066" s="14"/>
      <c r="S1066" s="14"/>
    </row>
    <row r="1067" spans="1:19" ht="14.25">
      <c r="A1067" s="14"/>
      <c r="B1067" s="9"/>
      <c r="C1067" s="9"/>
      <c r="D1067" s="9"/>
      <c r="E1067" s="9"/>
      <c r="F1067" s="9"/>
      <c r="G1067" s="9"/>
      <c r="H1067" s="9"/>
      <c r="I1067" s="9"/>
      <c r="J1067" s="9"/>
      <c r="K1067" s="357"/>
      <c r="L1067" s="9"/>
      <c r="M1067" s="9"/>
      <c r="N1067" s="9"/>
      <c r="O1067" s="9"/>
      <c r="P1067" s="9"/>
      <c r="Q1067" s="9"/>
      <c r="R1067" s="14"/>
      <c r="S1067" s="14"/>
    </row>
    <row r="1068" spans="1:19" ht="14.25">
      <c r="A1068" s="14"/>
      <c r="B1068" s="9"/>
      <c r="C1068" s="9"/>
      <c r="D1068" s="9"/>
      <c r="E1068" s="9"/>
      <c r="F1068" s="9"/>
      <c r="G1068" s="9"/>
      <c r="H1068" s="9"/>
      <c r="I1068" s="9"/>
      <c r="J1068" s="9"/>
      <c r="K1068" s="357"/>
      <c r="L1068" s="9"/>
      <c r="M1068" s="9"/>
      <c r="N1068" s="9"/>
      <c r="O1068" s="9"/>
      <c r="P1068" s="9"/>
      <c r="Q1068" s="9"/>
      <c r="R1068" s="14"/>
      <c r="S1068" s="14"/>
    </row>
    <row r="1069" spans="1:19" ht="14.25">
      <c r="A1069" s="14"/>
      <c r="B1069" s="9"/>
      <c r="C1069" s="9"/>
      <c r="D1069" s="9"/>
      <c r="E1069" s="9"/>
      <c r="F1069" s="9"/>
      <c r="G1069" s="9"/>
      <c r="H1069" s="9"/>
      <c r="I1069" s="9"/>
      <c r="J1069" s="9"/>
      <c r="K1069" s="357"/>
      <c r="L1069" s="9"/>
      <c r="M1069" s="9"/>
      <c r="N1069" s="9"/>
      <c r="O1069" s="9"/>
      <c r="P1069" s="9"/>
      <c r="Q1069" s="9"/>
      <c r="R1069" s="14"/>
      <c r="S1069" s="14"/>
    </row>
    <row r="1070" spans="1:19" ht="14.25">
      <c r="A1070" s="14"/>
      <c r="B1070" s="9"/>
      <c r="C1070" s="9"/>
      <c r="D1070" s="9"/>
      <c r="E1070" s="9"/>
      <c r="F1070" s="9"/>
      <c r="G1070" s="9"/>
      <c r="H1070" s="9"/>
      <c r="I1070" s="9"/>
      <c r="J1070" s="9"/>
      <c r="K1070" s="357"/>
      <c r="L1070" s="9"/>
      <c r="M1070" s="9"/>
      <c r="N1070" s="9"/>
      <c r="O1070" s="9"/>
      <c r="P1070" s="9"/>
      <c r="Q1070" s="9"/>
      <c r="R1070" s="14"/>
      <c r="S1070" s="14"/>
    </row>
    <row r="1071" spans="1:19" ht="14.25">
      <c r="A1071" s="14"/>
      <c r="B1071" s="9"/>
      <c r="C1071" s="9"/>
      <c r="D1071" s="9"/>
      <c r="E1071" s="9"/>
      <c r="F1071" s="9"/>
      <c r="G1071" s="9"/>
      <c r="H1071" s="9"/>
      <c r="I1071" s="9"/>
      <c r="J1071" s="9"/>
      <c r="K1071" s="357"/>
      <c r="L1071" s="9"/>
      <c r="M1071" s="9"/>
      <c r="N1071" s="9"/>
      <c r="O1071" s="9"/>
      <c r="P1071" s="9"/>
      <c r="Q1071" s="9"/>
      <c r="R1071" s="14"/>
      <c r="S1071" s="14"/>
    </row>
    <row r="1072" spans="1:19" ht="14.25">
      <c r="A1072" s="14"/>
      <c r="B1072" s="9"/>
      <c r="C1072" s="9"/>
      <c r="D1072" s="9"/>
      <c r="E1072" s="9"/>
      <c r="F1072" s="9"/>
      <c r="G1072" s="9"/>
      <c r="H1072" s="9"/>
      <c r="I1072" s="9"/>
      <c r="J1072" s="9"/>
      <c r="K1072" s="357"/>
      <c r="L1072" s="9"/>
      <c r="M1072" s="9"/>
      <c r="N1072" s="9"/>
      <c r="O1072" s="9"/>
      <c r="P1072" s="9"/>
      <c r="Q1072" s="9"/>
      <c r="R1072" s="14"/>
      <c r="S1072" s="14"/>
    </row>
    <row r="1073" spans="1:19" ht="14.25">
      <c r="A1073" s="14"/>
      <c r="B1073" s="9"/>
      <c r="C1073" s="9"/>
      <c r="D1073" s="9"/>
      <c r="E1073" s="9"/>
      <c r="F1073" s="9"/>
      <c r="G1073" s="9"/>
      <c r="H1073" s="9"/>
      <c r="I1073" s="9"/>
      <c r="J1073" s="9"/>
      <c r="K1073" s="357"/>
      <c r="L1073" s="9"/>
      <c r="M1073" s="9"/>
      <c r="N1073" s="9"/>
      <c r="O1073" s="9"/>
      <c r="P1073" s="9"/>
      <c r="Q1073" s="9"/>
      <c r="R1073" s="14"/>
      <c r="S1073" s="14"/>
    </row>
    <row r="1074" spans="1:19" ht="14.25">
      <c r="A1074" s="14"/>
      <c r="B1074" s="9"/>
      <c r="C1074" s="9"/>
      <c r="D1074" s="9"/>
      <c r="E1074" s="9"/>
      <c r="F1074" s="9"/>
      <c r="G1074" s="9"/>
      <c r="H1074" s="9"/>
      <c r="I1074" s="9"/>
      <c r="J1074" s="9"/>
      <c r="K1074" s="357"/>
      <c r="L1074" s="9"/>
      <c r="M1074" s="9"/>
      <c r="N1074" s="9"/>
      <c r="O1074" s="9"/>
      <c r="P1074" s="9"/>
      <c r="Q1074" s="9"/>
      <c r="R1074" s="14"/>
      <c r="S1074" s="14"/>
    </row>
    <row r="1075" spans="1:19" ht="14.25">
      <c r="A1075" s="14"/>
      <c r="B1075" s="9"/>
      <c r="C1075" s="9"/>
      <c r="D1075" s="9"/>
      <c r="E1075" s="9"/>
      <c r="F1075" s="9"/>
      <c r="G1075" s="9"/>
      <c r="H1075" s="9"/>
      <c r="I1075" s="9"/>
      <c r="J1075" s="9"/>
      <c r="K1075" s="357"/>
      <c r="L1075" s="9"/>
      <c r="M1075" s="9"/>
      <c r="N1075" s="9"/>
      <c r="O1075" s="9"/>
      <c r="P1075" s="9"/>
      <c r="Q1075" s="9"/>
      <c r="R1075" s="14"/>
      <c r="S1075" s="14"/>
    </row>
    <row r="1076" spans="1:19" ht="14.25">
      <c r="A1076" s="14"/>
      <c r="B1076" s="9"/>
      <c r="C1076" s="9"/>
      <c r="D1076" s="9"/>
      <c r="E1076" s="9"/>
      <c r="F1076" s="9"/>
      <c r="G1076" s="9"/>
      <c r="H1076" s="9"/>
      <c r="I1076" s="9"/>
      <c r="J1076" s="9"/>
      <c r="K1076" s="357"/>
      <c r="L1076" s="9"/>
      <c r="M1076" s="9"/>
      <c r="N1076" s="9"/>
      <c r="O1076" s="9"/>
      <c r="P1076" s="9"/>
      <c r="Q1076" s="9"/>
      <c r="R1076" s="14"/>
      <c r="S1076" s="14"/>
    </row>
    <row r="1077" spans="1:19" ht="14.25">
      <c r="A1077" s="14"/>
      <c r="B1077" s="9"/>
      <c r="C1077" s="9"/>
      <c r="D1077" s="9"/>
      <c r="E1077" s="9"/>
      <c r="F1077" s="9"/>
      <c r="G1077" s="9"/>
      <c r="H1077" s="9"/>
      <c r="I1077" s="9"/>
      <c r="J1077" s="9"/>
      <c r="K1077" s="357"/>
      <c r="L1077" s="9"/>
      <c r="M1077" s="9"/>
      <c r="N1077" s="9"/>
      <c r="O1077" s="9"/>
      <c r="P1077" s="9"/>
      <c r="Q1077" s="9"/>
      <c r="R1077" s="14"/>
      <c r="S1077" s="14"/>
    </row>
    <row r="1078" spans="1:19" ht="14.25">
      <c r="A1078" s="14"/>
      <c r="B1078" s="9"/>
      <c r="C1078" s="9"/>
      <c r="D1078" s="9"/>
      <c r="E1078" s="9"/>
      <c r="F1078" s="9"/>
      <c r="G1078" s="9"/>
      <c r="H1078" s="9"/>
      <c r="I1078" s="9"/>
      <c r="J1078" s="9"/>
      <c r="K1078" s="357"/>
      <c r="L1078" s="9"/>
      <c r="M1078" s="9"/>
      <c r="N1078" s="9"/>
      <c r="O1078" s="9"/>
      <c r="P1078" s="9"/>
      <c r="Q1078" s="9"/>
      <c r="R1078" s="14"/>
      <c r="S1078" s="14"/>
    </row>
    <row r="1079" spans="1:19" ht="14.25">
      <c r="A1079" s="14"/>
      <c r="B1079" s="9"/>
      <c r="C1079" s="9"/>
      <c r="D1079" s="9"/>
      <c r="E1079" s="9"/>
      <c r="F1079" s="9"/>
      <c r="G1079" s="9"/>
      <c r="H1079" s="9"/>
      <c r="I1079" s="9"/>
      <c r="J1079" s="9"/>
      <c r="K1079" s="357"/>
      <c r="L1079" s="9"/>
      <c r="M1079" s="9"/>
      <c r="N1079" s="9"/>
      <c r="O1079" s="9"/>
      <c r="P1079" s="9"/>
      <c r="Q1079" s="9"/>
      <c r="R1079" s="14"/>
      <c r="S1079" s="14"/>
    </row>
    <row r="1080" spans="1:19" ht="14.25">
      <c r="A1080" s="14"/>
      <c r="B1080" s="9"/>
      <c r="C1080" s="9"/>
      <c r="D1080" s="9"/>
      <c r="E1080" s="9"/>
      <c r="F1080" s="9"/>
      <c r="G1080" s="9"/>
      <c r="H1080" s="9"/>
      <c r="I1080" s="9"/>
      <c r="J1080" s="9"/>
      <c r="K1080" s="357"/>
      <c r="L1080" s="9"/>
      <c r="M1080" s="9"/>
      <c r="N1080" s="9"/>
      <c r="O1080" s="9"/>
      <c r="P1080" s="9"/>
      <c r="Q1080" s="9"/>
      <c r="R1080" s="14"/>
      <c r="S1080" s="14"/>
    </row>
    <row r="1081" spans="1:19" ht="14.25">
      <c r="A1081" s="14"/>
      <c r="B1081" s="9"/>
      <c r="C1081" s="9"/>
      <c r="D1081" s="9"/>
      <c r="E1081" s="9"/>
      <c r="F1081" s="9"/>
      <c r="G1081" s="9"/>
      <c r="H1081" s="9"/>
      <c r="I1081" s="9"/>
      <c r="J1081" s="9"/>
      <c r="K1081" s="357"/>
      <c r="L1081" s="9"/>
      <c r="M1081" s="9"/>
      <c r="N1081" s="9"/>
      <c r="O1081" s="9"/>
      <c r="P1081" s="9"/>
      <c r="Q1081" s="9"/>
      <c r="R1081" s="14"/>
      <c r="S1081" s="14"/>
    </row>
    <row r="1082" spans="1:19" ht="14.25">
      <c r="A1082" s="14"/>
      <c r="B1082" s="9"/>
      <c r="C1082" s="9"/>
      <c r="D1082" s="9"/>
      <c r="E1082" s="9"/>
      <c r="F1082" s="9"/>
      <c r="G1082" s="9"/>
      <c r="H1082" s="9"/>
      <c r="I1082" s="9"/>
      <c r="J1082" s="9"/>
      <c r="K1082" s="357"/>
      <c r="L1082" s="9"/>
      <c r="M1082" s="9"/>
      <c r="N1082" s="9"/>
      <c r="O1082" s="9"/>
      <c r="P1082" s="9"/>
      <c r="Q1082" s="9"/>
      <c r="R1082" s="14"/>
      <c r="S1082" s="14"/>
    </row>
    <row r="1083" spans="1:19" ht="14.25">
      <c r="A1083" s="14"/>
      <c r="B1083" s="9"/>
      <c r="C1083" s="9"/>
      <c r="D1083" s="9"/>
      <c r="E1083" s="9"/>
      <c r="F1083" s="9"/>
      <c r="G1083" s="9"/>
      <c r="H1083" s="9"/>
      <c r="I1083" s="9"/>
      <c r="J1083" s="9"/>
      <c r="K1083" s="357"/>
      <c r="L1083" s="9"/>
      <c r="M1083" s="9"/>
      <c r="N1083" s="9"/>
      <c r="O1083" s="9"/>
      <c r="P1083" s="9"/>
      <c r="Q1083" s="9"/>
      <c r="R1083" s="14"/>
      <c r="S1083" s="14"/>
    </row>
    <row r="1084" spans="1:19" ht="14.25">
      <c r="A1084" s="14"/>
      <c r="B1084" s="9"/>
      <c r="C1084" s="9"/>
      <c r="D1084" s="9"/>
      <c r="E1084" s="9"/>
      <c r="F1084" s="9"/>
      <c r="G1084" s="9"/>
      <c r="H1084" s="9"/>
      <c r="I1084" s="9"/>
      <c r="J1084" s="9"/>
      <c r="K1084" s="357"/>
      <c r="L1084" s="9"/>
      <c r="M1084" s="9"/>
      <c r="N1084" s="9"/>
      <c r="O1084" s="9"/>
      <c r="P1084" s="9"/>
      <c r="Q1084" s="9"/>
      <c r="R1084" s="14"/>
      <c r="S1084" s="14"/>
    </row>
    <row r="1085" spans="1:19" ht="14.25">
      <c r="A1085" s="14"/>
      <c r="B1085" s="9"/>
      <c r="C1085" s="9"/>
      <c r="D1085" s="9"/>
      <c r="E1085" s="9"/>
      <c r="F1085" s="9"/>
      <c r="G1085" s="9"/>
      <c r="H1085" s="9"/>
      <c r="I1085" s="9"/>
      <c r="J1085" s="9"/>
      <c r="K1085" s="357"/>
      <c r="L1085" s="9"/>
      <c r="M1085" s="9"/>
      <c r="N1085" s="9"/>
      <c r="O1085" s="9"/>
      <c r="P1085" s="9"/>
      <c r="Q1085" s="9"/>
      <c r="R1085" s="14"/>
      <c r="S1085" s="14"/>
    </row>
    <row r="1086" spans="1:19" ht="14.25">
      <c r="A1086" s="14"/>
      <c r="B1086" s="9"/>
      <c r="C1086" s="9"/>
      <c r="D1086" s="9"/>
      <c r="E1086" s="9"/>
      <c r="F1086" s="9"/>
      <c r="G1086" s="9"/>
      <c r="H1086" s="9"/>
      <c r="I1086" s="9"/>
      <c r="J1086" s="9"/>
      <c r="K1086" s="357"/>
      <c r="L1086" s="9"/>
      <c r="M1086" s="9"/>
      <c r="N1086" s="9"/>
      <c r="O1086" s="9"/>
      <c r="P1086" s="9"/>
      <c r="Q1086" s="9"/>
      <c r="R1086" s="14"/>
      <c r="S1086" s="14"/>
    </row>
    <row r="1087" spans="1:19" ht="14.25">
      <c r="A1087" s="14"/>
      <c r="B1087" s="9"/>
      <c r="C1087" s="9"/>
      <c r="D1087" s="9"/>
      <c r="E1087" s="9"/>
      <c r="F1087" s="9"/>
      <c r="G1087" s="9"/>
      <c r="H1087" s="9"/>
      <c r="I1087" s="9"/>
      <c r="J1087" s="9"/>
      <c r="K1087" s="357"/>
      <c r="L1087" s="9"/>
      <c r="M1087" s="9"/>
      <c r="N1087" s="9"/>
      <c r="O1087" s="9"/>
      <c r="P1087" s="9"/>
      <c r="Q1087" s="9"/>
      <c r="R1087" s="14"/>
      <c r="S1087" s="14"/>
    </row>
    <row r="1088" spans="1:19" ht="14.25">
      <c r="A1088" s="14"/>
      <c r="B1088" s="9"/>
      <c r="C1088" s="9"/>
      <c r="D1088" s="9"/>
      <c r="E1088" s="9"/>
      <c r="F1088" s="9"/>
      <c r="G1088" s="9"/>
      <c r="H1088" s="9"/>
      <c r="I1088" s="9"/>
      <c r="J1088" s="9"/>
      <c r="K1088" s="357"/>
      <c r="L1088" s="9"/>
      <c r="M1088" s="9"/>
      <c r="N1088" s="9"/>
      <c r="O1088" s="9"/>
      <c r="P1088" s="9"/>
      <c r="Q1088" s="9"/>
      <c r="R1088" s="14"/>
      <c r="S1088" s="14"/>
    </row>
    <row r="1089" spans="1:19" ht="14.25">
      <c r="A1089" s="14"/>
      <c r="B1089" s="9"/>
      <c r="C1089" s="9"/>
      <c r="D1089" s="9"/>
      <c r="E1089" s="9"/>
      <c r="F1089" s="9"/>
      <c r="G1089" s="9"/>
      <c r="H1089" s="9"/>
      <c r="I1089" s="9"/>
      <c r="J1089" s="9"/>
      <c r="K1089" s="357"/>
      <c r="L1089" s="9"/>
      <c r="M1089" s="9"/>
      <c r="N1089" s="9"/>
      <c r="O1089" s="9"/>
      <c r="P1089" s="9"/>
      <c r="Q1089" s="9"/>
      <c r="R1089" s="14"/>
      <c r="S1089" s="14"/>
    </row>
    <row r="1090" spans="1:19" ht="14.25">
      <c r="A1090" s="14"/>
      <c r="B1090" s="9"/>
      <c r="C1090" s="9"/>
      <c r="D1090" s="9"/>
      <c r="E1090" s="9"/>
      <c r="F1090" s="9"/>
      <c r="G1090" s="9"/>
      <c r="H1090" s="9"/>
      <c r="I1090" s="9"/>
      <c r="J1090" s="9"/>
      <c r="K1090" s="357"/>
      <c r="L1090" s="9"/>
      <c r="M1090" s="9"/>
      <c r="N1090" s="9"/>
      <c r="O1090" s="9"/>
      <c r="P1090" s="9"/>
      <c r="Q1090" s="9"/>
      <c r="R1090" s="14"/>
      <c r="S1090" s="14"/>
    </row>
    <row r="1091" spans="1:19" ht="14.25">
      <c r="A1091" s="14"/>
      <c r="B1091" s="9"/>
      <c r="C1091" s="9"/>
      <c r="D1091" s="9"/>
      <c r="E1091" s="9"/>
      <c r="F1091" s="9"/>
      <c r="G1091" s="9"/>
      <c r="H1091" s="9"/>
      <c r="I1091" s="9"/>
      <c r="J1091" s="9"/>
      <c r="K1091" s="357"/>
      <c r="L1091" s="9"/>
      <c r="M1091" s="9"/>
      <c r="N1091" s="9"/>
      <c r="O1091" s="9"/>
      <c r="P1091" s="9"/>
      <c r="Q1091" s="9"/>
      <c r="R1091" s="14"/>
      <c r="S1091" s="14"/>
    </row>
    <row r="1092" spans="1:19" ht="14.25">
      <c r="A1092" s="14"/>
      <c r="B1092" s="9"/>
      <c r="C1092" s="9"/>
      <c r="D1092" s="9"/>
      <c r="E1092" s="9"/>
      <c r="F1092" s="9"/>
      <c r="G1092" s="9"/>
      <c r="H1092" s="9"/>
      <c r="I1092" s="9"/>
      <c r="J1092" s="9"/>
      <c r="K1092" s="357"/>
      <c r="L1092" s="9"/>
      <c r="M1092" s="9"/>
      <c r="N1092" s="9"/>
      <c r="O1092" s="9"/>
      <c r="P1092" s="9"/>
      <c r="Q1092" s="9"/>
      <c r="R1092" s="14"/>
      <c r="S1092" s="14"/>
    </row>
    <row r="1093" spans="1:19" ht="14.25">
      <c r="A1093" s="14"/>
      <c r="B1093" s="9"/>
      <c r="C1093" s="9"/>
      <c r="D1093" s="9"/>
      <c r="E1093" s="9"/>
      <c r="F1093" s="9"/>
      <c r="G1093" s="9"/>
      <c r="H1093" s="9"/>
      <c r="I1093" s="9"/>
      <c r="J1093" s="9"/>
      <c r="K1093" s="357"/>
      <c r="L1093" s="9"/>
      <c r="M1093" s="9"/>
      <c r="N1093" s="9"/>
      <c r="O1093" s="9"/>
      <c r="P1093" s="9"/>
      <c r="Q1093" s="9"/>
      <c r="R1093" s="14"/>
      <c r="S1093" s="14"/>
    </row>
    <row r="1094" spans="1:19" ht="14.25">
      <c r="A1094" s="14"/>
      <c r="B1094" s="9"/>
      <c r="C1094" s="9"/>
      <c r="D1094" s="9"/>
      <c r="E1094" s="9"/>
      <c r="F1094" s="9"/>
      <c r="G1094" s="9"/>
      <c r="H1094" s="9"/>
      <c r="I1094" s="9"/>
      <c r="J1094" s="9"/>
      <c r="K1094" s="357"/>
      <c r="L1094" s="9"/>
      <c r="M1094" s="9"/>
      <c r="N1094" s="9"/>
      <c r="O1094" s="9"/>
      <c r="P1094" s="9"/>
      <c r="Q1094" s="9"/>
      <c r="R1094" s="14"/>
      <c r="S1094" s="14"/>
    </row>
    <row r="1095" spans="1:19" ht="14.25">
      <c r="A1095" s="14"/>
      <c r="B1095" s="9"/>
      <c r="C1095" s="9"/>
      <c r="D1095" s="9"/>
      <c r="E1095" s="9"/>
      <c r="F1095" s="9"/>
      <c r="G1095" s="9"/>
      <c r="H1095" s="9"/>
      <c r="I1095" s="9"/>
      <c r="J1095" s="9"/>
      <c r="K1095" s="357"/>
      <c r="L1095" s="9"/>
      <c r="M1095" s="9"/>
      <c r="N1095" s="9"/>
      <c r="O1095" s="9"/>
      <c r="P1095" s="9"/>
      <c r="Q1095" s="9"/>
      <c r="R1095" s="14"/>
      <c r="S1095" s="14"/>
    </row>
    <row r="1096" spans="1:19" ht="14.25">
      <c r="A1096" s="14"/>
      <c r="B1096" s="9"/>
      <c r="C1096" s="9"/>
      <c r="D1096" s="9"/>
      <c r="E1096" s="9"/>
      <c r="F1096" s="9"/>
      <c r="G1096" s="9"/>
      <c r="H1096" s="9"/>
      <c r="I1096" s="9"/>
      <c r="J1096" s="9"/>
      <c r="K1096" s="357"/>
      <c r="L1096" s="9"/>
      <c r="M1096" s="9"/>
      <c r="N1096" s="9"/>
      <c r="O1096" s="9"/>
      <c r="P1096" s="9"/>
      <c r="Q1096" s="9"/>
      <c r="R1096" s="14"/>
      <c r="S1096" s="14"/>
    </row>
    <row r="1097" spans="1:19" ht="14.25">
      <c r="A1097" s="14"/>
      <c r="B1097" s="9"/>
      <c r="C1097" s="9"/>
      <c r="D1097" s="9"/>
      <c r="E1097" s="9"/>
      <c r="F1097" s="9"/>
      <c r="G1097" s="9"/>
      <c r="H1097" s="9"/>
      <c r="I1097" s="9"/>
      <c r="J1097" s="9"/>
      <c r="K1097" s="357"/>
      <c r="L1097" s="9"/>
      <c r="M1097" s="9"/>
      <c r="N1097" s="9"/>
      <c r="O1097" s="9"/>
      <c r="P1097" s="9"/>
      <c r="Q1097" s="9"/>
      <c r="R1097" s="14"/>
      <c r="S1097" s="14"/>
    </row>
    <row r="1098" spans="1:19" ht="14.25">
      <c r="A1098" s="14"/>
      <c r="B1098" s="9"/>
      <c r="C1098" s="9"/>
      <c r="D1098" s="9"/>
      <c r="E1098" s="9"/>
      <c r="F1098" s="9"/>
      <c r="G1098" s="9"/>
      <c r="H1098" s="9"/>
      <c r="I1098" s="9"/>
      <c r="J1098" s="9"/>
      <c r="K1098" s="357"/>
      <c r="L1098" s="9"/>
      <c r="M1098" s="9"/>
      <c r="N1098" s="9"/>
      <c r="O1098" s="9"/>
      <c r="P1098" s="9"/>
      <c r="Q1098" s="9"/>
      <c r="R1098" s="14"/>
      <c r="S1098" s="14"/>
    </row>
    <row r="1099" spans="1:19" ht="14.25">
      <c r="A1099" s="14"/>
      <c r="B1099" s="9"/>
      <c r="C1099" s="9"/>
      <c r="D1099" s="9"/>
      <c r="E1099" s="9"/>
      <c r="F1099" s="9"/>
      <c r="G1099" s="9"/>
      <c r="H1099" s="9"/>
      <c r="I1099" s="9"/>
      <c r="J1099" s="9"/>
      <c r="K1099" s="357"/>
      <c r="L1099" s="9"/>
      <c r="M1099" s="9"/>
      <c r="N1099" s="9"/>
      <c r="O1099" s="9"/>
      <c r="P1099" s="9"/>
      <c r="Q1099" s="9"/>
      <c r="R1099" s="14"/>
      <c r="S1099" s="14"/>
    </row>
    <row r="1100" spans="1:19" ht="14.25">
      <c r="A1100" s="14"/>
      <c r="B1100" s="9"/>
      <c r="C1100" s="9"/>
      <c r="D1100" s="9"/>
      <c r="E1100" s="9"/>
      <c r="F1100" s="9"/>
      <c r="G1100" s="9"/>
      <c r="H1100" s="9"/>
      <c r="I1100" s="9"/>
      <c r="J1100" s="9"/>
      <c r="K1100" s="357"/>
      <c r="L1100" s="9"/>
      <c r="M1100" s="9"/>
      <c r="N1100" s="9"/>
      <c r="O1100" s="9"/>
      <c r="P1100" s="9"/>
      <c r="Q1100" s="9"/>
      <c r="R1100" s="14"/>
      <c r="S1100" s="14"/>
    </row>
    <row r="1101" spans="1:19" ht="14.25">
      <c r="A1101" s="14"/>
      <c r="B1101" s="9"/>
      <c r="C1101" s="9"/>
      <c r="D1101" s="9"/>
      <c r="E1101" s="9"/>
      <c r="F1101" s="9"/>
      <c r="G1101" s="9"/>
      <c r="H1101" s="9"/>
      <c r="I1101" s="9"/>
      <c r="J1101" s="9"/>
      <c r="K1101" s="357"/>
      <c r="L1101" s="9"/>
      <c r="M1101" s="9"/>
      <c r="N1101" s="9"/>
      <c r="O1101" s="9"/>
      <c r="P1101" s="9"/>
      <c r="Q1101" s="9"/>
      <c r="R1101" s="14"/>
      <c r="S1101" s="14"/>
    </row>
    <row r="1102" spans="1:19" ht="14.25">
      <c r="A1102" s="14"/>
      <c r="B1102" s="9"/>
      <c r="C1102" s="9"/>
      <c r="D1102" s="9"/>
      <c r="E1102" s="9"/>
      <c r="F1102" s="9"/>
      <c r="G1102" s="9"/>
      <c r="H1102" s="9"/>
      <c r="I1102" s="9"/>
      <c r="J1102" s="9"/>
      <c r="K1102" s="357"/>
      <c r="L1102" s="9"/>
      <c r="M1102" s="9"/>
      <c r="N1102" s="9"/>
      <c r="O1102" s="9"/>
      <c r="P1102" s="9"/>
      <c r="Q1102" s="9"/>
      <c r="R1102" s="14"/>
      <c r="S1102" s="14"/>
    </row>
    <row r="1103" spans="1:19" ht="14.25">
      <c r="A1103" s="14"/>
      <c r="B1103" s="9"/>
      <c r="C1103" s="9"/>
      <c r="D1103" s="9"/>
      <c r="E1103" s="9"/>
      <c r="F1103" s="9"/>
      <c r="G1103" s="9"/>
      <c r="H1103" s="9"/>
      <c r="I1103" s="9"/>
      <c r="J1103" s="9"/>
      <c r="K1103" s="357"/>
      <c r="L1103" s="9"/>
      <c r="M1103" s="9"/>
      <c r="N1103" s="9"/>
      <c r="O1103" s="9"/>
      <c r="P1103" s="9"/>
      <c r="Q1103" s="9"/>
      <c r="R1103" s="14"/>
      <c r="S1103" s="14"/>
    </row>
    <row r="1104" spans="1:19" ht="14.25">
      <c r="A1104" s="14"/>
      <c r="B1104" s="9"/>
      <c r="C1104" s="9"/>
      <c r="D1104" s="9"/>
      <c r="E1104" s="9"/>
      <c r="F1104" s="9"/>
      <c r="G1104" s="9"/>
      <c r="H1104" s="9"/>
      <c r="I1104" s="9"/>
      <c r="J1104" s="9"/>
      <c r="K1104" s="357"/>
      <c r="L1104" s="9"/>
      <c r="M1104" s="9"/>
      <c r="N1104" s="9"/>
      <c r="O1104" s="9"/>
      <c r="P1104" s="9"/>
      <c r="Q1104" s="9"/>
      <c r="R1104" s="14"/>
      <c r="S1104" s="14"/>
    </row>
    <row r="1105" spans="1:19" ht="14.25">
      <c r="A1105" s="14"/>
      <c r="B1105" s="9"/>
      <c r="C1105" s="9"/>
      <c r="D1105" s="9"/>
      <c r="E1105" s="9"/>
      <c r="F1105" s="9"/>
      <c r="G1105" s="9"/>
      <c r="H1105" s="9"/>
      <c r="I1105" s="9"/>
      <c r="J1105" s="9"/>
      <c r="K1105" s="357"/>
      <c r="L1105" s="9"/>
      <c r="M1105" s="9"/>
      <c r="N1105" s="9"/>
      <c r="O1105" s="9"/>
      <c r="P1105" s="9"/>
      <c r="Q1105" s="9"/>
      <c r="R1105" s="14"/>
      <c r="S1105" s="14"/>
    </row>
    <row r="1106" spans="1:19" ht="14.25">
      <c r="A1106" s="14"/>
      <c r="B1106" s="9"/>
      <c r="C1106" s="9"/>
      <c r="D1106" s="9"/>
      <c r="E1106" s="9"/>
      <c r="F1106" s="9"/>
      <c r="G1106" s="9"/>
      <c r="H1106" s="9"/>
      <c r="I1106" s="9"/>
      <c r="J1106" s="9"/>
      <c r="K1106" s="357"/>
      <c r="L1106" s="9"/>
      <c r="M1106" s="9"/>
      <c r="N1106" s="9"/>
      <c r="O1106" s="9"/>
      <c r="P1106" s="9"/>
      <c r="Q1106" s="9"/>
      <c r="R1106" s="14"/>
      <c r="S1106" s="14"/>
    </row>
    <row r="1107" spans="1:19" ht="14.25">
      <c r="A1107" s="14"/>
      <c r="B1107" s="9"/>
      <c r="C1107" s="9"/>
      <c r="D1107" s="9"/>
      <c r="E1107" s="9"/>
      <c r="F1107" s="9"/>
      <c r="G1107" s="9"/>
      <c r="H1107" s="9"/>
      <c r="I1107" s="9"/>
      <c r="J1107" s="9"/>
      <c r="K1107" s="357"/>
      <c r="L1107" s="9"/>
      <c r="M1107" s="9"/>
      <c r="N1107" s="9"/>
      <c r="O1107" s="9"/>
      <c r="P1107" s="9"/>
      <c r="Q1107" s="9"/>
      <c r="R1107" s="14"/>
      <c r="S1107" s="14"/>
    </row>
    <row r="1108" spans="1:19" ht="14.25">
      <c r="A1108" s="14"/>
      <c r="B1108" s="9"/>
      <c r="C1108" s="9"/>
      <c r="D1108" s="9"/>
      <c r="E1108" s="9"/>
      <c r="F1108" s="9"/>
      <c r="G1108" s="9"/>
      <c r="H1108" s="9"/>
      <c r="I1108" s="9"/>
      <c r="J1108" s="9"/>
      <c r="K1108" s="357"/>
      <c r="L1108" s="9"/>
      <c r="M1108" s="9"/>
      <c r="N1108" s="9"/>
      <c r="O1108" s="9"/>
      <c r="P1108" s="9"/>
      <c r="Q1108" s="9"/>
      <c r="R1108" s="14"/>
      <c r="S1108" s="14"/>
    </row>
    <row r="1109" spans="1:19" ht="14.25">
      <c r="A1109" s="14"/>
      <c r="B1109" s="9"/>
      <c r="C1109" s="9"/>
      <c r="D1109" s="9"/>
      <c r="E1109" s="9"/>
      <c r="F1109" s="9"/>
      <c r="G1109" s="9"/>
      <c r="H1109" s="9"/>
      <c r="I1109" s="9"/>
      <c r="J1109" s="9"/>
      <c r="K1109" s="357"/>
      <c r="L1109" s="9"/>
      <c r="M1109" s="9"/>
      <c r="N1109" s="9"/>
      <c r="O1109" s="9"/>
      <c r="P1109" s="9"/>
      <c r="Q1109" s="9"/>
      <c r="R1109" s="14"/>
      <c r="S1109" s="14"/>
    </row>
    <row r="1110" spans="1:19" ht="14.25">
      <c r="A1110" s="14"/>
      <c r="B1110" s="9"/>
      <c r="C1110" s="9"/>
      <c r="D1110" s="9"/>
      <c r="E1110" s="9"/>
      <c r="F1110" s="9"/>
      <c r="G1110" s="9"/>
      <c r="H1110" s="9"/>
      <c r="I1110" s="9"/>
      <c r="J1110" s="9"/>
      <c r="K1110" s="357"/>
      <c r="L1110" s="9"/>
      <c r="M1110" s="9"/>
      <c r="N1110" s="9"/>
      <c r="O1110" s="9"/>
      <c r="P1110" s="9"/>
      <c r="Q1110" s="9"/>
      <c r="R1110" s="14"/>
      <c r="S1110" s="14"/>
    </row>
    <row r="1111" spans="1:19" ht="14.25">
      <c r="A1111" s="14"/>
      <c r="B1111" s="9"/>
      <c r="C1111" s="9"/>
      <c r="D1111" s="9"/>
      <c r="E1111" s="9"/>
      <c r="F1111" s="9"/>
      <c r="G1111" s="9"/>
      <c r="H1111" s="9"/>
      <c r="I1111" s="9"/>
      <c r="J1111" s="9"/>
      <c r="K1111" s="357"/>
      <c r="L1111" s="9"/>
      <c r="M1111" s="9"/>
      <c r="N1111" s="9"/>
      <c r="O1111" s="9"/>
      <c r="P1111" s="9"/>
      <c r="Q1111" s="9"/>
      <c r="R1111" s="14"/>
      <c r="S1111" s="14"/>
    </row>
    <row r="1112" spans="1:19" ht="14.25">
      <c r="A1112" s="14"/>
      <c r="B1112" s="9"/>
      <c r="C1112" s="9"/>
      <c r="D1112" s="9"/>
      <c r="E1112" s="9"/>
      <c r="F1112" s="9"/>
      <c r="G1112" s="9"/>
      <c r="H1112" s="9"/>
      <c r="I1112" s="9"/>
      <c r="J1112" s="9"/>
      <c r="K1112" s="357"/>
      <c r="L1112" s="9"/>
      <c r="M1112" s="9"/>
      <c r="N1112" s="9"/>
      <c r="O1112" s="9"/>
      <c r="P1112" s="9"/>
      <c r="Q1112" s="9"/>
      <c r="R1112" s="14"/>
      <c r="S1112" s="14"/>
    </row>
    <row r="1113" spans="1:19" ht="14.25">
      <c r="A1113" s="14"/>
      <c r="B1113" s="9"/>
      <c r="C1113" s="9"/>
      <c r="D1113" s="9"/>
      <c r="E1113" s="9"/>
      <c r="F1113" s="9"/>
      <c r="G1113" s="9"/>
      <c r="H1113" s="9"/>
      <c r="I1113" s="9"/>
      <c r="J1113" s="9"/>
      <c r="K1113" s="357"/>
      <c r="L1113" s="9"/>
      <c r="M1113" s="9"/>
      <c r="N1113" s="9"/>
      <c r="O1113" s="9"/>
      <c r="P1113" s="9"/>
      <c r="Q1113" s="9"/>
      <c r="R1113" s="14"/>
      <c r="S1113" s="14"/>
    </row>
    <row r="1114" spans="1:19" ht="14.25">
      <c r="A1114" s="14"/>
      <c r="B1114" s="9"/>
      <c r="C1114" s="9"/>
      <c r="D1114" s="9"/>
      <c r="E1114" s="9"/>
      <c r="F1114" s="9"/>
      <c r="G1114" s="9"/>
      <c r="H1114" s="9"/>
      <c r="I1114" s="9"/>
      <c r="J1114" s="9"/>
      <c r="K1114" s="357"/>
      <c r="L1114" s="9"/>
      <c r="M1114" s="9"/>
      <c r="N1114" s="9"/>
      <c r="O1114" s="9"/>
      <c r="P1114" s="9"/>
      <c r="Q1114" s="9"/>
      <c r="R1114" s="14"/>
      <c r="S1114" s="14"/>
    </row>
    <row r="1115" spans="1:19" ht="14.25">
      <c r="A1115" s="14"/>
      <c r="B1115" s="9"/>
      <c r="C1115" s="9"/>
      <c r="D1115" s="9"/>
      <c r="E1115" s="9"/>
      <c r="F1115" s="9"/>
      <c r="G1115" s="9"/>
      <c r="H1115" s="9"/>
      <c r="I1115" s="9"/>
      <c r="J1115" s="9"/>
      <c r="K1115" s="357"/>
      <c r="L1115" s="9"/>
      <c r="M1115" s="9"/>
      <c r="N1115" s="9"/>
      <c r="O1115" s="9"/>
      <c r="P1115" s="9"/>
      <c r="Q1115" s="9"/>
      <c r="R1115" s="14"/>
      <c r="S1115" s="14"/>
    </row>
    <row r="1116" spans="1:19" ht="14.25">
      <c r="A1116" s="14"/>
      <c r="B1116" s="9"/>
      <c r="C1116" s="9"/>
      <c r="D1116" s="9"/>
      <c r="E1116" s="9"/>
      <c r="F1116" s="9"/>
      <c r="G1116" s="9"/>
      <c r="H1116" s="9"/>
      <c r="I1116" s="9"/>
      <c r="J1116" s="9"/>
      <c r="K1116" s="357"/>
      <c r="L1116" s="9"/>
      <c r="M1116" s="9"/>
      <c r="N1116" s="9"/>
      <c r="O1116" s="9"/>
      <c r="P1116" s="9"/>
      <c r="Q1116" s="9"/>
      <c r="R1116" s="14"/>
      <c r="S1116" s="14"/>
    </row>
    <row r="1117" spans="1:19" ht="14.25">
      <c r="A1117" s="14"/>
      <c r="B1117" s="9"/>
      <c r="C1117" s="9"/>
      <c r="D1117" s="9"/>
      <c r="E1117" s="9"/>
      <c r="F1117" s="9"/>
      <c r="G1117" s="9"/>
      <c r="H1117" s="9"/>
      <c r="I1117" s="9"/>
      <c r="J1117" s="9"/>
      <c r="K1117" s="357"/>
      <c r="L1117" s="9"/>
      <c r="M1117" s="9"/>
      <c r="N1117" s="9"/>
      <c r="O1117" s="9"/>
      <c r="P1117" s="9"/>
      <c r="Q1117" s="9"/>
      <c r="R1117" s="14"/>
      <c r="S1117" s="14"/>
    </row>
    <row r="1118" spans="1:19" ht="14.25">
      <c r="A1118" s="14"/>
      <c r="B1118" s="9"/>
      <c r="C1118" s="9"/>
      <c r="D1118" s="9"/>
      <c r="E1118" s="9"/>
      <c r="F1118" s="9"/>
      <c r="G1118" s="9"/>
      <c r="H1118" s="9"/>
      <c r="I1118" s="9"/>
      <c r="J1118" s="9"/>
      <c r="K1118" s="357"/>
      <c r="L1118" s="9"/>
      <c r="M1118" s="9"/>
      <c r="N1118" s="9"/>
      <c r="O1118" s="9"/>
      <c r="P1118" s="9"/>
      <c r="Q1118" s="9"/>
      <c r="R1118" s="14"/>
      <c r="S1118" s="14"/>
    </row>
    <row r="1119" spans="1:19" ht="14.25">
      <c r="A1119" s="14"/>
      <c r="B1119" s="9"/>
      <c r="C1119" s="9"/>
      <c r="D1119" s="9"/>
      <c r="E1119" s="9"/>
      <c r="F1119" s="9"/>
      <c r="G1119" s="9"/>
      <c r="H1119" s="9"/>
      <c r="I1119" s="9"/>
      <c r="J1119" s="9"/>
      <c r="K1119" s="357"/>
      <c r="L1119" s="9"/>
      <c r="M1119" s="9"/>
      <c r="N1119" s="9"/>
      <c r="O1119" s="9"/>
      <c r="P1119" s="9"/>
      <c r="Q1119" s="9"/>
      <c r="R1119" s="14"/>
      <c r="S1119" s="14"/>
    </row>
    <row r="1120" spans="1:19" ht="14.25">
      <c r="A1120" s="14"/>
      <c r="B1120" s="9"/>
      <c r="C1120" s="9"/>
      <c r="D1120" s="9"/>
      <c r="E1120" s="9"/>
      <c r="F1120" s="9"/>
      <c r="G1120" s="9"/>
      <c r="H1120" s="9"/>
      <c r="I1120" s="9"/>
      <c r="J1120" s="9"/>
      <c r="K1120" s="357"/>
      <c r="L1120" s="9"/>
      <c r="M1120" s="9"/>
      <c r="N1120" s="9"/>
      <c r="O1120" s="9"/>
      <c r="P1120" s="9"/>
      <c r="Q1120" s="9"/>
      <c r="R1120" s="14"/>
      <c r="S1120" s="14"/>
    </row>
    <row r="1121" spans="1:19" ht="14.25">
      <c r="A1121" s="14"/>
      <c r="B1121" s="9"/>
      <c r="C1121" s="9"/>
      <c r="D1121" s="9"/>
      <c r="E1121" s="9"/>
      <c r="F1121" s="9"/>
      <c r="G1121" s="9"/>
      <c r="H1121" s="9"/>
      <c r="I1121" s="9"/>
      <c r="J1121" s="9"/>
      <c r="K1121" s="357"/>
      <c r="L1121" s="9"/>
      <c r="M1121" s="9"/>
      <c r="N1121" s="9"/>
      <c r="O1121" s="9"/>
      <c r="P1121" s="9"/>
      <c r="Q1121" s="9"/>
      <c r="R1121" s="14"/>
      <c r="S1121" s="14"/>
    </row>
    <row r="1122" spans="1:19" ht="14.25">
      <c r="A1122" s="14"/>
      <c r="B1122" s="9"/>
      <c r="C1122" s="9"/>
      <c r="D1122" s="9"/>
      <c r="E1122" s="9"/>
      <c r="F1122" s="9"/>
      <c r="G1122" s="9"/>
      <c r="H1122" s="9"/>
      <c r="I1122" s="9"/>
      <c r="J1122" s="9"/>
      <c r="K1122" s="357"/>
      <c r="L1122" s="9"/>
      <c r="M1122" s="9"/>
      <c r="N1122" s="9"/>
      <c r="O1122" s="9"/>
      <c r="P1122" s="9"/>
      <c r="Q1122" s="9"/>
      <c r="R1122" s="14"/>
      <c r="S1122" s="14"/>
    </row>
    <row r="1123" spans="1:19" ht="14.25">
      <c r="A1123" s="14"/>
      <c r="B1123" s="9"/>
      <c r="C1123" s="9"/>
      <c r="D1123" s="9"/>
      <c r="E1123" s="9"/>
      <c r="F1123" s="9"/>
      <c r="G1123" s="9"/>
      <c r="H1123" s="9"/>
      <c r="I1123" s="9"/>
      <c r="J1123" s="9"/>
      <c r="K1123" s="357"/>
      <c r="L1123" s="9"/>
      <c r="M1123" s="9"/>
      <c r="N1123" s="9"/>
      <c r="O1123" s="9"/>
      <c r="P1123" s="9"/>
      <c r="Q1123" s="9"/>
      <c r="R1123" s="14"/>
      <c r="S1123" s="14"/>
    </row>
    <row r="1124" spans="1:19" ht="14.25">
      <c r="A1124" s="14"/>
      <c r="B1124" s="9"/>
      <c r="C1124" s="9"/>
      <c r="D1124" s="9"/>
      <c r="E1124" s="9"/>
      <c r="F1124" s="9"/>
      <c r="G1124" s="9"/>
      <c r="H1124" s="9"/>
      <c r="I1124" s="9"/>
      <c r="J1124" s="9"/>
      <c r="K1124" s="357"/>
      <c r="L1124" s="9"/>
      <c r="M1124" s="9"/>
      <c r="N1124" s="9"/>
      <c r="O1124" s="9"/>
      <c r="P1124" s="9"/>
      <c r="Q1124" s="9"/>
      <c r="R1124" s="14"/>
      <c r="S1124" s="14"/>
    </row>
    <row r="1125" spans="1:19" ht="14.25">
      <c r="A1125" s="14"/>
      <c r="B1125" s="9"/>
      <c r="C1125" s="9"/>
      <c r="D1125" s="9"/>
      <c r="E1125" s="9"/>
      <c r="F1125" s="9"/>
      <c r="G1125" s="9"/>
      <c r="H1125" s="9"/>
      <c r="I1125" s="9"/>
      <c r="J1125" s="9"/>
      <c r="K1125" s="357"/>
      <c r="L1125" s="9"/>
      <c r="M1125" s="9"/>
      <c r="N1125" s="9"/>
      <c r="O1125" s="9"/>
      <c r="P1125" s="9"/>
      <c r="Q1125" s="9"/>
      <c r="R1125" s="14"/>
      <c r="S1125" s="14"/>
    </row>
    <row r="1126" spans="1:19" ht="14.25">
      <c r="A1126" s="14"/>
      <c r="B1126" s="9"/>
      <c r="C1126" s="9"/>
      <c r="D1126" s="9"/>
      <c r="E1126" s="9"/>
      <c r="F1126" s="9"/>
      <c r="G1126" s="9"/>
      <c r="H1126" s="9"/>
      <c r="I1126" s="9"/>
      <c r="J1126" s="9"/>
      <c r="K1126" s="357"/>
      <c r="L1126" s="9"/>
      <c r="M1126" s="9"/>
      <c r="N1126" s="9"/>
      <c r="O1126" s="9"/>
      <c r="P1126" s="9"/>
      <c r="Q1126" s="9"/>
      <c r="R1126" s="14"/>
      <c r="S1126" s="14"/>
    </row>
    <row r="1127" spans="1:19" ht="14.25">
      <c r="A1127" s="14"/>
      <c r="B1127" s="9"/>
      <c r="C1127" s="9"/>
      <c r="D1127" s="9"/>
      <c r="E1127" s="9"/>
      <c r="F1127" s="9"/>
      <c r="G1127" s="9"/>
      <c r="H1127" s="9"/>
      <c r="I1127" s="9"/>
      <c r="J1127" s="9"/>
      <c r="K1127" s="357"/>
      <c r="L1127" s="9"/>
      <c r="M1127" s="9"/>
      <c r="N1127" s="9"/>
      <c r="O1127" s="9"/>
      <c r="P1127" s="9"/>
      <c r="Q1127" s="9"/>
      <c r="R1127" s="14"/>
      <c r="S1127" s="14"/>
    </row>
    <row r="1128" spans="1:19" ht="14.25">
      <c r="A1128" s="14"/>
      <c r="B1128" s="9"/>
      <c r="C1128" s="9"/>
      <c r="D1128" s="9"/>
      <c r="E1128" s="9"/>
      <c r="F1128" s="9"/>
      <c r="G1128" s="9"/>
      <c r="H1128" s="9"/>
      <c r="I1128" s="9"/>
      <c r="J1128" s="9"/>
      <c r="K1128" s="357"/>
      <c r="L1128" s="9"/>
      <c r="M1128" s="9"/>
      <c r="N1128" s="9"/>
      <c r="O1128" s="9"/>
      <c r="P1128" s="9"/>
      <c r="Q1128" s="9"/>
      <c r="R1128" s="14"/>
      <c r="S1128" s="14"/>
    </row>
    <row r="1129" spans="1:19" ht="14.25">
      <c r="A1129" s="14"/>
      <c r="B1129" s="9"/>
      <c r="C1129" s="9"/>
      <c r="D1129" s="9"/>
      <c r="E1129" s="9"/>
      <c r="F1129" s="9"/>
      <c r="G1129" s="9"/>
      <c r="H1129" s="9"/>
      <c r="I1129" s="9"/>
      <c r="J1129" s="9"/>
      <c r="K1129" s="357"/>
      <c r="L1129" s="9"/>
      <c r="M1129" s="9"/>
      <c r="N1129" s="9"/>
      <c r="O1129" s="9"/>
      <c r="P1129" s="9"/>
      <c r="Q1129" s="9"/>
      <c r="R1129" s="14"/>
      <c r="S1129" s="14"/>
    </row>
    <row r="1130" spans="1:19" ht="14.25">
      <c r="A1130" s="14"/>
      <c r="B1130" s="9"/>
      <c r="C1130" s="9"/>
      <c r="D1130" s="9"/>
      <c r="E1130" s="9"/>
      <c r="F1130" s="9"/>
      <c r="G1130" s="9"/>
      <c r="H1130" s="9"/>
      <c r="I1130" s="9"/>
      <c r="J1130" s="9"/>
      <c r="K1130" s="357"/>
      <c r="L1130" s="9"/>
      <c r="M1130" s="9"/>
      <c r="N1130" s="9"/>
      <c r="O1130" s="9"/>
      <c r="P1130" s="9"/>
      <c r="Q1130" s="9"/>
      <c r="R1130" s="14"/>
      <c r="S1130" s="14"/>
    </row>
    <row r="1131" spans="1:19" ht="14.25">
      <c r="A1131" s="14"/>
      <c r="B1131" s="9"/>
      <c r="C1131" s="9"/>
      <c r="D1131" s="9"/>
      <c r="E1131" s="9"/>
      <c r="F1131" s="9"/>
      <c r="G1131" s="9"/>
      <c r="H1131" s="9"/>
      <c r="I1131" s="9"/>
      <c r="J1131" s="9"/>
      <c r="K1131" s="357"/>
      <c r="L1131" s="9"/>
      <c r="M1131" s="9"/>
      <c r="N1131" s="9"/>
      <c r="O1131" s="9"/>
      <c r="P1131" s="9"/>
      <c r="Q1131" s="9"/>
      <c r="R1131" s="14"/>
      <c r="S1131" s="14"/>
    </row>
    <row r="1132" spans="1:19" ht="14.25">
      <c r="A1132" s="14"/>
      <c r="B1132" s="9"/>
      <c r="C1132" s="9"/>
      <c r="D1132" s="9"/>
      <c r="E1132" s="9"/>
      <c r="F1132" s="9"/>
      <c r="G1132" s="9"/>
      <c r="H1132" s="9"/>
      <c r="I1132" s="9"/>
      <c r="J1132" s="9"/>
      <c r="K1132" s="357"/>
      <c r="L1132" s="9"/>
      <c r="M1132" s="9"/>
      <c r="N1132" s="9"/>
      <c r="O1132" s="9"/>
      <c r="P1132" s="9"/>
      <c r="Q1132" s="9"/>
      <c r="R1132" s="14"/>
      <c r="S1132" s="14"/>
    </row>
    <row r="1133" spans="1:19" ht="14.25">
      <c r="A1133" s="14"/>
      <c r="B1133" s="9"/>
      <c r="C1133" s="9"/>
      <c r="D1133" s="9"/>
      <c r="E1133" s="9"/>
      <c r="F1133" s="9"/>
      <c r="G1133" s="9"/>
      <c r="H1133" s="9"/>
      <c r="I1133" s="9"/>
      <c r="J1133" s="9"/>
      <c r="K1133" s="357"/>
      <c r="L1133" s="9"/>
      <c r="M1133" s="9"/>
      <c r="N1133" s="9"/>
      <c r="O1133" s="9"/>
      <c r="P1133" s="9"/>
      <c r="Q1133" s="9"/>
      <c r="R1133" s="14"/>
      <c r="S1133" s="14"/>
    </row>
    <row r="1134" spans="1:19" ht="14.25">
      <c r="A1134" s="14"/>
      <c r="B1134" s="9"/>
      <c r="C1134" s="9"/>
      <c r="D1134" s="9"/>
      <c r="E1134" s="9"/>
      <c r="F1134" s="9"/>
      <c r="G1134" s="9"/>
      <c r="H1134" s="9"/>
      <c r="I1134" s="9"/>
      <c r="J1134" s="9"/>
      <c r="K1134" s="357"/>
      <c r="L1134" s="9"/>
      <c r="M1134" s="9"/>
      <c r="N1134" s="9"/>
      <c r="O1134" s="9"/>
      <c r="P1134" s="9"/>
      <c r="Q1134" s="9"/>
      <c r="R1134" s="14"/>
      <c r="S1134" s="14"/>
    </row>
    <row r="1135" spans="1:19" ht="14.25">
      <c r="A1135" s="14"/>
      <c r="B1135" s="9"/>
      <c r="C1135" s="9"/>
      <c r="D1135" s="9"/>
      <c r="E1135" s="9"/>
      <c r="F1135" s="9"/>
      <c r="G1135" s="9"/>
      <c r="H1135" s="9"/>
      <c r="I1135" s="9"/>
      <c r="J1135" s="9"/>
      <c r="K1135" s="357"/>
      <c r="L1135" s="9"/>
      <c r="M1135" s="9"/>
      <c r="N1135" s="9"/>
      <c r="O1135" s="9"/>
      <c r="P1135" s="9"/>
      <c r="Q1135" s="9"/>
      <c r="R1135" s="14"/>
      <c r="S1135" s="14"/>
    </row>
    <row r="1136" spans="1:19" ht="14.25">
      <c r="A1136" s="14"/>
      <c r="B1136" s="9"/>
      <c r="C1136" s="9"/>
      <c r="D1136" s="9"/>
      <c r="E1136" s="9"/>
      <c r="F1136" s="9"/>
      <c r="G1136" s="9"/>
      <c r="H1136" s="9"/>
      <c r="I1136" s="9"/>
      <c r="J1136" s="9"/>
      <c r="K1136" s="357"/>
      <c r="L1136" s="9"/>
      <c r="M1136" s="9"/>
      <c r="N1136" s="9"/>
      <c r="O1136" s="9"/>
      <c r="P1136" s="9"/>
      <c r="Q1136" s="9"/>
      <c r="R1136" s="14"/>
      <c r="S1136" s="14"/>
    </row>
    <row r="1137" spans="1:19" ht="14.25">
      <c r="A1137" s="14"/>
      <c r="B1137" s="9"/>
      <c r="C1137" s="9"/>
      <c r="D1137" s="9"/>
      <c r="E1137" s="9"/>
      <c r="F1137" s="9"/>
      <c r="G1137" s="9"/>
      <c r="H1137" s="9"/>
      <c r="I1137" s="9"/>
      <c r="J1137" s="9"/>
      <c r="K1137" s="357"/>
      <c r="L1137" s="9"/>
      <c r="M1137" s="9"/>
      <c r="N1137" s="9"/>
      <c r="O1137" s="9"/>
      <c r="P1137" s="9"/>
      <c r="Q1137" s="9"/>
      <c r="R1137" s="14"/>
      <c r="S1137" s="14"/>
    </row>
    <row r="1138" spans="1:19" ht="14.25">
      <c r="A1138" s="14"/>
      <c r="B1138" s="9"/>
      <c r="C1138" s="9"/>
      <c r="D1138" s="9"/>
      <c r="E1138" s="9"/>
      <c r="F1138" s="9"/>
      <c r="G1138" s="9"/>
      <c r="H1138" s="9"/>
      <c r="I1138" s="9"/>
      <c r="J1138" s="9"/>
      <c r="K1138" s="357"/>
      <c r="L1138" s="9"/>
      <c r="M1138" s="9"/>
      <c r="N1138" s="9"/>
      <c r="O1138" s="9"/>
      <c r="P1138" s="9"/>
      <c r="Q1138" s="9"/>
      <c r="R1138" s="14"/>
      <c r="S1138" s="14"/>
    </row>
    <row r="1139" spans="1:19" ht="14.25">
      <c r="A1139" s="14"/>
      <c r="B1139" s="9"/>
      <c r="C1139" s="9"/>
      <c r="D1139" s="9"/>
      <c r="E1139" s="9"/>
      <c r="F1139" s="9"/>
      <c r="G1139" s="9"/>
      <c r="H1139" s="9"/>
      <c r="I1139" s="9"/>
      <c r="J1139" s="9"/>
      <c r="K1139" s="357"/>
      <c r="L1139" s="9"/>
      <c r="M1139" s="9"/>
      <c r="N1139" s="9"/>
      <c r="O1139" s="9"/>
      <c r="P1139" s="9"/>
      <c r="Q1139" s="9"/>
      <c r="R1139" s="14"/>
      <c r="S1139" s="14"/>
    </row>
    <row r="1140" spans="1:19" ht="14.25">
      <c r="A1140" s="14"/>
      <c r="B1140" s="9"/>
      <c r="C1140" s="9"/>
      <c r="D1140" s="9"/>
      <c r="E1140" s="9"/>
      <c r="F1140" s="9"/>
      <c r="G1140" s="9"/>
      <c r="H1140" s="9"/>
      <c r="I1140" s="9"/>
      <c r="J1140" s="9"/>
      <c r="K1140" s="357"/>
      <c r="L1140" s="9"/>
      <c r="M1140" s="9"/>
      <c r="N1140" s="9"/>
      <c r="O1140" s="9"/>
      <c r="P1140" s="9"/>
      <c r="Q1140" s="9"/>
      <c r="R1140" s="14"/>
      <c r="S1140" s="14"/>
    </row>
    <row r="1141" spans="1:19" ht="14.25">
      <c r="A1141" s="14"/>
      <c r="B1141" s="9"/>
      <c r="C1141" s="9"/>
      <c r="D1141" s="9"/>
      <c r="E1141" s="9"/>
      <c r="F1141" s="9"/>
      <c r="G1141" s="9"/>
      <c r="H1141" s="9"/>
      <c r="I1141" s="9"/>
      <c r="J1141" s="9"/>
      <c r="K1141" s="357"/>
      <c r="L1141" s="9"/>
      <c r="M1141" s="9"/>
      <c r="N1141" s="9"/>
      <c r="O1141" s="9"/>
      <c r="P1141" s="9"/>
      <c r="Q1141" s="9"/>
      <c r="R1141" s="14"/>
      <c r="S1141" s="14"/>
    </row>
    <row r="1142" spans="1:19" ht="14.25">
      <c r="A1142" s="14"/>
      <c r="B1142" s="9"/>
      <c r="C1142" s="9"/>
      <c r="D1142" s="9"/>
      <c r="E1142" s="9"/>
      <c r="F1142" s="9"/>
      <c r="G1142" s="9"/>
      <c r="H1142" s="9"/>
      <c r="I1142" s="9"/>
      <c r="J1142" s="9"/>
      <c r="K1142" s="357"/>
      <c r="L1142" s="9"/>
      <c r="M1142" s="9"/>
      <c r="N1142" s="9"/>
      <c r="O1142" s="9"/>
      <c r="P1142" s="9"/>
      <c r="Q1142" s="9"/>
      <c r="R1142" s="14"/>
      <c r="S1142" s="14"/>
    </row>
    <row r="1143" spans="1:19" ht="14.25">
      <c r="A1143" s="14"/>
      <c r="B1143" s="9"/>
      <c r="C1143" s="9"/>
      <c r="D1143" s="9"/>
      <c r="E1143" s="9"/>
      <c r="F1143" s="9"/>
      <c r="G1143" s="9"/>
      <c r="H1143" s="9"/>
      <c r="I1143" s="9"/>
      <c r="J1143" s="9"/>
      <c r="K1143" s="357"/>
      <c r="L1143" s="9"/>
      <c r="M1143" s="9"/>
      <c r="N1143" s="9"/>
      <c r="O1143" s="9"/>
      <c r="P1143" s="9"/>
      <c r="Q1143" s="9"/>
      <c r="R1143" s="14"/>
      <c r="S1143" s="14"/>
    </row>
    <row r="1144" spans="1:19" ht="14.25">
      <c r="A1144" s="14"/>
      <c r="B1144" s="9"/>
      <c r="C1144" s="9"/>
      <c r="D1144" s="9"/>
      <c r="E1144" s="9"/>
      <c r="F1144" s="9"/>
      <c r="G1144" s="9"/>
      <c r="H1144" s="9"/>
      <c r="I1144" s="9"/>
      <c r="J1144" s="9"/>
      <c r="K1144" s="357"/>
      <c r="L1144" s="9"/>
      <c r="M1144" s="9"/>
      <c r="N1144" s="9"/>
      <c r="O1144" s="9"/>
      <c r="P1144" s="9"/>
      <c r="Q1144" s="9"/>
      <c r="R1144" s="14"/>
      <c r="S1144" s="14"/>
    </row>
    <row r="1145" spans="1:19" ht="14.25">
      <c r="A1145" s="14"/>
      <c r="B1145" s="9"/>
      <c r="C1145" s="9"/>
      <c r="D1145" s="9"/>
      <c r="E1145" s="9"/>
      <c r="F1145" s="9"/>
      <c r="G1145" s="9"/>
      <c r="H1145" s="9"/>
      <c r="I1145" s="9"/>
      <c r="J1145" s="9"/>
      <c r="K1145" s="357"/>
      <c r="L1145" s="9"/>
      <c r="M1145" s="9"/>
      <c r="N1145" s="9"/>
      <c r="O1145" s="9"/>
      <c r="P1145" s="9"/>
      <c r="Q1145" s="9"/>
      <c r="R1145" s="14"/>
      <c r="S1145" s="14"/>
    </row>
    <row r="1146" spans="1:19" ht="14.25">
      <c r="A1146" s="14"/>
      <c r="B1146" s="9"/>
      <c r="C1146" s="9"/>
      <c r="D1146" s="9"/>
      <c r="E1146" s="9"/>
      <c r="F1146" s="9"/>
      <c r="G1146" s="9"/>
      <c r="H1146" s="9"/>
      <c r="I1146" s="9"/>
      <c r="J1146" s="9"/>
      <c r="K1146" s="357"/>
      <c r="L1146" s="9"/>
      <c r="M1146" s="9"/>
      <c r="N1146" s="9"/>
      <c r="O1146" s="9"/>
      <c r="P1146" s="9"/>
      <c r="Q1146" s="9"/>
      <c r="R1146" s="14"/>
      <c r="S1146" s="14"/>
    </row>
    <row r="1147" spans="1:19" ht="14.25">
      <c r="A1147" s="14"/>
      <c r="B1147" s="9"/>
      <c r="C1147" s="9"/>
      <c r="D1147" s="9"/>
      <c r="E1147" s="9"/>
      <c r="F1147" s="9"/>
      <c r="G1147" s="9"/>
      <c r="H1147" s="9"/>
      <c r="I1147" s="9"/>
      <c r="J1147" s="9"/>
      <c r="K1147" s="357"/>
      <c r="L1147" s="9"/>
      <c r="M1147" s="9"/>
      <c r="N1147" s="9"/>
      <c r="O1147" s="9"/>
      <c r="P1147" s="9"/>
      <c r="Q1147" s="9"/>
      <c r="R1147" s="14"/>
      <c r="S1147" s="14"/>
    </row>
    <row r="1148" spans="1:19" ht="14.25">
      <c r="A1148" s="14"/>
      <c r="B1148" s="9"/>
      <c r="C1148" s="9"/>
      <c r="D1148" s="9"/>
      <c r="E1148" s="9"/>
      <c r="F1148" s="9"/>
      <c r="G1148" s="9"/>
      <c r="H1148" s="9"/>
      <c r="I1148" s="9"/>
      <c r="J1148" s="9"/>
      <c r="K1148" s="357"/>
      <c r="L1148" s="9"/>
      <c r="M1148" s="9"/>
      <c r="N1148" s="9"/>
      <c r="O1148" s="9"/>
      <c r="P1148" s="9"/>
      <c r="Q1148" s="9"/>
      <c r="R1148" s="14"/>
      <c r="S1148" s="14"/>
    </row>
    <row r="1149" spans="1:19" ht="14.25">
      <c r="A1149" s="14"/>
      <c r="B1149" s="9"/>
      <c r="C1149" s="9"/>
      <c r="D1149" s="9"/>
      <c r="E1149" s="9"/>
      <c r="F1149" s="9"/>
      <c r="G1149" s="9"/>
      <c r="H1149" s="9"/>
      <c r="I1149" s="9"/>
      <c r="J1149" s="9"/>
      <c r="K1149" s="357"/>
      <c r="L1149" s="9"/>
      <c r="M1149" s="9"/>
      <c r="N1149" s="9"/>
      <c r="O1149" s="9"/>
      <c r="P1149" s="9"/>
      <c r="Q1149" s="9"/>
      <c r="R1149" s="14"/>
      <c r="S1149" s="14"/>
    </row>
    <row r="1150" spans="1:19" ht="14.25">
      <c r="A1150" s="14"/>
      <c r="B1150" s="9"/>
      <c r="C1150" s="9"/>
      <c r="D1150" s="9"/>
      <c r="E1150" s="9"/>
      <c r="F1150" s="9"/>
      <c r="G1150" s="9"/>
      <c r="H1150" s="9"/>
      <c r="I1150" s="9"/>
      <c r="J1150" s="9"/>
      <c r="K1150" s="357"/>
      <c r="L1150" s="9"/>
      <c r="M1150" s="9"/>
      <c r="N1150" s="9"/>
      <c r="O1150" s="9"/>
      <c r="P1150" s="9"/>
      <c r="Q1150" s="9"/>
      <c r="R1150" s="14"/>
      <c r="S1150" s="14"/>
    </row>
    <row r="1151" spans="1:19" ht="14.25">
      <c r="A1151" s="14"/>
      <c r="B1151" s="9"/>
      <c r="C1151" s="9"/>
      <c r="D1151" s="9"/>
      <c r="E1151" s="9"/>
      <c r="F1151" s="9"/>
      <c r="G1151" s="9"/>
      <c r="H1151" s="9"/>
      <c r="I1151" s="9"/>
      <c r="J1151" s="9"/>
      <c r="K1151" s="357"/>
      <c r="L1151" s="9"/>
      <c r="M1151" s="9"/>
      <c r="N1151" s="9"/>
      <c r="O1151" s="9"/>
      <c r="P1151" s="9"/>
      <c r="Q1151" s="9"/>
      <c r="R1151" s="14"/>
      <c r="S1151" s="14"/>
    </row>
    <row r="1152" spans="1:19" ht="14.25">
      <c r="A1152" s="14"/>
      <c r="B1152" s="9"/>
      <c r="C1152" s="9"/>
      <c r="D1152" s="9"/>
      <c r="E1152" s="9"/>
      <c r="F1152" s="9"/>
      <c r="G1152" s="9"/>
      <c r="H1152" s="9"/>
      <c r="I1152" s="9"/>
      <c r="J1152" s="9"/>
      <c r="K1152" s="357"/>
      <c r="L1152" s="9"/>
      <c r="M1152" s="9"/>
      <c r="N1152" s="9"/>
      <c r="O1152" s="9"/>
      <c r="P1152" s="9"/>
      <c r="Q1152" s="9"/>
      <c r="R1152" s="14"/>
      <c r="S1152" s="14"/>
    </row>
    <row r="1153" spans="1:19" ht="14.25">
      <c r="A1153" s="14"/>
      <c r="B1153" s="9"/>
      <c r="C1153" s="9"/>
      <c r="D1153" s="9"/>
      <c r="E1153" s="9"/>
      <c r="F1153" s="9"/>
      <c r="G1153" s="9"/>
      <c r="H1153" s="9"/>
      <c r="I1153" s="9"/>
      <c r="J1153" s="9"/>
      <c r="K1153" s="357"/>
      <c r="L1153" s="9"/>
      <c r="M1153" s="9"/>
      <c r="N1153" s="9"/>
      <c r="O1153" s="9"/>
      <c r="P1153" s="9"/>
      <c r="Q1153" s="9"/>
      <c r="R1153" s="14"/>
      <c r="S1153" s="14"/>
    </row>
    <row r="1154" spans="1:19" ht="14.25">
      <c r="A1154" s="14"/>
      <c r="B1154" s="9"/>
      <c r="C1154" s="9"/>
      <c r="D1154" s="9"/>
      <c r="E1154" s="9"/>
      <c r="F1154" s="9"/>
      <c r="G1154" s="9"/>
      <c r="H1154" s="9"/>
      <c r="I1154" s="9"/>
      <c r="J1154" s="9"/>
      <c r="K1154" s="357"/>
      <c r="L1154" s="9"/>
      <c r="M1154" s="9"/>
      <c r="N1154" s="9"/>
      <c r="O1154" s="9"/>
      <c r="P1154" s="9"/>
      <c r="Q1154" s="9"/>
      <c r="R1154" s="14"/>
      <c r="S1154" s="14"/>
    </row>
    <row r="1155" spans="1:19" ht="14.25">
      <c r="A1155" s="14"/>
      <c r="B1155" s="9"/>
      <c r="C1155" s="9"/>
      <c r="D1155" s="9"/>
      <c r="E1155" s="9"/>
      <c r="F1155" s="9"/>
      <c r="G1155" s="9"/>
      <c r="H1155" s="9"/>
      <c r="I1155" s="9"/>
      <c r="J1155" s="9"/>
      <c r="K1155" s="357"/>
      <c r="L1155" s="9"/>
      <c r="M1155" s="9"/>
      <c r="N1155" s="9"/>
      <c r="O1155" s="9"/>
      <c r="P1155" s="9"/>
      <c r="Q1155" s="9"/>
      <c r="R1155" s="14"/>
      <c r="S1155" s="14"/>
    </row>
    <row r="1156" spans="1:19" ht="14.25">
      <c r="A1156" s="14"/>
      <c r="B1156" s="9"/>
      <c r="C1156" s="9"/>
      <c r="D1156" s="9"/>
      <c r="E1156" s="9"/>
      <c r="F1156" s="9"/>
      <c r="G1156" s="9"/>
      <c r="H1156" s="9"/>
      <c r="I1156" s="9"/>
      <c r="J1156" s="9"/>
      <c r="K1156" s="357"/>
      <c r="L1156" s="9"/>
      <c r="M1156" s="9"/>
      <c r="N1156" s="9"/>
      <c r="O1156" s="9"/>
      <c r="P1156" s="9"/>
      <c r="Q1156" s="9"/>
      <c r="R1156" s="14"/>
      <c r="S1156" s="14"/>
    </row>
    <row r="1157" spans="1:19" ht="14.25">
      <c r="A1157" s="14"/>
      <c r="B1157" s="9"/>
      <c r="C1157" s="9"/>
      <c r="D1157" s="9"/>
      <c r="E1157" s="9"/>
      <c r="F1157" s="9"/>
      <c r="G1157" s="9"/>
      <c r="H1157" s="9"/>
      <c r="I1157" s="9"/>
      <c r="J1157" s="9"/>
      <c r="K1157" s="357"/>
      <c r="L1157" s="9"/>
      <c r="M1157" s="9"/>
      <c r="N1157" s="9"/>
      <c r="O1157" s="9"/>
      <c r="P1157" s="9"/>
      <c r="Q1157" s="9"/>
      <c r="R1157" s="14"/>
      <c r="S1157" s="14"/>
    </row>
    <row r="1158" spans="1:19" ht="14.25">
      <c r="A1158" s="14"/>
      <c r="B1158" s="9"/>
      <c r="C1158" s="9"/>
      <c r="D1158" s="9"/>
      <c r="E1158" s="9"/>
      <c r="F1158" s="9"/>
      <c r="G1158" s="9"/>
      <c r="H1158" s="9"/>
      <c r="I1158" s="9"/>
      <c r="J1158" s="9"/>
      <c r="K1158" s="357"/>
      <c r="L1158" s="9"/>
      <c r="M1158" s="9"/>
      <c r="N1158" s="9"/>
      <c r="O1158" s="9"/>
      <c r="P1158" s="9"/>
      <c r="Q1158" s="9"/>
      <c r="R1158" s="14"/>
      <c r="S1158" s="14"/>
    </row>
    <row r="1159" spans="1:19" ht="14.25">
      <c r="A1159" s="14"/>
      <c r="B1159" s="9"/>
      <c r="C1159" s="9"/>
      <c r="D1159" s="9"/>
      <c r="E1159" s="9"/>
      <c r="F1159" s="9"/>
      <c r="G1159" s="9"/>
      <c r="H1159" s="9"/>
      <c r="I1159" s="9"/>
      <c r="J1159" s="9"/>
      <c r="K1159" s="357"/>
      <c r="L1159" s="9"/>
      <c r="M1159" s="9"/>
      <c r="N1159" s="9"/>
      <c r="O1159" s="9"/>
      <c r="P1159" s="9"/>
      <c r="Q1159" s="9"/>
      <c r="R1159" s="14"/>
      <c r="S1159" s="14"/>
    </row>
    <row r="1160" spans="1:19" ht="14.25">
      <c r="A1160" s="14"/>
      <c r="B1160" s="9"/>
      <c r="C1160" s="9"/>
      <c r="D1160" s="9"/>
      <c r="E1160" s="9"/>
      <c r="F1160" s="9"/>
      <c r="G1160" s="9"/>
      <c r="H1160" s="9"/>
      <c r="I1160" s="9"/>
      <c r="J1160" s="9"/>
      <c r="K1160" s="357"/>
      <c r="L1160" s="9"/>
      <c r="M1160" s="9"/>
      <c r="N1160" s="9"/>
      <c r="O1160" s="9"/>
      <c r="P1160" s="9"/>
      <c r="Q1160" s="9"/>
      <c r="R1160" s="14"/>
      <c r="S1160" s="14"/>
    </row>
    <row r="1161" spans="1:19" ht="14.25">
      <c r="A1161" s="14"/>
      <c r="B1161" s="9"/>
      <c r="C1161" s="9"/>
      <c r="D1161" s="9"/>
      <c r="E1161" s="9"/>
      <c r="F1161" s="9"/>
      <c r="G1161" s="9"/>
      <c r="H1161" s="9"/>
      <c r="I1161" s="9"/>
      <c r="J1161" s="9"/>
      <c r="K1161" s="357"/>
      <c r="L1161" s="9"/>
      <c r="M1161" s="9"/>
      <c r="N1161" s="9"/>
      <c r="O1161" s="9"/>
      <c r="P1161" s="9"/>
      <c r="Q1161" s="9"/>
      <c r="R1161" s="14"/>
      <c r="S1161" s="14"/>
    </row>
    <row r="1162" spans="1:19" ht="14.25">
      <c r="A1162" s="14"/>
      <c r="B1162" s="9"/>
      <c r="C1162" s="9"/>
      <c r="D1162" s="9"/>
      <c r="E1162" s="9"/>
      <c r="F1162" s="9"/>
      <c r="G1162" s="9"/>
      <c r="H1162" s="9"/>
      <c r="I1162" s="9"/>
      <c r="J1162" s="9"/>
      <c r="K1162" s="357"/>
      <c r="L1162" s="9"/>
      <c r="M1162" s="9"/>
      <c r="N1162" s="9"/>
      <c r="O1162" s="9"/>
      <c r="P1162" s="9"/>
      <c r="Q1162" s="9"/>
      <c r="R1162" s="14"/>
      <c r="S1162" s="14"/>
    </row>
    <row r="1163" spans="1:19" ht="14.25">
      <c r="A1163" s="14"/>
      <c r="B1163" s="9"/>
      <c r="C1163" s="9"/>
      <c r="D1163" s="9"/>
      <c r="E1163" s="9"/>
      <c r="F1163" s="9"/>
      <c r="G1163" s="9"/>
      <c r="H1163" s="9"/>
      <c r="I1163" s="9"/>
      <c r="J1163" s="9"/>
      <c r="K1163" s="357"/>
      <c r="L1163" s="9"/>
      <c r="M1163" s="9"/>
      <c r="N1163" s="9"/>
      <c r="O1163" s="9"/>
      <c r="P1163" s="9"/>
      <c r="Q1163" s="9"/>
      <c r="R1163" s="14"/>
      <c r="S1163" s="14"/>
    </row>
    <row r="1164" spans="1:19" ht="14.25">
      <c r="A1164" s="14"/>
      <c r="B1164" s="9"/>
      <c r="C1164" s="9"/>
      <c r="D1164" s="9"/>
      <c r="E1164" s="9"/>
      <c r="F1164" s="9"/>
      <c r="G1164" s="9"/>
      <c r="H1164" s="9"/>
      <c r="I1164" s="9"/>
      <c r="J1164" s="9"/>
      <c r="K1164" s="357"/>
      <c r="L1164" s="9"/>
      <c r="M1164" s="9"/>
      <c r="N1164" s="9"/>
      <c r="O1164" s="9"/>
      <c r="P1164" s="9"/>
      <c r="Q1164" s="9"/>
      <c r="R1164" s="14"/>
      <c r="S1164" s="14"/>
    </row>
    <row r="1165" spans="1:19" ht="14.25">
      <c r="A1165" s="14"/>
      <c r="B1165" s="9"/>
      <c r="C1165" s="9"/>
      <c r="D1165" s="9"/>
      <c r="E1165" s="9"/>
      <c r="F1165" s="9"/>
      <c r="G1165" s="9"/>
      <c r="H1165" s="9"/>
      <c r="I1165" s="9"/>
      <c r="J1165" s="9"/>
      <c r="K1165" s="357"/>
      <c r="L1165" s="9"/>
      <c r="M1165" s="9"/>
      <c r="N1165" s="9"/>
      <c r="O1165" s="9"/>
      <c r="P1165" s="9"/>
      <c r="Q1165" s="9"/>
      <c r="R1165" s="14"/>
      <c r="S1165" s="14"/>
    </row>
    <row r="1166" spans="1:19" ht="14.25">
      <c r="A1166" s="14"/>
      <c r="B1166" s="9"/>
      <c r="C1166" s="9"/>
      <c r="D1166" s="9"/>
      <c r="E1166" s="9"/>
      <c r="F1166" s="9"/>
      <c r="G1166" s="9"/>
      <c r="H1166" s="9"/>
      <c r="I1166" s="9"/>
      <c r="J1166" s="9"/>
      <c r="K1166" s="357"/>
      <c r="L1166" s="9"/>
      <c r="M1166" s="9"/>
      <c r="N1166" s="9"/>
      <c r="O1166" s="9"/>
      <c r="P1166" s="9"/>
      <c r="Q1166" s="9"/>
      <c r="R1166" s="14"/>
      <c r="S1166" s="14"/>
    </row>
    <row r="1167" spans="1:19" ht="14.25">
      <c r="A1167" s="14"/>
      <c r="B1167" s="9"/>
      <c r="C1167" s="9"/>
      <c r="D1167" s="9"/>
      <c r="E1167" s="9"/>
      <c r="F1167" s="9"/>
      <c r="G1167" s="9"/>
      <c r="H1167" s="9"/>
      <c r="I1167" s="9"/>
      <c r="J1167" s="9"/>
      <c r="K1167" s="357"/>
      <c r="L1167" s="9"/>
      <c r="M1167" s="9"/>
      <c r="N1167" s="9"/>
      <c r="O1167" s="9"/>
      <c r="P1167" s="9"/>
      <c r="Q1167" s="9"/>
      <c r="R1167" s="14"/>
      <c r="S1167" s="14"/>
    </row>
    <row r="1168" spans="1:19" ht="14.25">
      <c r="A1168" s="14"/>
      <c r="B1168" s="9"/>
      <c r="C1168" s="9"/>
      <c r="D1168" s="9"/>
      <c r="E1168" s="9"/>
      <c r="F1168" s="9"/>
      <c r="G1168" s="9"/>
      <c r="H1168" s="9"/>
      <c r="I1168" s="9"/>
      <c r="J1168" s="9"/>
      <c r="K1168" s="357"/>
      <c r="L1168" s="9"/>
      <c r="M1168" s="9"/>
      <c r="N1168" s="9"/>
      <c r="O1168" s="9"/>
      <c r="P1168" s="9"/>
      <c r="Q1168" s="9"/>
      <c r="R1168" s="14"/>
      <c r="S1168" s="14"/>
    </row>
    <row r="1169" spans="1:19" ht="14.25">
      <c r="A1169" s="14"/>
      <c r="B1169" s="9"/>
      <c r="C1169" s="9"/>
      <c r="D1169" s="9"/>
      <c r="E1169" s="9"/>
      <c r="F1169" s="9"/>
      <c r="G1169" s="9"/>
      <c r="H1169" s="9"/>
      <c r="I1169" s="9"/>
      <c r="J1169" s="9"/>
      <c r="K1169" s="357"/>
      <c r="L1169" s="9"/>
      <c r="M1169" s="9"/>
      <c r="N1169" s="9"/>
      <c r="O1169" s="9"/>
      <c r="P1169" s="9"/>
      <c r="Q1169" s="9"/>
      <c r="R1169" s="14"/>
      <c r="S1169" s="14"/>
    </row>
    <row r="1170" spans="1:19" ht="14.25">
      <c r="A1170" s="14"/>
      <c r="B1170" s="9"/>
      <c r="C1170" s="9"/>
      <c r="D1170" s="9"/>
      <c r="E1170" s="9"/>
      <c r="F1170" s="9"/>
      <c r="G1170" s="9"/>
      <c r="H1170" s="9"/>
      <c r="I1170" s="9"/>
      <c r="J1170" s="9"/>
      <c r="K1170" s="357"/>
      <c r="L1170" s="9"/>
      <c r="M1170" s="9"/>
      <c r="N1170" s="9"/>
      <c r="O1170" s="9"/>
      <c r="P1170" s="9"/>
      <c r="Q1170" s="9"/>
      <c r="R1170" s="14"/>
      <c r="S1170" s="14"/>
    </row>
    <row r="1171" spans="1:19" ht="14.25">
      <c r="A1171" s="14"/>
      <c r="B1171" s="9"/>
      <c r="C1171" s="9"/>
      <c r="D1171" s="9"/>
      <c r="E1171" s="9"/>
      <c r="F1171" s="9"/>
      <c r="G1171" s="9"/>
      <c r="H1171" s="9"/>
      <c r="I1171" s="9"/>
      <c r="J1171" s="9"/>
      <c r="K1171" s="357"/>
      <c r="L1171" s="9"/>
      <c r="M1171" s="9"/>
      <c r="N1171" s="9"/>
      <c r="O1171" s="9"/>
      <c r="P1171" s="9"/>
      <c r="Q1171" s="9"/>
      <c r="R1171" s="14"/>
      <c r="S1171" s="14"/>
    </row>
    <row r="1172" spans="1:19" ht="14.25">
      <c r="A1172" s="14"/>
      <c r="B1172" s="9"/>
      <c r="C1172" s="9"/>
      <c r="D1172" s="9"/>
      <c r="E1172" s="9"/>
      <c r="F1172" s="9"/>
      <c r="G1172" s="9"/>
      <c r="H1172" s="9"/>
      <c r="I1172" s="9"/>
      <c r="J1172" s="9"/>
      <c r="K1172" s="357"/>
      <c r="L1172" s="9"/>
      <c r="M1172" s="9"/>
      <c r="N1172" s="9"/>
      <c r="O1172" s="9"/>
      <c r="P1172" s="9"/>
      <c r="Q1172" s="9"/>
      <c r="R1172" s="14"/>
      <c r="S1172" s="14"/>
    </row>
    <row r="1173" spans="1:19" ht="14.25">
      <c r="A1173" s="14"/>
      <c r="B1173" s="9"/>
      <c r="C1173" s="9"/>
      <c r="D1173" s="9"/>
      <c r="E1173" s="9"/>
      <c r="F1173" s="9"/>
      <c r="G1173" s="9"/>
      <c r="H1173" s="9"/>
      <c r="I1173" s="9"/>
      <c r="J1173" s="9"/>
      <c r="K1173" s="357"/>
      <c r="L1173" s="9"/>
      <c r="M1173" s="9"/>
      <c r="N1173" s="9"/>
      <c r="O1173" s="9"/>
      <c r="P1173" s="9"/>
      <c r="Q1173" s="9"/>
      <c r="R1173" s="14"/>
      <c r="S1173" s="14"/>
    </row>
    <row r="1174" spans="1:19" ht="14.25">
      <c r="A1174" s="14"/>
      <c r="B1174" s="9"/>
      <c r="C1174" s="9"/>
      <c r="D1174" s="9"/>
      <c r="E1174" s="9"/>
      <c r="F1174" s="9"/>
      <c r="G1174" s="9"/>
      <c r="H1174" s="9"/>
      <c r="I1174" s="9"/>
      <c r="J1174" s="9"/>
      <c r="K1174" s="357"/>
      <c r="L1174" s="9"/>
      <c r="M1174" s="9"/>
      <c r="N1174" s="9"/>
      <c r="O1174" s="9"/>
      <c r="P1174" s="9"/>
      <c r="Q1174" s="9"/>
      <c r="R1174" s="14"/>
      <c r="S1174" s="14"/>
    </row>
    <row r="1175" spans="1:19" ht="14.25">
      <c r="A1175" s="14"/>
      <c r="B1175" s="9"/>
      <c r="C1175" s="9"/>
      <c r="D1175" s="9"/>
      <c r="E1175" s="9"/>
      <c r="F1175" s="9"/>
      <c r="G1175" s="9"/>
      <c r="H1175" s="9"/>
      <c r="I1175" s="9"/>
      <c r="J1175" s="9"/>
      <c r="K1175" s="357"/>
      <c r="L1175" s="9"/>
      <c r="M1175" s="9"/>
      <c r="N1175" s="9"/>
      <c r="O1175" s="9"/>
      <c r="P1175" s="9"/>
      <c r="Q1175" s="9"/>
      <c r="R1175" s="14"/>
      <c r="S1175" s="14"/>
    </row>
    <row r="1176" spans="1:19" ht="14.25">
      <c r="A1176" s="14"/>
      <c r="B1176" s="9"/>
      <c r="C1176" s="9"/>
      <c r="D1176" s="9"/>
      <c r="E1176" s="9"/>
      <c r="F1176" s="9"/>
      <c r="G1176" s="9"/>
      <c r="H1176" s="9"/>
      <c r="I1176" s="9"/>
      <c r="J1176" s="9"/>
      <c r="K1176" s="357"/>
      <c r="L1176" s="9"/>
      <c r="M1176" s="9"/>
      <c r="N1176" s="9"/>
      <c r="O1176" s="9"/>
      <c r="P1176" s="9"/>
      <c r="Q1176" s="9"/>
      <c r="R1176" s="14"/>
      <c r="S1176" s="14"/>
    </row>
    <row r="1177" spans="1:19" ht="14.25">
      <c r="A1177" s="14"/>
      <c r="B1177" s="9"/>
      <c r="C1177" s="9"/>
      <c r="D1177" s="9"/>
      <c r="E1177" s="9"/>
      <c r="F1177" s="9"/>
      <c r="G1177" s="9"/>
      <c r="H1177" s="9"/>
      <c r="I1177" s="9"/>
      <c r="J1177" s="9"/>
      <c r="K1177" s="357"/>
      <c r="L1177" s="9"/>
      <c r="M1177" s="9"/>
      <c r="N1177" s="9"/>
      <c r="O1177" s="9"/>
      <c r="P1177" s="9"/>
      <c r="Q1177" s="9"/>
      <c r="R1177" s="14"/>
      <c r="S1177" s="14"/>
    </row>
    <row r="1178" spans="1:19" ht="14.25">
      <c r="A1178" s="14"/>
      <c r="B1178" s="9"/>
      <c r="C1178" s="9"/>
      <c r="D1178" s="9"/>
      <c r="E1178" s="9"/>
      <c r="F1178" s="9"/>
      <c r="G1178" s="9"/>
      <c r="H1178" s="9"/>
      <c r="I1178" s="9"/>
      <c r="J1178" s="9"/>
      <c r="K1178" s="357"/>
      <c r="L1178" s="9"/>
      <c r="M1178" s="9"/>
      <c r="N1178" s="9"/>
      <c r="O1178" s="9"/>
      <c r="P1178" s="9"/>
      <c r="Q1178" s="9"/>
      <c r="R1178" s="14"/>
      <c r="S1178" s="14"/>
    </row>
    <row r="1179" spans="1:19" ht="14.25">
      <c r="A1179" s="14"/>
      <c r="B1179" s="9"/>
      <c r="C1179" s="9"/>
      <c r="D1179" s="9"/>
      <c r="E1179" s="9"/>
      <c r="F1179" s="9"/>
      <c r="G1179" s="9"/>
      <c r="H1179" s="9"/>
      <c r="I1179" s="9"/>
      <c r="J1179" s="9"/>
      <c r="K1179" s="357"/>
      <c r="L1179" s="9"/>
      <c r="M1179" s="9"/>
      <c r="N1179" s="9"/>
      <c r="O1179" s="9"/>
      <c r="P1179" s="9"/>
      <c r="Q1179" s="9"/>
      <c r="R1179" s="14"/>
      <c r="S1179" s="14"/>
    </row>
    <row r="1180" spans="1:19" ht="14.25">
      <c r="A1180" s="14"/>
      <c r="B1180" s="9"/>
      <c r="C1180" s="9"/>
      <c r="D1180" s="9"/>
      <c r="E1180" s="9"/>
      <c r="F1180" s="9"/>
      <c r="G1180" s="9"/>
      <c r="H1180" s="9"/>
      <c r="I1180" s="9"/>
      <c r="J1180" s="9"/>
      <c r="K1180" s="357"/>
      <c r="L1180" s="9"/>
      <c r="M1180" s="9"/>
      <c r="N1180" s="9"/>
      <c r="O1180" s="9"/>
      <c r="P1180" s="9"/>
      <c r="Q1180" s="9"/>
      <c r="R1180" s="14"/>
      <c r="S1180" s="14"/>
    </row>
    <row r="1181" spans="1:19" ht="14.25">
      <c r="A1181" s="14"/>
      <c r="B1181" s="9"/>
      <c r="C1181" s="9"/>
      <c r="D1181" s="9"/>
      <c r="E1181" s="9"/>
      <c r="F1181" s="9"/>
      <c r="G1181" s="9"/>
      <c r="H1181" s="9"/>
      <c r="I1181" s="9"/>
      <c r="J1181" s="9"/>
      <c r="K1181" s="357"/>
      <c r="L1181" s="9"/>
      <c r="M1181" s="9"/>
      <c r="N1181" s="9"/>
      <c r="O1181" s="9"/>
      <c r="P1181" s="9"/>
      <c r="Q1181" s="9"/>
      <c r="R1181" s="14"/>
      <c r="S1181" s="14"/>
    </row>
    <row r="1182" spans="1:19" ht="14.25">
      <c r="A1182" s="14"/>
      <c r="B1182" s="9"/>
      <c r="C1182" s="9"/>
      <c r="D1182" s="9"/>
      <c r="E1182" s="9"/>
      <c r="F1182" s="9"/>
      <c r="G1182" s="9"/>
      <c r="H1182" s="9"/>
      <c r="I1182" s="9"/>
      <c r="J1182" s="9"/>
      <c r="K1182" s="357"/>
      <c r="L1182" s="9"/>
      <c r="M1182" s="9"/>
      <c r="N1182" s="9"/>
      <c r="O1182" s="9"/>
      <c r="P1182" s="9"/>
      <c r="Q1182" s="9"/>
      <c r="R1182" s="14"/>
      <c r="S1182" s="14"/>
    </row>
    <row r="1183" spans="1:19" ht="14.25">
      <c r="A1183" s="14"/>
      <c r="B1183" s="9"/>
      <c r="C1183" s="9"/>
      <c r="D1183" s="9"/>
      <c r="E1183" s="9"/>
      <c r="F1183" s="9"/>
      <c r="G1183" s="9"/>
      <c r="H1183" s="9"/>
      <c r="I1183" s="9"/>
      <c r="J1183" s="9"/>
      <c r="K1183" s="357"/>
      <c r="L1183" s="9"/>
      <c r="M1183" s="9"/>
      <c r="N1183" s="9"/>
      <c r="O1183" s="9"/>
      <c r="P1183" s="9"/>
      <c r="Q1183" s="9"/>
      <c r="R1183" s="14"/>
      <c r="S1183" s="14"/>
    </row>
    <row r="1184" spans="1:19" ht="14.25">
      <c r="A1184" s="14"/>
      <c r="B1184" s="9"/>
      <c r="C1184" s="9"/>
      <c r="D1184" s="9"/>
      <c r="E1184" s="9"/>
      <c r="F1184" s="9"/>
      <c r="G1184" s="9"/>
      <c r="H1184" s="9"/>
      <c r="I1184" s="9"/>
      <c r="J1184" s="9"/>
      <c r="K1184" s="357"/>
      <c r="L1184" s="9"/>
      <c r="M1184" s="9"/>
      <c r="N1184" s="9"/>
      <c r="O1184" s="9"/>
      <c r="P1184" s="9"/>
      <c r="Q1184" s="9"/>
      <c r="R1184" s="14"/>
      <c r="S1184" s="14"/>
    </row>
    <row r="1185" spans="1:19" ht="14.25">
      <c r="A1185" s="14"/>
      <c r="B1185" s="9"/>
      <c r="C1185" s="9"/>
      <c r="D1185" s="9"/>
      <c r="E1185" s="9"/>
      <c r="F1185" s="9"/>
      <c r="G1185" s="9"/>
      <c r="H1185" s="9"/>
      <c r="I1185" s="9"/>
      <c r="J1185" s="9"/>
      <c r="K1185" s="357"/>
      <c r="L1185" s="9"/>
      <c r="M1185" s="9"/>
      <c r="N1185" s="9"/>
      <c r="O1185" s="9"/>
      <c r="P1185" s="9"/>
      <c r="Q1185" s="9"/>
      <c r="R1185" s="14"/>
      <c r="S1185" s="14"/>
    </row>
    <row r="1186" spans="1:19" ht="14.25">
      <c r="A1186" s="14"/>
      <c r="B1186" s="9"/>
      <c r="C1186" s="9"/>
      <c r="D1186" s="9"/>
      <c r="E1186" s="9"/>
      <c r="F1186" s="9"/>
      <c r="G1186" s="9"/>
      <c r="H1186" s="9"/>
      <c r="I1186" s="9"/>
      <c r="J1186" s="9"/>
      <c r="K1186" s="357"/>
      <c r="L1186" s="9"/>
      <c r="M1186" s="9"/>
      <c r="N1186" s="9"/>
      <c r="O1186" s="9"/>
      <c r="P1186" s="9"/>
      <c r="Q1186" s="9"/>
      <c r="R1186" s="14"/>
      <c r="S1186" s="14"/>
    </row>
    <row r="1187" spans="1:19" ht="14.25">
      <c r="A1187" s="14"/>
      <c r="B1187" s="9"/>
      <c r="C1187" s="9"/>
      <c r="D1187" s="9"/>
      <c r="E1187" s="9"/>
      <c r="F1187" s="9"/>
      <c r="G1187" s="9"/>
      <c r="H1187" s="9"/>
      <c r="I1187" s="9"/>
      <c r="J1187" s="9"/>
      <c r="K1187" s="357"/>
      <c r="L1187" s="9"/>
      <c r="M1187" s="9"/>
      <c r="N1187" s="9"/>
      <c r="O1187" s="9"/>
      <c r="P1187" s="9"/>
      <c r="Q1187" s="9"/>
      <c r="R1187" s="14"/>
      <c r="S1187" s="14"/>
    </row>
    <row r="1188" spans="1:19" ht="14.25">
      <c r="A1188" s="14"/>
      <c r="B1188" s="9"/>
      <c r="C1188" s="9"/>
      <c r="D1188" s="9"/>
      <c r="E1188" s="9"/>
      <c r="F1188" s="9"/>
      <c r="G1188" s="9"/>
      <c r="H1188" s="9"/>
      <c r="I1188" s="9"/>
      <c r="J1188" s="9"/>
      <c r="K1188" s="357"/>
      <c r="L1188" s="9"/>
      <c r="M1188" s="9"/>
      <c r="N1188" s="9"/>
      <c r="O1188" s="9"/>
      <c r="P1188" s="9"/>
      <c r="Q1188" s="9"/>
      <c r="R1188" s="14"/>
      <c r="S1188" s="14"/>
    </row>
    <row r="1189" spans="1:19" ht="14.25">
      <c r="A1189" s="14"/>
      <c r="B1189" s="9"/>
      <c r="C1189" s="9"/>
      <c r="D1189" s="9"/>
      <c r="E1189" s="9"/>
      <c r="F1189" s="9"/>
      <c r="G1189" s="9"/>
      <c r="H1189" s="9"/>
      <c r="I1189" s="9"/>
      <c r="J1189" s="9"/>
      <c r="K1189" s="357"/>
      <c r="L1189" s="9"/>
      <c r="M1189" s="9"/>
      <c r="N1189" s="9"/>
      <c r="O1189" s="9"/>
      <c r="P1189" s="9"/>
      <c r="Q1189" s="9"/>
      <c r="R1189" s="14"/>
      <c r="S1189" s="14"/>
    </row>
    <row r="1190" spans="1:19" ht="14.25">
      <c r="A1190" s="14"/>
      <c r="B1190" s="9"/>
      <c r="C1190" s="9"/>
      <c r="D1190" s="9"/>
      <c r="E1190" s="9"/>
      <c r="F1190" s="9"/>
      <c r="G1190" s="9"/>
      <c r="H1190" s="9"/>
      <c r="I1190" s="9"/>
      <c r="J1190" s="9"/>
      <c r="K1190" s="357"/>
      <c r="L1190" s="9"/>
      <c r="M1190" s="9"/>
      <c r="N1190" s="9"/>
      <c r="O1190" s="9"/>
      <c r="P1190" s="9"/>
      <c r="Q1190" s="9"/>
      <c r="R1190" s="14"/>
      <c r="S1190" s="14"/>
    </row>
    <row r="1191" spans="1:19" ht="14.25">
      <c r="A1191" s="14"/>
      <c r="B1191" s="9"/>
      <c r="C1191" s="9"/>
      <c r="D1191" s="9"/>
      <c r="E1191" s="9"/>
      <c r="F1191" s="9"/>
      <c r="G1191" s="9"/>
      <c r="H1191" s="9"/>
      <c r="I1191" s="9"/>
      <c r="J1191" s="9"/>
      <c r="K1191" s="357"/>
      <c r="L1191" s="9"/>
      <c r="M1191" s="9"/>
      <c r="N1191" s="9"/>
      <c r="O1191" s="9"/>
      <c r="P1191" s="9"/>
      <c r="Q1191" s="9"/>
      <c r="R1191" s="14"/>
      <c r="S1191" s="14"/>
    </row>
    <row r="1192" spans="1:19" ht="14.25">
      <c r="A1192" s="14"/>
      <c r="B1192" s="9"/>
      <c r="C1192" s="9"/>
      <c r="D1192" s="9"/>
      <c r="E1192" s="9"/>
      <c r="F1192" s="9"/>
      <c r="G1192" s="9"/>
      <c r="H1192" s="9"/>
      <c r="I1192" s="9"/>
      <c r="J1192" s="9"/>
      <c r="K1192" s="357"/>
      <c r="L1192" s="9"/>
      <c r="M1192" s="9"/>
      <c r="N1192" s="9"/>
      <c r="O1192" s="9"/>
      <c r="P1192" s="9"/>
      <c r="Q1192" s="9"/>
      <c r="R1192" s="14"/>
      <c r="S1192" s="14"/>
    </row>
    <row r="1193" spans="1:19" ht="14.25">
      <c r="A1193" s="14"/>
      <c r="B1193" s="9"/>
      <c r="C1193" s="9"/>
      <c r="D1193" s="9"/>
      <c r="E1193" s="9"/>
      <c r="F1193" s="9"/>
      <c r="G1193" s="9"/>
      <c r="H1193" s="9"/>
      <c r="I1193" s="9"/>
      <c r="J1193" s="9"/>
      <c r="K1193" s="357"/>
      <c r="L1193" s="9"/>
      <c r="M1193" s="9"/>
      <c r="N1193" s="9"/>
      <c r="O1193" s="9"/>
      <c r="P1193" s="9"/>
      <c r="Q1193" s="9"/>
      <c r="R1193" s="14"/>
      <c r="S1193" s="14"/>
    </row>
    <row r="1194" spans="1:19" ht="14.25">
      <c r="A1194" s="14"/>
      <c r="B1194" s="9"/>
      <c r="C1194" s="9"/>
      <c r="D1194" s="9"/>
      <c r="E1194" s="9"/>
      <c r="F1194" s="9"/>
      <c r="G1194" s="9"/>
      <c r="H1194" s="9"/>
      <c r="I1194" s="9"/>
      <c r="J1194" s="9"/>
      <c r="K1194" s="357"/>
      <c r="L1194" s="9"/>
      <c r="M1194" s="9"/>
      <c r="N1194" s="9"/>
      <c r="O1194" s="9"/>
      <c r="P1194" s="9"/>
      <c r="Q1194" s="9"/>
      <c r="R1194" s="14"/>
      <c r="S1194" s="14"/>
    </row>
    <row r="1195" spans="1:19" ht="14.25">
      <c r="A1195" s="14"/>
      <c r="B1195" s="9"/>
      <c r="C1195" s="9"/>
      <c r="D1195" s="9"/>
      <c r="E1195" s="9"/>
      <c r="F1195" s="9"/>
      <c r="G1195" s="9"/>
      <c r="H1195" s="9"/>
      <c r="I1195" s="9"/>
      <c r="J1195" s="9"/>
      <c r="K1195" s="357"/>
      <c r="L1195" s="9"/>
      <c r="M1195" s="9"/>
      <c r="N1195" s="9"/>
      <c r="O1195" s="9"/>
      <c r="P1195" s="9"/>
      <c r="Q1195" s="9"/>
      <c r="R1195" s="14"/>
      <c r="S1195" s="14"/>
    </row>
    <row r="1196" spans="1:19" ht="14.25">
      <c r="A1196" s="14"/>
      <c r="B1196" s="9"/>
      <c r="C1196" s="9"/>
      <c r="D1196" s="9"/>
      <c r="E1196" s="9"/>
      <c r="F1196" s="9"/>
      <c r="G1196" s="9"/>
      <c r="H1196" s="9"/>
      <c r="I1196" s="9"/>
      <c r="J1196" s="9"/>
      <c r="K1196" s="357"/>
      <c r="L1196" s="9"/>
      <c r="M1196" s="9"/>
      <c r="N1196" s="9"/>
      <c r="O1196" s="9"/>
      <c r="P1196" s="9"/>
      <c r="Q1196" s="9"/>
      <c r="R1196" s="14"/>
      <c r="S1196" s="14"/>
    </row>
    <row r="1197" spans="1:19" ht="14.25">
      <c r="A1197" s="14"/>
      <c r="B1197" s="9"/>
      <c r="C1197" s="9"/>
      <c r="D1197" s="9"/>
      <c r="E1197" s="9"/>
      <c r="F1197" s="9"/>
      <c r="G1197" s="9"/>
      <c r="H1197" s="9"/>
      <c r="I1197" s="9"/>
      <c r="J1197" s="9"/>
      <c r="K1197" s="357"/>
      <c r="L1197" s="9"/>
      <c r="M1197" s="9"/>
      <c r="N1197" s="9"/>
      <c r="O1197" s="9"/>
      <c r="P1197" s="9"/>
      <c r="Q1197" s="9"/>
      <c r="R1197" s="14"/>
      <c r="S1197" s="14"/>
    </row>
    <row r="1198" spans="1:19" ht="14.25">
      <c r="A1198" s="14"/>
      <c r="B1198" s="9"/>
      <c r="C1198" s="9"/>
      <c r="D1198" s="9"/>
      <c r="E1198" s="9"/>
      <c r="F1198" s="9"/>
      <c r="G1198" s="9"/>
      <c r="H1198" s="9"/>
      <c r="I1198" s="9"/>
      <c r="J1198" s="9"/>
      <c r="K1198" s="357"/>
      <c r="L1198" s="9"/>
      <c r="M1198" s="9"/>
      <c r="N1198" s="9"/>
      <c r="O1198" s="9"/>
      <c r="P1198" s="9"/>
      <c r="Q1198" s="9"/>
      <c r="R1198" s="14"/>
      <c r="S1198" s="14"/>
    </row>
    <row r="1199" spans="1:19" ht="14.25">
      <c r="A1199" s="14"/>
      <c r="B1199" s="9"/>
      <c r="C1199" s="9"/>
      <c r="D1199" s="9"/>
      <c r="E1199" s="9"/>
      <c r="F1199" s="9"/>
      <c r="G1199" s="9"/>
      <c r="H1199" s="9"/>
      <c r="I1199" s="9"/>
      <c r="J1199" s="9"/>
      <c r="K1199" s="357"/>
      <c r="L1199" s="9"/>
      <c r="M1199" s="9"/>
      <c r="N1199" s="9"/>
      <c r="O1199" s="9"/>
      <c r="P1199" s="9"/>
      <c r="Q1199" s="9"/>
      <c r="R1199" s="14"/>
      <c r="S1199" s="14"/>
    </row>
    <row r="1200" spans="1:19" ht="14.25">
      <c r="A1200" s="14"/>
      <c r="B1200" s="9"/>
      <c r="C1200" s="9"/>
      <c r="D1200" s="9"/>
      <c r="E1200" s="9"/>
      <c r="F1200" s="9"/>
      <c r="G1200" s="9"/>
      <c r="H1200" s="9"/>
      <c r="I1200" s="9"/>
      <c r="J1200" s="9"/>
      <c r="K1200" s="357"/>
      <c r="L1200" s="9"/>
      <c r="M1200" s="9"/>
      <c r="N1200" s="9"/>
      <c r="O1200" s="9"/>
      <c r="P1200" s="9"/>
      <c r="Q1200" s="9"/>
      <c r="R1200" s="14"/>
      <c r="S1200" s="14"/>
    </row>
    <row r="1201" spans="1:19" ht="14.25">
      <c r="A1201" s="14"/>
      <c r="B1201" s="9"/>
      <c r="C1201" s="9"/>
      <c r="D1201" s="9"/>
      <c r="E1201" s="9"/>
      <c r="F1201" s="9"/>
      <c r="G1201" s="9"/>
      <c r="H1201" s="9"/>
      <c r="I1201" s="9"/>
      <c r="J1201" s="9"/>
      <c r="K1201" s="357"/>
      <c r="L1201" s="9"/>
      <c r="M1201" s="9"/>
      <c r="N1201" s="9"/>
      <c r="O1201" s="9"/>
      <c r="P1201" s="9"/>
      <c r="Q1201" s="9"/>
      <c r="R1201" s="14"/>
      <c r="S1201" s="14"/>
    </row>
    <row r="1202" spans="1:19" ht="14.25">
      <c r="A1202" s="14"/>
      <c r="B1202" s="9"/>
      <c r="C1202" s="9"/>
      <c r="D1202" s="9"/>
      <c r="E1202" s="9"/>
      <c r="F1202" s="9"/>
      <c r="G1202" s="9"/>
      <c r="H1202" s="9"/>
      <c r="I1202" s="9"/>
      <c r="J1202" s="9"/>
      <c r="K1202" s="357"/>
      <c r="L1202" s="9"/>
      <c r="M1202" s="9"/>
      <c r="N1202" s="9"/>
      <c r="O1202" s="9"/>
      <c r="P1202" s="9"/>
      <c r="Q1202" s="9"/>
      <c r="R1202" s="14"/>
      <c r="S1202" s="14"/>
    </row>
    <row r="1203" spans="1:19" ht="14.25">
      <c r="A1203" s="14"/>
      <c r="B1203" s="9"/>
      <c r="C1203" s="9"/>
      <c r="D1203" s="9"/>
      <c r="E1203" s="9"/>
      <c r="F1203" s="9"/>
      <c r="G1203" s="9"/>
      <c r="H1203" s="9"/>
      <c r="I1203" s="9"/>
      <c r="J1203" s="9"/>
      <c r="K1203" s="357"/>
      <c r="L1203" s="9"/>
      <c r="M1203" s="9"/>
      <c r="N1203" s="9"/>
      <c r="O1203" s="9"/>
      <c r="P1203" s="9"/>
      <c r="Q1203" s="9"/>
      <c r="R1203" s="14"/>
      <c r="S1203" s="14"/>
    </row>
    <row r="1204" spans="1:19" ht="14.25">
      <c r="A1204" s="14"/>
      <c r="B1204" s="9"/>
      <c r="C1204" s="9"/>
      <c r="D1204" s="9"/>
      <c r="E1204" s="9"/>
      <c r="F1204" s="9"/>
      <c r="G1204" s="9"/>
      <c r="H1204" s="9"/>
      <c r="I1204" s="9"/>
      <c r="J1204" s="9"/>
      <c r="K1204" s="357"/>
      <c r="L1204" s="9"/>
      <c r="M1204" s="9"/>
      <c r="N1204" s="9"/>
      <c r="O1204" s="9"/>
      <c r="P1204" s="9"/>
      <c r="Q1204" s="9"/>
      <c r="R1204" s="14"/>
      <c r="S1204" s="14"/>
    </row>
    <row r="1205" spans="1:19" ht="14.25">
      <c r="A1205" s="14"/>
      <c r="B1205" s="9"/>
      <c r="C1205" s="9"/>
      <c r="D1205" s="9"/>
      <c r="E1205" s="9"/>
      <c r="F1205" s="9"/>
      <c r="G1205" s="9"/>
      <c r="H1205" s="9"/>
      <c r="I1205" s="9"/>
      <c r="J1205" s="9"/>
      <c r="K1205" s="357"/>
      <c r="L1205" s="9"/>
      <c r="M1205" s="9"/>
      <c r="N1205" s="9"/>
      <c r="O1205" s="9"/>
      <c r="P1205" s="9"/>
      <c r="Q1205" s="9"/>
      <c r="R1205" s="14"/>
      <c r="S1205" s="14"/>
    </row>
    <row r="1206" spans="1:19" ht="14.25">
      <c r="A1206" s="14"/>
      <c r="B1206" s="9"/>
      <c r="C1206" s="9"/>
      <c r="D1206" s="9"/>
      <c r="E1206" s="9"/>
      <c r="F1206" s="9"/>
      <c r="G1206" s="9"/>
      <c r="H1206" s="9"/>
      <c r="I1206" s="9"/>
      <c r="J1206" s="9"/>
      <c r="K1206" s="357"/>
      <c r="L1206" s="9"/>
      <c r="M1206" s="9"/>
      <c r="N1206" s="9"/>
      <c r="O1206" s="9"/>
      <c r="P1206" s="9"/>
      <c r="Q1206" s="9"/>
      <c r="R1206" s="14"/>
      <c r="S1206" s="14"/>
    </row>
    <row r="1207" spans="1:19" ht="14.25">
      <c r="A1207" s="14"/>
      <c r="B1207" s="9"/>
      <c r="C1207" s="9"/>
      <c r="D1207" s="9"/>
      <c r="E1207" s="9"/>
      <c r="F1207" s="9"/>
      <c r="G1207" s="9"/>
      <c r="H1207" s="9"/>
      <c r="I1207" s="9"/>
      <c r="J1207" s="9"/>
      <c r="K1207" s="357"/>
      <c r="L1207" s="9"/>
      <c r="M1207" s="9"/>
      <c r="N1207" s="9"/>
      <c r="O1207" s="9"/>
      <c r="P1207" s="9"/>
      <c r="Q1207" s="9"/>
      <c r="R1207" s="14"/>
      <c r="S1207" s="14"/>
    </row>
    <row r="1208" spans="1:19" ht="14.25">
      <c r="A1208" s="14"/>
      <c r="B1208" s="9"/>
      <c r="C1208" s="9"/>
      <c r="D1208" s="9"/>
      <c r="E1208" s="9"/>
      <c r="F1208" s="9"/>
      <c r="G1208" s="9"/>
      <c r="H1208" s="9"/>
      <c r="I1208" s="9"/>
      <c r="J1208" s="9"/>
      <c r="K1208" s="357"/>
      <c r="L1208" s="9"/>
      <c r="M1208" s="9"/>
      <c r="N1208" s="9"/>
      <c r="O1208" s="9"/>
      <c r="P1208" s="9"/>
      <c r="Q1208" s="9"/>
      <c r="R1208" s="14"/>
      <c r="S1208" s="14"/>
    </row>
    <row r="1209" spans="1:19" ht="14.25">
      <c r="A1209" s="14"/>
      <c r="B1209" s="9"/>
      <c r="C1209" s="9"/>
      <c r="D1209" s="9"/>
      <c r="E1209" s="9"/>
      <c r="F1209" s="9"/>
      <c r="G1209" s="9"/>
      <c r="H1209" s="9"/>
      <c r="I1209" s="9"/>
      <c r="J1209" s="9"/>
      <c r="K1209" s="357"/>
      <c r="L1209" s="9"/>
      <c r="M1209" s="9"/>
      <c r="N1209" s="9"/>
      <c r="O1209" s="9"/>
      <c r="P1209" s="9"/>
      <c r="Q1209" s="9"/>
      <c r="R1209" s="14"/>
      <c r="S1209" s="14"/>
    </row>
    <row r="1210" spans="1:19" ht="14.25">
      <c r="A1210" s="14"/>
      <c r="B1210" s="9"/>
      <c r="C1210" s="9"/>
      <c r="D1210" s="9"/>
      <c r="E1210" s="9"/>
      <c r="F1210" s="9"/>
      <c r="G1210" s="9"/>
      <c r="H1210" s="9"/>
      <c r="I1210" s="9"/>
      <c r="J1210" s="9"/>
      <c r="K1210" s="357"/>
      <c r="L1210" s="9"/>
      <c r="M1210" s="9"/>
      <c r="N1210" s="9"/>
      <c r="O1210" s="9"/>
      <c r="P1210" s="9"/>
      <c r="Q1210" s="9"/>
      <c r="R1210" s="14"/>
      <c r="S1210" s="14"/>
    </row>
    <row r="1211" spans="1:19" ht="14.25">
      <c r="A1211" s="14"/>
      <c r="B1211" s="9"/>
      <c r="C1211" s="9"/>
      <c r="D1211" s="9"/>
      <c r="E1211" s="9"/>
      <c r="F1211" s="9"/>
      <c r="G1211" s="9"/>
      <c r="H1211" s="9"/>
      <c r="I1211" s="9"/>
      <c r="J1211" s="9"/>
      <c r="K1211" s="357"/>
      <c r="L1211" s="9"/>
      <c r="M1211" s="9"/>
      <c r="N1211" s="9"/>
      <c r="O1211" s="9"/>
      <c r="P1211" s="9"/>
      <c r="Q1211" s="9"/>
      <c r="R1211" s="14"/>
      <c r="S1211" s="14"/>
    </row>
    <row r="1212" spans="1:19" ht="14.25">
      <c r="A1212" s="14"/>
      <c r="B1212" s="9"/>
      <c r="C1212" s="9"/>
      <c r="D1212" s="9"/>
      <c r="E1212" s="9"/>
      <c r="F1212" s="9"/>
      <c r="G1212" s="9"/>
      <c r="H1212" s="9"/>
      <c r="I1212" s="9"/>
      <c r="J1212" s="9"/>
      <c r="K1212" s="357"/>
      <c r="L1212" s="9"/>
      <c r="M1212" s="9"/>
      <c r="N1212" s="9"/>
      <c r="O1212" s="9"/>
      <c r="P1212" s="9"/>
      <c r="Q1212" s="9"/>
      <c r="R1212" s="14"/>
      <c r="S1212" s="14"/>
    </row>
    <row r="1213" spans="1:19" ht="14.25">
      <c r="A1213" s="14"/>
      <c r="B1213" s="9"/>
      <c r="C1213" s="9"/>
      <c r="D1213" s="9"/>
      <c r="E1213" s="9"/>
      <c r="F1213" s="9"/>
      <c r="G1213" s="9"/>
      <c r="H1213" s="9"/>
      <c r="I1213" s="9"/>
      <c r="J1213" s="9"/>
      <c r="K1213" s="357"/>
      <c r="L1213" s="9"/>
      <c r="M1213" s="9"/>
      <c r="N1213" s="9"/>
      <c r="O1213" s="9"/>
      <c r="P1213" s="9"/>
      <c r="Q1213" s="9"/>
      <c r="R1213" s="14"/>
      <c r="S1213" s="14"/>
    </row>
    <row r="1214" spans="1:19" ht="14.25">
      <c r="A1214" s="14"/>
      <c r="B1214" s="9"/>
      <c r="C1214" s="9"/>
      <c r="D1214" s="9"/>
      <c r="E1214" s="9"/>
      <c r="F1214" s="9"/>
      <c r="G1214" s="9"/>
      <c r="H1214" s="9"/>
      <c r="I1214" s="9"/>
      <c r="J1214" s="9"/>
      <c r="K1214" s="357"/>
      <c r="L1214" s="9"/>
      <c r="M1214" s="9"/>
      <c r="N1214" s="9"/>
      <c r="O1214" s="9"/>
      <c r="P1214" s="9"/>
      <c r="Q1214" s="9"/>
      <c r="R1214" s="14"/>
      <c r="S1214" s="14"/>
    </row>
    <row r="1215" spans="1:19" ht="14.25">
      <c r="A1215" s="14"/>
      <c r="B1215" s="9"/>
      <c r="C1215" s="9"/>
      <c r="D1215" s="9"/>
      <c r="E1215" s="9"/>
      <c r="F1215" s="9"/>
      <c r="G1215" s="9"/>
      <c r="H1215" s="9"/>
      <c r="I1215" s="9"/>
      <c r="J1215" s="9"/>
      <c r="K1215" s="357"/>
      <c r="L1215" s="9"/>
      <c r="M1215" s="9"/>
      <c r="N1215" s="9"/>
      <c r="O1215" s="9"/>
      <c r="P1215" s="9"/>
      <c r="Q1215" s="9"/>
      <c r="R1215" s="14"/>
      <c r="S1215" s="14"/>
    </row>
    <row r="1216" spans="1:19" ht="14.25">
      <c r="A1216" s="14"/>
      <c r="B1216" s="9"/>
      <c r="C1216" s="9"/>
      <c r="D1216" s="9"/>
      <c r="E1216" s="9"/>
      <c r="F1216" s="9"/>
      <c r="G1216" s="9"/>
      <c r="H1216" s="9"/>
      <c r="I1216" s="9"/>
      <c r="J1216" s="9"/>
      <c r="K1216" s="357"/>
      <c r="L1216" s="9"/>
      <c r="M1216" s="9"/>
      <c r="N1216" s="9"/>
      <c r="O1216" s="9"/>
      <c r="P1216" s="9"/>
      <c r="Q1216" s="9"/>
      <c r="R1216" s="14"/>
      <c r="S1216" s="14"/>
    </row>
    <row r="1217" spans="1:19" ht="14.25">
      <c r="A1217" s="14"/>
      <c r="B1217" s="9"/>
      <c r="C1217" s="9"/>
      <c r="D1217" s="9"/>
      <c r="E1217" s="9"/>
      <c r="F1217" s="9"/>
      <c r="G1217" s="9"/>
      <c r="H1217" s="9"/>
      <c r="I1217" s="9"/>
      <c r="J1217" s="9"/>
      <c r="K1217" s="357"/>
      <c r="L1217" s="9"/>
      <c r="M1217" s="9"/>
      <c r="N1217" s="9"/>
      <c r="O1217" s="9"/>
      <c r="P1217" s="9"/>
      <c r="Q1217" s="9"/>
      <c r="R1217" s="14"/>
      <c r="S1217" s="14"/>
    </row>
    <row r="1218" spans="1:19" ht="14.25">
      <c r="A1218" s="14"/>
      <c r="B1218" s="9"/>
      <c r="C1218" s="9"/>
      <c r="D1218" s="9"/>
      <c r="E1218" s="9"/>
      <c r="F1218" s="9"/>
      <c r="G1218" s="9"/>
      <c r="H1218" s="9"/>
      <c r="I1218" s="9"/>
      <c r="J1218" s="9"/>
      <c r="K1218" s="357"/>
      <c r="L1218" s="9"/>
      <c r="M1218" s="9"/>
      <c r="N1218" s="9"/>
      <c r="O1218" s="9"/>
      <c r="P1218" s="9"/>
      <c r="Q1218" s="9"/>
      <c r="R1218" s="14"/>
      <c r="S1218" s="14"/>
    </row>
    <row r="1219" spans="1:19" ht="14.25">
      <c r="A1219" s="14"/>
      <c r="B1219" s="9"/>
      <c r="C1219" s="9"/>
      <c r="D1219" s="9"/>
      <c r="E1219" s="9"/>
      <c r="F1219" s="9"/>
      <c r="G1219" s="9"/>
      <c r="H1219" s="9"/>
      <c r="I1219" s="9"/>
      <c r="J1219" s="9"/>
      <c r="K1219" s="357"/>
      <c r="L1219" s="9"/>
      <c r="M1219" s="9"/>
      <c r="N1219" s="9"/>
      <c r="O1219" s="9"/>
      <c r="P1219" s="9"/>
      <c r="Q1219" s="9"/>
      <c r="R1219" s="14"/>
      <c r="S1219" s="14"/>
    </row>
    <row r="1220" spans="1:19" ht="14.25">
      <c r="A1220" s="14"/>
      <c r="B1220" s="9"/>
      <c r="C1220" s="9"/>
      <c r="D1220" s="9"/>
      <c r="E1220" s="9"/>
      <c r="F1220" s="9"/>
      <c r="G1220" s="9"/>
      <c r="H1220" s="9"/>
      <c r="I1220" s="9"/>
      <c r="J1220" s="9"/>
      <c r="K1220" s="357"/>
      <c r="L1220" s="9"/>
      <c r="M1220" s="9"/>
      <c r="N1220" s="9"/>
      <c r="O1220" s="9"/>
      <c r="P1220" s="9"/>
      <c r="Q1220" s="9"/>
      <c r="R1220" s="14"/>
      <c r="S1220" s="14"/>
    </row>
    <row r="1221" spans="1:19" ht="14.25">
      <c r="A1221" s="14"/>
      <c r="B1221" s="9"/>
      <c r="C1221" s="9"/>
      <c r="D1221" s="9"/>
      <c r="E1221" s="9"/>
      <c r="F1221" s="9"/>
      <c r="G1221" s="9"/>
      <c r="H1221" s="9"/>
      <c r="I1221" s="9"/>
      <c r="J1221" s="9"/>
      <c r="K1221" s="357"/>
      <c r="L1221" s="9"/>
      <c r="M1221" s="9"/>
      <c r="N1221" s="9"/>
      <c r="O1221" s="9"/>
      <c r="P1221" s="9"/>
      <c r="Q1221" s="9"/>
      <c r="R1221" s="14"/>
      <c r="S1221" s="14"/>
    </row>
    <row r="1222" spans="1:19" ht="14.25">
      <c r="A1222" s="14"/>
      <c r="B1222" s="9"/>
      <c r="C1222" s="9"/>
      <c r="D1222" s="9"/>
      <c r="E1222" s="9"/>
      <c r="F1222" s="9"/>
      <c r="G1222" s="9"/>
      <c r="H1222" s="9"/>
      <c r="I1222" s="9"/>
      <c r="J1222" s="9"/>
      <c r="K1222" s="357"/>
      <c r="L1222" s="9"/>
      <c r="M1222" s="9"/>
      <c r="N1222" s="9"/>
      <c r="O1222" s="9"/>
      <c r="P1222" s="9"/>
      <c r="Q1222" s="9"/>
      <c r="R1222" s="14"/>
      <c r="S1222" s="14"/>
    </row>
    <row r="1223" spans="1:19" ht="14.25">
      <c r="A1223" s="14"/>
      <c r="B1223" s="9"/>
      <c r="C1223" s="9"/>
      <c r="D1223" s="9"/>
      <c r="E1223" s="9"/>
      <c r="F1223" s="9"/>
      <c r="G1223" s="9"/>
      <c r="H1223" s="9"/>
      <c r="I1223" s="9"/>
      <c r="J1223" s="9"/>
      <c r="K1223" s="357"/>
      <c r="L1223" s="9"/>
      <c r="M1223" s="9"/>
      <c r="N1223" s="9"/>
      <c r="O1223" s="9"/>
      <c r="P1223" s="9"/>
      <c r="Q1223" s="9"/>
      <c r="R1223" s="14"/>
      <c r="S1223" s="14"/>
    </row>
    <row r="1224" spans="1:19" ht="14.25">
      <c r="A1224" s="14"/>
      <c r="B1224" s="9"/>
      <c r="C1224" s="9"/>
      <c r="D1224" s="9"/>
      <c r="E1224" s="9"/>
      <c r="F1224" s="9"/>
      <c r="G1224" s="9"/>
      <c r="H1224" s="9"/>
      <c r="I1224" s="9"/>
      <c r="J1224" s="9"/>
      <c r="K1224" s="357"/>
      <c r="L1224" s="9"/>
      <c r="M1224" s="9"/>
      <c r="N1224" s="9"/>
      <c r="O1224" s="9"/>
      <c r="P1224" s="9"/>
      <c r="Q1224" s="9"/>
      <c r="R1224" s="14"/>
      <c r="S1224" s="14"/>
    </row>
    <row r="1225" spans="1:19" ht="14.25">
      <c r="A1225" s="14"/>
      <c r="B1225" s="9"/>
      <c r="C1225" s="9"/>
      <c r="D1225" s="9"/>
      <c r="E1225" s="9"/>
      <c r="F1225" s="9"/>
      <c r="G1225" s="9"/>
      <c r="H1225" s="9"/>
      <c r="I1225" s="9"/>
      <c r="J1225" s="9"/>
      <c r="K1225" s="357"/>
      <c r="L1225" s="9"/>
      <c r="M1225" s="9"/>
      <c r="N1225" s="9"/>
      <c r="O1225" s="9"/>
      <c r="P1225" s="9"/>
      <c r="Q1225" s="9"/>
      <c r="R1225" s="14"/>
      <c r="S1225" s="14"/>
    </row>
    <row r="1226" spans="1:19" ht="14.25">
      <c r="A1226" s="14"/>
      <c r="B1226" s="9"/>
      <c r="C1226" s="9"/>
      <c r="D1226" s="9"/>
      <c r="E1226" s="9"/>
      <c r="F1226" s="9"/>
      <c r="G1226" s="9"/>
      <c r="H1226" s="9"/>
      <c r="I1226" s="9"/>
      <c r="J1226" s="9"/>
      <c r="K1226" s="357"/>
      <c r="L1226" s="9"/>
      <c r="M1226" s="9"/>
      <c r="N1226" s="9"/>
      <c r="O1226" s="9"/>
      <c r="P1226" s="9"/>
      <c r="Q1226" s="9"/>
      <c r="R1226" s="14"/>
      <c r="S1226" s="14"/>
    </row>
    <row r="1227" spans="1:19" ht="14.25">
      <c r="A1227" s="14"/>
      <c r="B1227" s="9"/>
      <c r="C1227" s="9"/>
      <c r="D1227" s="9"/>
      <c r="E1227" s="9"/>
      <c r="F1227" s="9"/>
      <c r="G1227" s="9"/>
      <c r="H1227" s="9"/>
      <c r="I1227" s="9"/>
      <c r="J1227" s="9"/>
      <c r="K1227" s="357"/>
      <c r="L1227" s="9"/>
      <c r="M1227" s="9"/>
      <c r="N1227" s="9"/>
      <c r="O1227" s="9"/>
      <c r="P1227" s="9"/>
      <c r="Q1227" s="9"/>
      <c r="R1227" s="14"/>
      <c r="S1227" s="14"/>
    </row>
    <row r="1228" spans="1:19" ht="14.25">
      <c r="A1228" s="14"/>
      <c r="B1228" s="9"/>
      <c r="C1228" s="9"/>
      <c r="D1228" s="9"/>
      <c r="E1228" s="9"/>
      <c r="F1228" s="9"/>
      <c r="G1228" s="9"/>
      <c r="H1228" s="9"/>
      <c r="I1228" s="9"/>
      <c r="J1228" s="9"/>
      <c r="K1228" s="357"/>
      <c r="L1228" s="9"/>
      <c r="M1228" s="9"/>
      <c r="N1228" s="9"/>
      <c r="O1228" s="9"/>
      <c r="P1228" s="9"/>
      <c r="Q1228" s="9"/>
      <c r="R1228" s="14"/>
      <c r="S1228" s="14"/>
    </row>
    <row r="1229" spans="1:19" ht="14.25">
      <c r="A1229" s="14"/>
      <c r="B1229" s="9"/>
      <c r="C1229" s="9"/>
      <c r="D1229" s="9"/>
      <c r="E1229" s="9"/>
      <c r="F1229" s="9"/>
      <c r="G1229" s="9"/>
      <c r="H1229" s="9"/>
      <c r="I1229" s="9"/>
      <c r="J1229" s="9"/>
      <c r="K1229" s="357"/>
      <c r="L1229" s="9"/>
      <c r="M1229" s="9"/>
      <c r="N1229" s="9"/>
      <c r="O1229" s="9"/>
      <c r="P1229" s="9"/>
      <c r="Q1229" s="9"/>
      <c r="R1229" s="14"/>
      <c r="S1229" s="14"/>
    </row>
    <row r="1230" spans="1:19" ht="14.25">
      <c r="A1230" s="14"/>
      <c r="B1230" s="9"/>
      <c r="C1230" s="9"/>
      <c r="D1230" s="9"/>
      <c r="E1230" s="9"/>
      <c r="F1230" s="9"/>
      <c r="G1230" s="9"/>
      <c r="H1230" s="9"/>
      <c r="I1230" s="9"/>
      <c r="J1230" s="9"/>
      <c r="K1230" s="357"/>
      <c r="L1230" s="9"/>
      <c r="M1230" s="9"/>
      <c r="N1230" s="9"/>
      <c r="O1230" s="9"/>
      <c r="P1230" s="9"/>
      <c r="Q1230" s="9"/>
      <c r="R1230" s="14"/>
      <c r="S1230" s="14"/>
    </row>
    <row r="1231" spans="1:19" ht="14.25">
      <c r="A1231" s="14"/>
      <c r="B1231" s="9"/>
      <c r="C1231" s="9"/>
      <c r="D1231" s="9"/>
      <c r="E1231" s="9"/>
      <c r="F1231" s="9"/>
      <c r="G1231" s="9"/>
      <c r="H1231" s="9"/>
      <c r="I1231" s="9"/>
      <c r="J1231" s="9"/>
      <c r="K1231" s="357"/>
      <c r="L1231" s="9"/>
      <c r="M1231" s="9"/>
      <c r="N1231" s="9"/>
      <c r="O1231" s="9"/>
      <c r="P1231" s="9"/>
      <c r="Q1231" s="9"/>
      <c r="R1231" s="14"/>
      <c r="S1231" s="14"/>
    </row>
    <row r="1232" spans="1:19" ht="14.25">
      <c r="A1232" s="14"/>
      <c r="B1232" s="9"/>
      <c r="C1232" s="9"/>
      <c r="D1232" s="9"/>
      <c r="E1232" s="9"/>
      <c r="F1232" s="9"/>
      <c r="G1232" s="9"/>
      <c r="H1232" s="9"/>
      <c r="I1232" s="9"/>
      <c r="J1232" s="9"/>
      <c r="K1232" s="357"/>
      <c r="L1232" s="9"/>
      <c r="M1232" s="9"/>
      <c r="N1232" s="9"/>
      <c r="O1232" s="9"/>
      <c r="P1232" s="9"/>
      <c r="Q1232" s="9"/>
      <c r="R1232" s="14"/>
      <c r="S1232" s="14"/>
    </row>
    <row r="1233" spans="1:19" ht="14.25">
      <c r="A1233" s="14"/>
      <c r="B1233" s="9"/>
      <c r="C1233" s="9"/>
      <c r="D1233" s="9"/>
      <c r="E1233" s="9"/>
      <c r="F1233" s="9"/>
      <c r="G1233" s="9"/>
      <c r="H1233" s="9"/>
      <c r="I1233" s="9"/>
      <c r="J1233" s="9"/>
      <c r="K1233" s="357"/>
      <c r="L1233" s="9"/>
      <c r="M1233" s="9"/>
      <c r="N1233" s="9"/>
      <c r="O1233" s="9"/>
      <c r="P1233" s="9"/>
      <c r="Q1233" s="9"/>
      <c r="R1233" s="14"/>
      <c r="S1233" s="14"/>
    </row>
    <row r="1234" spans="1:19" ht="14.25">
      <c r="A1234" s="14"/>
      <c r="B1234" s="9"/>
      <c r="C1234" s="9"/>
      <c r="D1234" s="9"/>
      <c r="E1234" s="9"/>
      <c r="F1234" s="9"/>
      <c r="G1234" s="9"/>
      <c r="H1234" s="9"/>
      <c r="I1234" s="9"/>
      <c r="J1234" s="9"/>
      <c r="K1234" s="357"/>
      <c r="L1234" s="9"/>
      <c r="M1234" s="9"/>
      <c r="N1234" s="9"/>
      <c r="O1234" s="9"/>
      <c r="P1234" s="9"/>
      <c r="Q1234" s="9"/>
      <c r="R1234" s="14"/>
      <c r="S1234" s="14"/>
    </row>
    <row r="1235" spans="1:19" ht="14.25">
      <c r="A1235" s="14"/>
      <c r="B1235" s="9"/>
      <c r="C1235" s="9"/>
      <c r="D1235" s="9"/>
      <c r="E1235" s="9"/>
      <c r="F1235" s="9"/>
      <c r="G1235" s="9"/>
      <c r="H1235" s="9"/>
      <c r="I1235" s="9"/>
      <c r="J1235" s="9"/>
      <c r="K1235" s="357"/>
      <c r="L1235" s="9"/>
      <c r="M1235" s="9"/>
      <c r="N1235" s="9"/>
      <c r="O1235" s="9"/>
      <c r="P1235" s="9"/>
      <c r="Q1235" s="9"/>
      <c r="R1235" s="14"/>
      <c r="S1235" s="14"/>
    </row>
    <row r="1236" spans="1:19" ht="14.25">
      <c r="A1236" s="14"/>
      <c r="B1236" s="9"/>
      <c r="C1236" s="9"/>
      <c r="D1236" s="9"/>
      <c r="E1236" s="9"/>
      <c r="F1236" s="9"/>
      <c r="G1236" s="9"/>
      <c r="H1236" s="9"/>
      <c r="I1236" s="9"/>
      <c r="J1236" s="9"/>
      <c r="K1236" s="357"/>
      <c r="L1236" s="9"/>
      <c r="M1236" s="9"/>
      <c r="N1236" s="9"/>
      <c r="O1236" s="9"/>
      <c r="P1236" s="9"/>
      <c r="Q1236" s="9"/>
      <c r="R1236" s="14"/>
      <c r="S1236" s="14"/>
    </row>
    <row r="1237" spans="1:19" ht="14.25">
      <c r="A1237" s="14"/>
      <c r="B1237" s="9"/>
      <c r="C1237" s="9"/>
      <c r="D1237" s="9"/>
      <c r="E1237" s="9"/>
      <c r="F1237" s="9"/>
      <c r="G1237" s="9"/>
      <c r="H1237" s="9"/>
      <c r="I1237" s="9"/>
      <c r="J1237" s="9"/>
      <c r="K1237" s="357"/>
      <c r="L1237" s="9"/>
      <c r="M1237" s="9"/>
      <c r="N1237" s="9"/>
      <c r="O1237" s="9"/>
      <c r="P1237" s="9"/>
      <c r="Q1237" s="9"/>
      <c r="R1237" s="14"/>
      <c r="S1237" s="14"/>
    </row>
    <row r="1238" spans="1:19" ht="14.25">
      <c r="A1238" s="14"/>
      <c r="B1238" s="9"/>
      <c r="C1238" s="9"/>
      <c r="D1238" s="9"/>
      <c r="E1238" s="9"/>
      <c r="F1238" s="9"/>
      <c r="G1238" s="9"/>
      <c r="H1238" s="9"/>
      <c r="I1238" s="9"/>
      <c r="J1238" s="9"/>
      <c r="K1238" s="357"/>
      <c r="L1238" s="9"/>
      <c r="M1238" s="9"/>
      <c r="N1238" s="9"/>
      <c r="O1238" s="9"/>
      <c r="P1238" s="9"/>
      <c r="Q1238" s="9"/>
      <c r="R1238" s="14"/>
      <c r="S1238" s="14"/>
    </row>
    <row r="1239" spans="1:19" ht="14.25">
      <c r="A1239" s="14"/>
      <c r="B1239" s="9"/>
      <c r="C1239" s="9"/>
      <c r="D1239" s="9"/>
      <c r="E1239" s="9"/>
      <c r="F1239" s="9"/>
      <c r="G1239" s="9"/>
      <c r="H1239" s="9"/>
      <c r="I1239" s="9"/>
      <c r="J1239" s="9"/>
      <c r="K1239" s="357"/>
      <c r="L1239" s="9"/>
      <c r="M1239" s="9"/>
      <c r="N1239" s="9"/>
      <c r="O1239" s="9"/>
      <c r="P1239" s="9"/>
      <c r="Q1239" s="9"/>
      <c r="R1239" s="14"/>
      <c r="S1239" s="14"/>
    </row>
    <row r="1240" spans="1:19" ht="14.25">
      <c r="A1240" s="14"/>
      <c r="B1240" s="9"/>
      <c r="C1240" s="9"/>
      <c r="D1240" s="9"/>
      <c r="E1240" s="9"/>
      <c r="F1240" s="9"/>
      <c r="G1240" s="9"/>
      <c r="H1240" s="9"/>
      <c r="I1240" s="9"/>
      <c r="J1240" s="9"/>
      <c r="K1240" s="357"/>
      <c r="L1240" s="9"/>
      <c r="M1240" s="9"/>
      <c r="N1240" s="9"/>
      <c r="O1240" s="9"/>
      <c r="P1240" s="9"/>
      <c r="Q1240" s="9"/>
      <c r="R1240" s="14"/>
      <c r="S1240" s="14"/>
    </row>
    <row r="1241" spans="1:19" ht="14.25">
      <c r="A1241" s="14"/>
      <c r="B1241" s="9"/>
      <c r="C1241" s="9"/>
      <c r="D1241" s="9"/>
      <c r="E1241" s="9"/>
      <c r="F1241" s="9"/>
      <c r="G1241" s="9"/>
      <c r="H1241" s="9"/>
      <c r="I1241" s="9"/>
      <c r="J1241" s="9"/>
      <c r="K1241" s="357"/>
      <c r="L1241" s="9"/>
      <c r="M1241" s="9"/>
      <c r="N1241" s="9"/>
      <c r="O1241" s="9"/>
      <c r="P1241" s="9"/>
      <c r="Q1241" s="9"/>
      <c r="R1241" s="14"/>
      <c r="S1241" s="14"/>
    </row>
    <row r="1242" spans="1:19" ht="14.25">
      <c r="A1242" s="14"/>
      <c r="B1242" s="9"/>
      <c r="C1242" s="9"/>
      <c r="D1242" s="9"/>
      <c r="E1242" s="9"/>
      <c r="F1242" s="9"/>
      <c r="G1242" s="9"/>
      <c r="H1242" s="9"/>
      <c r="I1242" s="9"/>
      <c r="J1242" s="9"/>
      <c r="K1242" s="357"/>
      <c r="L1242" s="9"/>
      <c r="M1242" s="9"/>
      <c r="N1242" s="9"/>
      <c r="O1242" s="9"/>
      <c r="P1242" s="9"/>
      <c r="Q1242" s="9"/>
      <c r="R1242" s="14"/>
      <c r="S1242" s="14"/>
    </row>
    <row r="1243" spans="1:19" ht="14.25">
      <c r="A1243" s="14"/>
      <c r="B1243" s="9"/>
      <c r="C1243" s="9"/>
      <c r="D1243" s="9"/>
      <c r="E1243" s="9"/>
      <c r="F1243" s="9"/>
      <c r="G1243" s="9"/>
      <c r="H1243" s="9"/>
      <c r="I1243" s="9"/>
      <c r="J1243" s="9"/>
      <c r="K1243" s="357"/>
      <c r="L1243" s="9"/>
      <c r="M1243" s="9"/>
      <c r="N1243" s="9"/>
      <c r="O1243" s="9"/>
      <c r="P1243" s="9"/>
      <c r="Q1243" s="9"/>
      <c r="R1243" s="14"/>
      <c r="S1243" s="14"/>
    </row>
    <row r="1244" spans="1:19" ht="14.25">
      <c r="A1244" s="14"/>
      <c r="B1244" s="9"/>
      <c r="C1244" s="9"/>
      <c r="D1244" s="9"/>
      <c r="E1244" s="9"/>
      <c r="F1244" s="9"/>
      <c r="G1244" s="9"/>
      <c r="H1244" s="9"/>
      <c r="I1244" s="9"/>
      <c r="J1244" s="9"/>
      <c r="K1244" s="357"/>
      <c r="L1244" s="9"/>
      <c r="M1244" s="9"/>
      <c r="N1244" s="9"/>
      <c r="O1244" s="9"/>
      <c r="P1244" s="9"/>
      <c r="Q1244" s="9"/>
      <c r="R1244" s="14"/>
      <c r="S1244" s="14"/>
    </row>
    <row r="1245" spans="1:19" ht="14.25">
      <c r="A1245" s="14"/>
      <c r="B1245" s="9"/>
      <c r="C1245" s="9"/>
      <c r="D1245" s="9"/>
      <c r="E1245" s="9"/>
      <c r="F1245" s="9"/>
      <c r="G1245" s="9"/>
      <c r="H1245" s="9"/>
      <c r="I1245" s="9"/>
      <c r="J1245" s="9"/>
      <c r="K1245" s="357"/>
      <c r="L1245" s="9"/>
      <c r="M1245" s="9"/>
      <c r="N1245" s="9"/>
      <c r="O1245" s="9"/>
      <c r="P1245" s="9"/>
      <c r="Q1245" s="9"/>
      <c r="R1245" s="14"/>
      <c r="S1245" s="14"/>
    </row>
    <row r="1246" spans="1:19" ht="14.25">
      <c r="A1246" s="14"/>
      <c r="B1246" s="9"/>
      <c r="C1246" s="9"/>
      <c r="D1246" s="9"/>
      <c r="E1246" s="9"/>
      <c r="F1246" s="9"/>
      <c r="G1246" s="9"/>
      <c r="H1246" s="9"/>
      <c r="I1246" s="9"/>
      <c r="J1246" s="9"/>
      <c r="K1246" s="357"/>
      <c r="L1246" s="9"/>
      <c r="M1246" s="9"/>
      <c r="N1246" s="9"/>
      <c r="O1246" s="9"/>
      <c r="P1246" s="9"/>
      <c r="Q1246" s="9"/>
      <c r="R1246" s="14"/>
      <c r="S1246" s="14"/>
    </row>
    <row r="1247" spans="1:19" ht="14.25">
      <c r="A1247" s="14"/>
      <c r="B1247" s="9"/>
      <c r="C1247" s="9"/>
      <c r="D1247" s="9"/>
      <c r="E1247" s="9"/>
      <c r="F1247" s="9"/>
      <c r="G1247" s="9"/>
      <c r="H1247" s="9"/>
      <c r="I1247" s="9"/>
      <c r="J1247" s="9"/>
      <c r="K1247" s="357"/>
      <c r="L1247" s="9"/>
      <c r="M1247" s="9"/>
      <c r="N1247" s="9"/>
      <c r="O1247" s="9"/>
      <c r="P1247" s="9"/>
      <c r="Q1247" s="9"/>
      <c r="R1247" s="14"/>
      <c r="S1247" s="14"/>
    </row>
    <row r="1248" spans="1:19" ht="14.25">
      <c r="A1248" s="14"/>
      <c r="B1248" s="9"/>
      <c r="C1248" s="9"/>
      <c r="D1248" s="9"/>
      <c r="E1248" s="9"/>
      <c r="F1248" s="9"/>
      <c r="G1248" s="9"/>
      <c r="H1248" s="9"/>
      <c r="I1248" s="9"/>
      <c r="J1248" s="9"/>
      <c r="K1248" s="357"/>
      <c r="L1248" s="9"/>
      <c r="M1248" s="9"/>
      <c r="N1248" s="9"/>
      <c r="O1248" s="9"/>
      <c r="P1248" s="9"/>
      <c r="Q1248" s="9"/>
      <c r="R1248" s="14"/>
      <c r="S1248" s="14"/>
    </row>
    <row r="1249" spans="1:19" ht="14.25">
      <c r="A1249" s="14"/>
      <c r="B1249" s="9"/>
      <c r="C1249" s="9"/>
      <c r="D1249" s="9"/>
      <c r="E1249" s="9"/>
      <c r="F1249" s="9"/>
      <c r="G1249" s="9"/>
      <c r="H1249" s="9"/>
      <c r="I1249" s="9"/>
      <c r="J1249" s="9"/>
      <c r="K1249" s="357"/>
      <c r="L1249" s="9"/>
      <c r="M1249" s="9"/>
      <c r="N1249" s="9"/>
      <c r="O1249" s="9"/>
      <c r="P1249" s="9"/>
      <c r="Q1249" s="9"/>
      <c r="R1249" s="14"/>
      <c r="S1249" s="14"/>
    </row>
    <row r="1250" spans="1:19" ht="14.25">
      <c r="A1250" s="14"/>
      <c r="B1250" s="9"/>
      <c r="C1250" s="9"/>
      <c r="D1250" s="9"/>
      <c r="E1250" s="9"/>
      <c r="F1250" s="9"/>
      <c r="G1250" s="9"/>
      <c r="H1250" s="9"/>
      <c r="I1250" s="9"/>
      <c r="J1250" s="9"/>
      <c r="K1250" s="357"/>
      <c r="L1250" s="9"/>
      <c r="M1250" s="9"/>
      <c r="N1250" s="9"/>
      <c r="O1250" s="9"/>
      <c r="P1250" s="9"/>
      <c r="Q1250" s="9"/>
      <c r="R1250" s="14"/>
      <c r="S1250" s="14"/>
    </row>
    <row r="1251" spans="1:19" ht="14.25">
      <c r="A1251" s="14"/>
      <c r="B1251" s="9"/>
      <c r="C1251" s="9"/>
      <c r="D1251" s="9"/>
      <c r="E1251" s="9"/>
      <c r="F1251" s="9"/>
      <c r="G1251" s="9"/>
      <c r="H1251" s="9"/>
      <c r="I1251" s="9"/>
      <c r="J1251" s="9"/>
      <c r="K1251" s="357"/>
      <c r="L1251" s="9"/>
      <c r="M1251" s="9"/>
      <c r="N1251" s="9"/>
      <c r="O1251" s="9"/>
      <c r="P1251" s="9"/>
      <c r="Q1251" s="9"/>
      <c r="R1251" s="14"/>
      <c r="S1251" s="14"/>
    </row>
    <row r="1252" spans="1:19" ht="14.25">
      <c r="A1252" s="14"/>
      <c r="B1252" s="9"/>
      <c r="C1252" s="9"/>
      <c r="D1252" s="9"/>
      <c r="E1252" s="9"/>
      <c r="F1252" s="9"/>
      <c r="G1252" s="9"/>
      <c r="H1252" s="9"/>
      <c r="I1252" s="9"/>
      <c r="J1252" s="9"/>
      <c r="K1252" s="357"/>
      <c r="L1252" s="9"/>
      <c r="M1252" s="9"/>
      <c r="N1252" s="9"/>
      <c r="O1252" s="9"/>
      <c r="P1252" s="9"/>
      <c r="Q1252" s="9"/>
      <c r="R1252" s="14"/>
      <c r="S1252" s="14"/>
    </row>
    <row r="1253" spans="1:19" ht="14.25">
      <c r="A1253" s="14"/>
      <c r="B1253" s="9"/>
      <c r="C1253" s="9"/>
      <c r="D1253" s="9"/>
      <c r="E1253" s="9"/>
      <c r="F1253" s="9"/>
      <c r="G1253" s="9"/>
      <c r="H1253" s="9"/>
      <c r="I1253" s="9"/>
      <c r="J1253" s="9"/>
      <c r="K1253" s="357"/>
      <c r="L1253" s="9"/>
      <c r="M1253" s="9"/>
      <c r="N1253" s="9"/>
      <c r="O1253" s="9"/>
      <c r="P1253" s="9"/>
      <c r="Q1253" s="9"/>
      <c r="R1253" s="14"/>
      <c r="S1253" s="14"/>
    </row>
    <row r="1254" spans="1:19" ht="14.25">
      <c r="A1254" s="14"/>
      <c r="B1254" s="9"/>
      <c r="C1254" s="9"/>
      <c r="D1254" s="9"/>
      <c r="E1254" s="9"/>
      <c r="F1254" s="9"/>
      <c r="G1254" s="9"/>
      <c r="H1254" s="9"/>
      <c r="I1254" s="9"/>
      <c r="J1254" s="9"/>
      <c r="K1254" s="357"/>
      <c r="L1254" s="9"/>
      <c r="M1254" s="9"/>
      <c r="N1254" s="9"/>
      <c r="O1254" s="9"/>
      <c r="P1254" s="9"/>
      <c r="Q1254" s="9"/>
      <c r="R1254" s="14"/>
      <c r="S1254" s="14"/>
    </row>
    <row r="1255" spans="1:19" ht="14.25">
      <c r="A1255" s="14"/>
      <c r="B1255" s="9"/>
      <c r="C1255" s="9"/>
      <c r="D1255" s="9"/>
      <c r="E1255" s="9"/>
      <c r="F1255" s="9"/>
      <c r="G1255" s="9"/>
      <c r="H1255" s="9"/>
      <c r="I1255" s="9"/>
      <c r="J1255" s="9"/>
      <c r="K1255" s="357"/>
      <c r="L1255" s="9"/>
      <c r="M1255" s="9"/>
      <c r="N1255" s="9"/>
      <c r="O1255" s="9"/>
      <c r="P1255" s="9"/>
      <c r="Q1255" s="9"/>
      <c r="R1255" s="14"/>
      <c r="S1255" s="14"/>
    </row>
    <row r="1256" spans="1:19" ht="14.25">
      <c r="A1256" s="14"/>
      <c r="B1256" s="9"/>
      <c r="C1256" s="9"/>
      <c r="D1256" s="9"/>
      <c r="E1256" s="9"/>
      <c r="F1256" s="9"/>
      <c r="G1256" s="9"/>
      <c r="H1256" s="9"/>
      <c r="I1256" s="9"/>
      <c r="J1256" s="9"/>
      <c r="K1256" s="357"/>
      <c r="L1256" s="9"/>
      <c r="M1256" s="9"/>
      <c r="N1256" s="9"/>
      <c r="O1256" s="9"/>
      <c r="P1256" s="9"/>
      <c r="Q1256" s="9"/>
      <c r="R1256" s="14"/>
      <c r="S1256" s="14"/>
    </row>
    <row r="1257" spans="1:19" ht="14.25">
      <c r="A1257" s="14"/>
      <c r="B1257" s="9"/>
      <c r="C1257" s="9"/>
      <c r="D1257" s="9"/>
      <c r="E1257" s="9"/>
      <c r="F1257" s="9"/>
      <c r="G1257" s="9"/>
      <c r="H1257" s="9"/>
      <c r="I1257" s="9"/>
      <c r="J1257" s="9"/>
      <c r="K1257" s="357"/>
      <c r="L1257" s="9"/>
      <c r="M1257" s="9"/>
      <c r="N1257" s="9"/>
      <c r="O1257" s="9"/>
      <c r="P1257" s="9"/>
      <c r="Q1257" s="9"/>
      <c r="R1257" s="14"/>
      <c r="S1257" s="14"/>
    </row>
    <row r="1258" spans="1:19" ht="14.25">
      <c r="A1258" s="14"/>
      <c r="B1258" s="9"/>
      <c r="C1258" s="9"/>
      <c r="D1258" s="9"/>
      <c r="E1258" s="9"/>
      <c r="F1258" s="9"/>
      <c r="G1258" s="9"/>
      <c r="H1258" s="9"/>
      <c r="I1258" s="9"/>
      <c r="J1258" s="9"/>
      <c r="K1258" s="357"/>
      <c r="L1258" s="9"/>
      <c r="M1258" s="9"/>
      <c r="N1258" s="9"/>
      <c r="O1258" s="9"/>
      <c r="P1258" s="9"/>
      <c r="Q1258" s="9"/>
      <c r="R1258" s="14"/>
      <c r="S1258" s="14"/>
    </row>
    <row r="1259" spans="1:19" ht="14.25">
      <c r="A1259" s="14"/>
      <c r="B1259" s="9"/>
      <c r="C1259" s="9"/>
      <c r="D1259" s="9"/>
      <c r="E1259" s="9"/>
      <c r="F1259" s="9"/>
      <c r="G1259" s="9"/>
      <c r="H1259" s="9"/>
      <c r="I1259" s="9"/>
      <c r="J1259" s="9"/>
      <c r="K1259" s="357"/>
      <c r="L1259" s="9"/>
      <c r="M1259" s="9"/>
      <c r="N1259" s="9"/>
      <c r="O1259" s="9"/>
      <c r="P1259" s="9"/>
      <c r="Q1259" s="9"/>
      <c r="R1259" s="14"/>
      <c r="S1259" s="14"/>
    </row>
    <row r="1260" spans="1:19" ht="14.25">
      <c r="A1260" s="14"/>
      <c r="B1260" s="9"/>
      <c r="C1260" s="9"/>
      <c r="D1260" s="9"/>
      <c r="E1260" s="9"/>
      <c r="F1260" s="9"/>
      <c r="G1260" s="9"/>
      <c r="H1260" s="9"/>
      <c r="I1260" s="9"/>
      <c r="J1260" s="9"/>
      <c r="K1260" s="357"/>
      <c r="L1260" s="9"/>
      <c r="M1260" s="9"/>
      <c r="N1260" s="9"/>
      <c r="O1260" s="9"/>
      <c r="P1260" s="9"/>
      <c r="Q1260" s="9"/>
      <c r="R1260" s="14"/>
      <c r="S1260" s="14"/>
    </row>
    <row r="1261" spans="1:19" ht="14.25">
      <c r="A1261" s="14"/>
      <c r="B1261" s="9"/>
      <c r="C1261" s="9"/>
      <c r="D1261" s="9"/>
      <c r="E1261" s="9"/>
      <c r="F1261" s="9"/>
      <c r="G1261" s="9"/>
      <c r="H1261" s="9"/>
      <c r="I1261" s="9"/>
      <c r="J1261" s="9"/>
      <c r="K1261" s="357"/>
      <c r="L1261" s="9"/>
      <c r="M1261" s="9"/>
      <c r="N1261" s="9"/>
      <c r="O1261" s="9"/>
      <c r="P1261" s="9"/>
      <c r="Q1261" s="9"/>
      <c r="R1261" s="14"/>
      <c r="S1261" s="14"/>
    </row>
    <row r="1262" spans="1:19" ht="14.25">
      <c r="A1262" s="14"/>
      <c r="B1262" s="9"/>
      <c r="C1262" s="9"/>
      <c r="D1262" s="9"/>
      <c r="E1262" s="9"/>
      <c r="F1262" s="9"/>
      <c r="G1262" s="9"/>
      <c r="H1262" s="9"/>
      <c r="I1262" s="9"/>
      <c r="J1262" s="9"/>
      <c r="K1262" s="357"/>
      <c r="L1262" s="9"/>
      <c r="M1262" s="9"/>
      <c r="N1262" s="9"/>
      <c r="O1262" s="9"/>
      <c r="P1262" s="9"/>
      <c r="Q1262" s="9"/>
      <c r="R1262" s="14"/>
      <c r="S1262" s="14"/>
    </row>
    <row r="1263" spans="1:19" ht="14.25">
      <c r="A1263" s="14"/>
      <c r="B1263" s="9"/>
      <c r="C1263" s="9"/>
      <c r="D1263" s="9"/>
      <c r="E1263" s="9"/>
      <c r="F1263" s="9"/>
      <c r="G1263" s="9"/>
      <c r="H1263" s="9"/>
      <c r="I1263" s="9"/>
      <c r="J1263" s="9"/>
      <c r="K1263" s="357"/>
      <c r="L1263" s="9"/>
      <c r="M1263" s="9"/>
      <c r="N1263" s="9"/>
      <c r="O1263" s="9"/>
      <c r="P1263" s="9"/>
      <c r="Q1263" s="9"/>
      <c r="R1263" s="14"/>
      <c r="S1263" s="14"/>
    </row>
    <row r="1264" spans="1:19" ht="14.25">
      <c r="A1264" s="14"/>
      <c r="B1264" s="9"/>
      <c r="C1264" s="9"/>
      <c r="D1264" s="9"/>
      <c r="E1264" s="9"/>
      <c r="F1264" s="9"/>
      <c r="G1264" s="9"/>
      <c r="H1264" s="9"/>
      <c r="I1264" s="9"/>
      <c r="J1264" s="9"/>
      <c r="K1264" s="357"/>
      <c r="L1264" s="9"/>
      <c r="M1264" s="9"/>
      <c r="N1264" s="9"/>
      <c r="O1264" s="9"/>
      <c r="P1264" s="9"/>
      <c r="Q1264" s="9"/>
      <c r="R1264" s="14"/>
      <c r="S1264" s="14"/>
    </row>
    <row r="1265" spans="1:19" ht="14.25">
      <c r="A1265" s="14"/>
      <c r="B1265" s="9"/>
      <c r="C1265" s="9"/>
      <c r="D1265" s="9"/>
      <c r="E1265" s="9"/>
      <c r="F1265" s="9"/>
      <c r="G1265" s="9"/>
      <c r="H1265" s="9"/>
      <c r="I1265" s="9"/>
      <c r="J1265" s="9"/>
      <c r="K1265" s="357"/>
      <c r="L1265" s="9"/>
      <c r="M1265" s="9"/>
      <c r="N1265" s="9"/>
      <c r="O1265" s="9"/>
      <c r="P1265" s="9"/>
      <c r="Q1265" s="9"/>
      <c r="R1265" s="14"/>
      <c r="S1265" s="14"/>
    </row>
    <row r="1266" spans="1:19" ht="14.25">
      <c r="A1266" s="14"/>
      <c r="B1266" s="9"/>
      <c r="C1266" s="9"/>
      <c r="D1266" s="9"/>
      <c r="E1266" s="9"/>
      <c r="F1266" s="9"/>
      <c r="G1266" s="9"/>
      <c r="H1266" s="9"/>
      <c r="I1266" s="9"/>
      <c r="J1266" s="9"/>
      <c r="K1266" s="357"/>
      <c r="L1266" s="9"/>
      <c r="M1266" s="9"/>
      <c r="N1266" s="9"/>
      <c r="O1266" s="9"/>
      <c r="P1266" s="9"/>
      <c r="Q1266" s="9"/>
      <c r="R1266" s="14"/>
      <c r="S1266" s="14"/>
    </row>
    <row r="1267" spans="1:19" ht="14.25">
      <c r="A1267" s="14"/>
      <c r="B1267" s="9"/>
      <c r="C1267" s="9"/>
      <c r="D1267" s="9"/>
      <c r="E1267" s="9"/>
      <c r="F1267" s="9"/>
      <c r="G1267" s="9"/>
      <c r="H1267" s="9"/>
      <c r="I1267" s="9"/>
      <c r="J1267" s="9"/>
      <c r="K1267" s="357"/>
      <c r="L1267" s="9"/>
      <c r="M1267" s="9"/>
      <c r="N1267" s="9"/>
      <c r="O1267" s="9"/>
      <c r="P1267" s="9"/>
      <c r="Q1267" s="9"/>
      <c r="R1267" s="14"/>
      <c r="S1267" s="14"/>
    </row>
    <row r="1268" spans="1:19" ht="14.25">
      <c r="A1268" s="14"/>
      <c r="B1268" s="9"/>
      <c r="C1268" s="9"/>
      <c r="D1268" s="9"/>
      <c r="E1268" s="9"/>
      <c r="F1268" s="9"/>
      <c r="G1268" s="9"/>
      <c r="H1268" s="9"/>
      <c r="I1268" s="9"/>
      <c r="J1268" s="9"/>
      <c r="K1268" s="357"/>
      <c r="L1268" s="9"/>
      <c r="M1268" s="9"/>
      <c r="N1268" s="9"/>
      <c r="O1268" s="9"/>
      <c r="P1268" s="9"/>
      <c r="Q1268" s="9"/>
      <c r="R1268" s="14"/>
      <c r="S1268" s="14"/>
    </row>
    <row r="1269" spans="1:19" ht="14.25">
      <c r="A1269" s="14"/>
      <c r="B1269" s="9"/>
      <c r="C1269" s="9"/>
      <c r="D1269" s="9"/>
      <c r="E1269" s="9"/>
      <c r="F1269" s="9"/>
      <c r="G1269" s="9"/>
      <c r="H1269" s="9"/>
      <c r="I1269" s="9"/>
      <c r="J1269" s="9"/>
      <c r="K1269" s="357"/>
      <c r="L1269" s="9"/>
      <c r="M1269" s="9"/>
      <c r="N1269" s="9"/>
      <c r="O1269" s="9"/>
      <c r="P1269" s="9"/>
      <c r="Q1269" s="9"/>
      <c r="R1269" s="14"/>
      <c r="S1269" s="14"/>
    </row>
    <row r="1270" spans="1:19" ht="14.25">
      <c r="A1270" s="14"/>
      <c r="B1270" s="9"/>
      <c r="C1270" s="9"/>
      <c r="D1270" s="9"/>
      <c r="E1270" s="9"/>
      <c r="F1270" s="9"/>
      <c r="G1270" s="9"/>
      <c r="H1270" s="9"/>
      <c r="I1270" s="9"/>
      <c r="J1270" s="9"/>
      <c r="K1270" s="357"/>
      <c r="L1270" s="9"/>
      <c r="M1270" s="9"/>
      <c r="N1270" s="9"/>
      <c r="O1270" s="9"/>
      <c r="P1270" s="9"/>
      <c r="Q1270" s="9"/>
      <c r="R1270" s="14"/>
      <c r="S1270" s="14"/>
    </row>
    <row r="1271" spans="1:19" ht="14.25">
      <c r="A1271" s="14"/>
      <c r="B1271" s="9"/>
      <c r="C1271" s="9"/>
      <c r="D1271" s="9"/>
      <c r="E1271" s="9"/>
      <c r="F1271" s="9"/>
      <c r="G1271" s="9"/>
      <c r="H1271" s="9"/>
      <c r="I1271" s="9"/>
      <c r="J1271" s="9"/>
      <c r="K1271" s="357"/>
      <c r="L1271" s="9"/>
      <c r="M1271" s="9"/>
      <c r="N1271" s="9"/>
      <c r="O1271" s="9"/>
      <c r="P1271" s="9"/>
      <c r="Q1271" s="9"/>
      <c r="R1271" s="14"/>
      <c r="S1271" s="14"/>
    </row>
    <row r="1272" spans="1:19" ht="14.25">
      <c r="A1272" s="14"/>
      <c r="B1272" s="9"/>
      <c r="C1272" s="9"/>
      <c r="D1272" s="9"/>
      <c r="E1272" s="9"/>
      <c r="F1272" s="9"/>
      <c r="G1272" s="9"/>
      <c r="H1272" s="9"/>
      <c r="I1272" s="9"/>
      <c r="J1272" s="9"/>
      <c r="K1272" s="357"/>
      <c r="L1272" s="9"/>
      <c r="M1272" s="9"/>
      <c r="N1272" s="9"/>
      <c r="O1272" s="9"/>
      <c r="P1272" s="9"/>
      <c r="Q1272" s="9"/>
      <c r="R1272" s="14"/>
      <c r="S1272" s="14"/>
    </row>
    <row r="1273" spans="1:19" ht="14.25">
      <c r="A1273" s="14"/>
      <c r="B1273" s="9"/>
      <c r="C1273" s="9"/>
      <c r="D1273" s="9"/>
      <c r="E1273" s="9"/>
      <c r="F1273" s="9"/>
      <c r="G1273" s="9"/>
      <c r="H1273" s="9"/>
      <c r="I1273" s="9"/>
      <c r="J1273" s="9"/>
      <c r="K1273" s="357"/>
      <c r="L1273" s="9"/>
      <c r="M1273" s="9"/>
      <c r="N1273" s="9"/>
      <c r="O1273" s="9"/>
      <c r="P1273" s="9"/>
      <c r="Q1273" s="9"/>
      <c r="R1273" s="14"/>
      <c r="S1273" s="14"/>
    </row>
    <row r="1274" spans="1:19" ht="14.25">
      <c r="A1274" s="14"/>
      <c r="B1274" s="9"/>
      <c r="C1274" s="9"/>
      <c r="D1274" s="9"/>
      <c r="E1274" s="9"/>
      <c r="F1274" s="9"/>
      <c r="G1274" s="9"/>
      <c r="H1274" s="9"/>
      <c r="I1274" s="9"/>
      <c r="J1274" s="9"/>
      <c r="K1274" s="357"/>
      <c r="L1274" s="9"/>
      <c r="M1274" s="9"/>
      <c r="N1274" s="9"/>
      <c r="O1274" s="9"/>
      <c r="P1274" s="9"/>
      <c r="Q1274" s="9"/>
      <c r="R1274" s="14"/>
      <c r="S1274" s="14"/>
    </row>
    <row r="1275" spans="1:19" ht="14.25">
      <c r="A1275" s="14"/>
      <c r="B1275" s="9"/>
      <c r="C1275" s="9"/>
      <c r="D1275" s="9"/>
      <c r="E1275" s="9"/>
      <c r="F1275" s="9"/>
      <c r="G1275" s="9"/>
      <c r="H1275" s="9"/>
      <c r="I1275" s="9"/>
      <c r="J1275" s="9"/>
      <c r="K1275" s="357"/>
      <c r="L1275" s="9"/>
      <c r="M1275" s="9"/>
      <c r="N1275" s="9"/>
      <c r="O1275" s="9"/>
      <c r="P1275" s="9"/>
      <c r="Q1275" s="9"/>
      <c r="R1275" s="14"/>
      <c r="S1275" s="14"/>
    </row>
    <row r="1276" spans="1:19" ht="14.25">
      <c r="A1276" s="14"/>
      <c r="B1276" s="9"/>
      <c r="C1276" s="9"/>
      <c r="D1276" s="9"/>
      <c r="E1276" s="9"/>
      <c r="F1276" s="9"/>
      <c r="G1276" s="9"/>
      <c r="H1276" s="9"/>
      <c r="I1276" s="9"/>
      <c r="J1276" s="9"/>
      <c r="K1276" s="357"/>
      <c r="L1276" s="9"/>
      <c r="M1276" s="9"/>
      <c r="N1276" s="9"/>
      <c r="O1276" s="9"/>
      <c r="P1276" s="9"/>
      <c r="Q1276" s="9"/>
      <c r="R1276" s="14"/>
      <c r="S1276" s="14"/>
    </row>
    <row r="1277" spans="1:19" ht="14.25">
      <c r="A1277" s="14"/>
      <c r="B1277" s="9"/>
      <c r="C1277" s="9"/>
      <c r="D1277" s="9"/>
      <c r="E1277" s="9"/>
      <c r="F1277" s="9"/>
      <c r="G1277" s="9"/>
      <c r="H1277" s="9"/>
      <c r="I1277" s="9"/>
      <c r="J1277" s="9"/>
      <c r="K1277" s="357"/>
      <c r="L1277" s="9"/>
      <c r="M1277" s="9"/>
      <c r="N1277" s="9"/>
      <c r="O1277" s="9"/>
      <c r="P1277" s="9"/>
      <c r="Q1277" s="9"/>
      <c r="R1277" s="14"/>
      <c r="S1277" s="14"/>
    </row>
    <row r="1278" spans="1:19" ht="14.25">
      <c r="A1278" s="14"/>
      <c r="B1278" s="9"/>
      <c r="C1278" s="9"/>
      <c r="D1278" s="9"/>
      <c r="E1278" s="9"/>
      <c r="F1278" s="9"/>
      <c r="G1278" s="9"/>
      <c r="H1278" s="9"/>
      <c r="I1278" s="9"/>
      <c r="J1278" s="9"/>
      <c r="K1278" s="357"/>
      <c r="L1278" s="9"/>
      <c r="M1278" s="9"/>
      <c r="N1278" s="9"/>
      <c r="O1278" s="9"/>
      <c r="P1278" s="9"/>
      <c r="Q1278" s="9"/>
      <c r="R1278" s="14"/>
      <c r="S1278" s="14"/>
    </row>
    <row r="1279" spans="1:19" ht="14.25">
      <c r="A1279" s="14"/>
      <c r="B1279" s="9"/>
      <c r="C1279" s="9"/>
      <c r="D1279" s="9"/>
      <c r="E1279" s="9"/>
      <c r="F1279" s="9"/>
      <c r="G1279" s="9"/>
      <c r="H1279" s="9"/>
      <c r="I1279" s="9"/>
      <c r="J1279" s="9"/>
      <c r="K1279" s="357"/>
      <c r="L1279" s="9"/>
      <c r="M1279" s="9"/>
      <c r="N1279" s="9"/>
      <c r="O1279" s="9"/>
      <c r="P1279" s="9"/>
      <c r="Q1279" s="9"/>
      <c r="R1279" s="14"/>
      <c r="S1279" s="14"/>
    </row>
    <row r="1280" spans="1:19" ht="14.25">
      <c r="A1280" s="14"/>
      <c r="B1280" s="9"/>
      <c r="C1280" s="9"/>
      <c r="D1280" s="9"/>
      <c r="E1280" s="9"/>
      <c r="F1280" s="9"/>
      <c r="G1280" s="9"/>
      <c r="H1280" s="9"/>
      <c r="I1280" s="9"/>
      <c r="J1280" s="9"/>
      <c r="K1280" s="357"/>
      <c r="L1280" s="9"/>
      <c r="M1280" s="9"/>
      <c r="N1280" s="9"/>
      <c r="O1280" s="9"/>
      <c r="P1280" s="9"/>
      <c r="Q1280" s="9"/>
      <c r="R1280" s="14"/>
      <c r="S1280" s="14"/>
    </row>
    <row r="1281" spans="1:19" ht="14.25">
      <c r="A1281" s="14"/>
      <c r="B1281" s="9"/>
      <c r="C1281" s="9"/>
      <c r="D1281" s="9"/>
      <c r="E1281" s="9"/>
      <c r="F1281" s="9"/>
      <c r="G1281" s="9"/>
      <c r="H1281" s="9"/>
      <c r="I1281" s="9"/>
      <c r="J1281" s="9"/>
      <c r="K1281" s="357"/>
      <c r="L1281" s="9"/>
      <c r="M1281" s="9"/>
      <c r="N1281" s="9"/>
      <c r="O1281" s="9"/>
      <c r="P1281" s="9"/>
      <c r="Q1281" s="9"/>
      <c r="R1281" s="14"/>
      <c r="S1281" s="14"/>
    </row>
    <row r="1282" spans="1:19" ht="14.25">
      <c r="A1282" s="14"/>
      <c r="B1282" s="9"/>
      <c r="C1282" s="9"/>
      <c r="D1282" s="9"/>
      <c r="E1282" s="9"/>
      <c r="F1282" s="9"/>
      <c r="G1282" s="9"/>
      <c r="H1282" s="9"/>
      <c r="I1282" s="9"/>
      <c r="J1282" s="9"/>
      <c r="K1282" s="357"/>
      <c r="L1282" s="9"/>
      <c r="M1282" s="9"/>
      <c r="N1282" s="9"/>
      <c r="O1282" s="9"/>
      <c r="P1282" s="9"/>
      <c r="Q1282" s="9"/>
      <c r="R1282" s="14"/>
      <c r="S1282" s="14"/>
    </row>
    <row r="1283" spans="1:19" ht="14.25">
      <c r="A1283" s="14"/>
      <c r="B1283" s="9"/>
      <c r="C1283" s="9"/>
      <c r="D1283" s="9"/>
      <c r="E1283" s="9"/>
      <c r="F1283" s="9"/>
      <c r="G1283" s="9"/>
      <c r="H1283" s="9"/>
      <c r="I1283" s="9"/>
      <c r="J1283" s="9"/>
      <c r="K1283" s="357"/>
      <c r="L1283" s="9"/>
      <c r="M1283" s="9"/>
      <c r="N1283" s="9"/>
      <c r="O1283" s="9"/>
      <c r="P1283" s="9"/>
      <c r="Q1283" s="9"/>
      <c r="R1283" s="14"/>
      <c r="S1283" s="14"/>
    </row>
    <row r="1284" spans="1:19" ht="14.25">
      <c r="A1284" s="14"/>
      <c r="B1284" s="9"/>
      <c r="C1284" s="9"/>
      <c r="D1284" s="9"/>
      <c r="E1284" s="9"/>
      <c r="F1284" s="9"/>
      <c r="G1284" s="9"/>
      <c r="H1284" s="9"/>
      <c r="I1284" s="9"/>
      <c r="J1284" s="9"/>
      <c r="K1284" s="357"/>
      <c r="L1284" s="9"/>
      <c r="M1284" s="9"/>
      <c r="N1284" s="9"/>
      <c r="O1284" s="9"/>
      <c r="P1284" s="9"/>
      <c r="Q1284" s="9"/>
      <c r="R1284" s="14"/>
      <c r="S1284" s="14"/>
    </row>
    <row r="1285" spans="1:19" ht="14.25">
      <c r="A1285" s="14"/>
      <c r="B1285" s="9"/>
      <c r="C1285" s="9"/>
      <c r="D1285" s="9"/>
      <c r="E1285" s="9"/>
      <c r="F1285" s="9"/>
      <c r="G1285" s="9"/>
      <c r="H1285" s="9"/>
      <c r="I1285" s="9"/>
      <c r="J1285" s="9"/>
      <c r="K1285" s="357"/>
      <c r="L1285" s="9"/>
      <c r="M1285" s="9"/>
      <c r="N1285" s="9"/>
      <c r="O1285" s="9"/>
      <c r="P1285" s="9"/>
      <c r="Q1285" s="9"/>
      <c r="R1285" s="14"/>
      <c r="S1285" s="14"/>
    </row>
    <row r="1286" spans="1:19" ht="14.25">
      <c r="A1286" s="14"/>
      <c r="B1286" s="9"/>
      <c r="C1286" s="9"/>
      <c r="D1286" s="9"/>
      <c r="E1286" s="9"/>
      <c r="F1286" s="9"/>
      <c r="G1286" s="9"/>
      <c r="H1286" s="9"/>
      <c r="I1286" s="9"/>
      <c r="J1286" s="9"/>
      <c r="K1286" s="357"/>
      <c r="L1286" s="9"/>
      <c r="M1286" s="9"/>
      <c r="N1286" s="9"/>
      <c r="O1286" s="9"/>
      <c r="P1286" s="9"/>
      <c r="Q1286" s="9"/>
      <c r="R1286" s="14"/>
      <c r="S1286" s="14"/>
    </row>
    <row r="1287" spans="1:19" ht="14.25">
      <c r="A1287" s="14"/>
      <c r="B1287" s="9"/>
      <c r="C1287" s="9"/>
      <c r="D1287" s="9"/>
      <c r="E1287" s="9"/>
      <c r="F1287" s="9"/>
      <c r="G1287" s="9"/>
      <c r="H1287" s="9"/>
      <c r="I1287" s="9"/>
      <c r="J1287" s="9"/>
      <c r="K1287" s="357"/>
      <c r="L1287" s="9"/>
      <c r="M1287" s="9"/>
      <c r="N1287" s="9"/>
      <c r="O1287" s="9"/>
      <c r="P1287" s="9"/>
      <c r="Q1287" s="9"/>
      <c r="R1287" s="14"/>
      <c r="S1287" s="14"/>
    </row>
    <row r="1288" spans="1:19" ht="14.25">
      <c r="A1288" s="14"/>
      <c r="B1288" s="9"/>
      <c r="C1288" s="9"/>
      <c r="D1288" s="9"/>
      <c r="E1288" s="9"/>
      <c r="F1288" s="9"/>
      <c r="G1288" s="9"/>
      <c r="H1288" s="9"/>
      <c r="I1288" s="9"/>
      <c r="J1288" s="9"/>
      <c r="K1288" s="357"/>
      <c r="L1288" s="9"/>
      <c r="M1288" s="9"/>
      <c r="N1288" s="9"/>
      <c r="O1288" s="9"/>
      <c r="P1288" s="9"/>
      <c r="Q1288" s="9"/>
      <c r="R1288" s="14"/>
      <c r="S1288" s="14"/>
    </row>
    <row r="1289" spans="1:19" ht="14.25">
      <c r="A1289" s="14"/>
      <c r="B1289" s="9"/>
      <c r="C1289" s="9"/>
      <c r="D1289" s="9"/>
      <c r="E1289" s="9"/>
      <c r="F1289" s="9"/>
      <c r="G1289" s="9"/>
      <c r="H1289" s="9"/>
      <c r="I1289" s="9"/>
      <c r="J1289" s="9"/>
      <c r="K1289" s="357"/>
      <c r="L1289" s="9"/>
      <c r="M1289" s="9"/>
      <c r="N1289" s="9"/>
      <c r="O1289" s="9"/>
      <c r="P1289" s="9"/>
      <c r="Q1289" s="9"/>
      <c r="R1289" s="14"/>
      <c r="S1289" s="14"/>
    </row>
    <row r="1290" spans="1:19" ht="14.25">
      <c r="A1290" s="14"/>
      <c r="B1290" s="9"/>
      <c r="C1290" s="9"/>
      <c r="D1290" s="9"/>
      <c r="E1290" s="9"/>
      <c r="F1290" s="9"/>
      <c r="G1290" s="9"/>
      <c r="H1290" s="9"/>
      <c r="I1290" s="9"/>
      <c r="J1290" s="9"/>
      <c r="K1290" s="357"/>
      <c r="L1290" s="9"/>
      <c r="M1290" s="9"/>
      <c r="N1290" s="9"/>
      <c r="O1290" s="9"/>
      <c r="P1290" s="9"/>
      <c r="Q1290" s="9"/>
      <c r="R1290" s="14"/>
      <c r="S1290" s="14"/>
    </row>
    <row r="1291" spans="1:19" ht="14.25">
      <c r="A1291" s="14"/>
      <c r="B1291" s="9"/>
      <c r="C1291" s="9"/>
      <c r="D1291" s="9"/>
      <c r="E1291" s="9"/>
      <c r="F1291" s="9"/>
      <c r="G1291" s="9"/>
      <c r="H1291" s="9"/>
      <c r="I1291" s="9"/>
      <c r="J1291" s="9"/>
      <c r="K1291" s="357"/>
      <c r="L1291" s="9"/>
      <c r="M1291" s="9"/>
      <c r="N1291" s="9"/>
      <c r="O1291" s="9"/>
      <c r="P1291" s="9"/>
      <c r="Q1291" s="9"/>
      <c r="R1291" s="14"/>
      <c r="S1291" s="14"/>
    </row>
    <row r="1292" spans="1:19" ht="14.25">
      <c r="A1292" s="14"/>
      <c r="B1292" s="9"/>
      <c r="C1292" s="9"/>
      <c r="D1292" s="9"/>
      <c r="E1292" s="9"/>
      <c r="F1292" s="9"/>
      <c r="G1292" s="9"/>
      <c r="H1292" s="9"/>
      <c r="I1292" s="9"/>
      <c r="J1292" s="9"/>
      <c r="K1292" s="357"/>
      <c r="L1292" s="9"/>
      <c r="M1292" s="9"/>
      <c r="N1292" s="9"/>
      <c r="O1292" s="9"/>
      <c r="P1292" s="9"/>
      <c r="Q1292" s="9"/>
      <c r="R1292" s="14"/>
      <c r="S1292" s="14"/>
    </row>
    <row r="1293" spans="1:19" ht="14.25">
      <c r="A1293" s="14"/>
      <c r="B1293" s="9"/>
      <c r="C1293" s="9"/>
      <c r="D1293" s="9"/>
      <c r="E1293" s="9"/>
      <c r="F1293" s="9"/>
      <c r="G1293" s="9"/>
      <c r="H1293" s="9"/>
      <c r="I1293" s="9"/>
      <c r="J1293" s="9"/>
      <c r="K1293" s="357"/>
      <c r="L1293" s="9"/>
      <c r="M1293" s="9"/>
      <c r="N1293" s="9"/>
      <c r="O1293" s="9"/>
      <c r="P1293" s="9"/>
      <c r="Q1293" s="9"/>
      <c r="R1293" s="14"/>
      <c r="S1293" s="14"/>
    </row>
    <row r="1294" spans="1:19" ht="14.25">
      <c r="A1294" s="14"/>
      <c r="B1294" s="9"/>
      <c r="C1294" s="9"/>
      <c r="D1294" s="9"/>
      <c r="E1294" s="9"/>
      <c r="F1294" s="9"/>
      <c r="G1294" s="9"/>
      <c r="H1294" s="9"/>
      <c r="I1294" s="9"/>
      <c r="J1294" s="9"/>
      <c r="K1294" s="357"/>
      <c r="L1294" s="9"/>
      <c r="M1294" s="9"/>
      <c r="N1294" s="9"/>
      <c r="O1294" s="9"/>
      <c r="P1294" s="9"/>
      <c r="Q1294" s="9"/>
      <c r="R1294" s="14"/>
      <c r="S1294" s="14"/>
    </row>
    <row r="1295" spans="1:19" ht="14.25">
      <c r="A1295" s="14"/>
      <c r="B1295" s="9"/>
      <c r="C1295" s="9"/>
      <c r="D1295" s="9"/>
      <c r="E1295" s="9"/>
      <c r="F1295" s="9"/>
      <c r="G1295" s="9"/>
      <c r="H1295" s="9"/>
      <c r="I1295" s="9"/>
      <c r="J1295" s="9"/>
      <c r="K1295" s="357"/>
      <c r="L1295" s="9"/>
      <c r="M1295" s="9"/>
      <c r="N1295" s="9"/>
      <c r="O1295" s="9"/>
      <c r="P1295" s="9"/>
      <c r="Q1295" s="9"/>
      <c r="R1295" s="14"/>
      <c r="S1295" s="14"/>
    </row>
    <row r="1296" spans="1:19" ht="14.25">
      <c r="A1296" s="14"/>
      <c r="B1296" s="9"/>
      <c r="C1296" s="9"/>
      <c r="D1296" s="9"/>
      <c r="E1296" s="9"/>
      <c r="F1296" s="9"/>
      <c r="G1296" s="9"/>
      <c r="H1296" s="9"/>
      <c r="I1296" s="9"/>
      <c r="J1296" s="9"/>
      <c r="K1296" s="357"/>
      <c r="L1296" s="9"/>
      <c r="M1296" s="9"/>
      <c r="N1296" s="9"/>
      <c r="O1296" s="9"/>
      <c r="P1296" s="9"/>
      <c r="Q1296" s="9"/>
      <c r="R1296" s="14"/>
      <c r="S1296" s="14"/>
    </row>
    <row r="1297" spans="1:19" ht="14.25">
      <c r="A1297" s="14"/>
      <c r="B1297" s="9"/>
      <c r="C1297" s="9"/>
      <c r="D1297" s="9"/>
      <c r="E1297" s="9"/>
      <c r="F1297" s="9"/>
      <c r="G1297" s="9"/>
      <c r="H1297" s="9"/>
      <c r="I1297" s="9"/>
      <c r="J1297" s="9"/>
      <c r="K1297" s="357"/>
      <c r="L1297" s="9"/>
      <c r="M1297" s="9"/>
      <c r="N1297" s="9"/>
      <c r="O1297" s="9"/>
      <c r="P1297" s="9"/>
      <c r="Q1297" s="9"/>
      <c r="R1297" s="14"/>
      <c r="S1297" s="14"/>
    </row>
    <row r="1298" spans="1:19" ht="14.25">
      <c r="A1298" s="14"/>
      <c r="B1298" s="9"/>
      <c r="C1298" s="9"/>
      <c r="D1298" s="9"/>
      <c r="E1298" s="9"/>
      <c r="F1298" s="9"/>
      <c r="G1298" s="9"/>
      <c r="H1298" s="9"/>
      <c r="I1298" s="9"/>
      <c r="J1298" s="9"/>
      <c r="K1298" s="357"/>
      <c r="L1298" s="9"/>
      <c r="M1298" s="9"/>
      <c r="N1298" s="9"/>
      <c r="O1298" s="9"/>
      <c r="P1298" s="9"/>
      <c r="Q1298" s="9"/>
      <c r="R1298" s="14"/>
      <c r="S1298" s="14"/>
    </row>
    <row r="1299" spans="1:19" ht="14.25">
      <c r="A1299" s="14"/>
      <c r="B1299" s="9"/>
      <c r="C1299" s="9"/>
      <c r="D1299" s="9"/>
      <c r="E1299" s="9"/>
      <c r="F1299" s="9"/>
      <c r="G1299" s="9"/>
      <c r="H1299" s="9"/>
      <c r="I1299" s="9"/>
      <c r="J1299" s="9"/>
      <c r="K1299" s="357"/>
      <c r="L1299" s="9"/>
      <c r="M1299" s="9"/>
      <c r="N1299" s="9"/>
      <c r="O1299" s="9"/>
      <c r="P1299" s="9"/>
      <c r="Q1299" s="9"/>
      <c r="R1299" s="14"/>
      <c r="S1299" s="14"/>
    </row>
    <row r="1300" spans="1:19" ht="14.25">
      <c r="A1300" s="14"/>
      <c r="B1300" s="9"/>
      <c r="C1300" s="9"/>
      <c r="D1300" s="9"/>
      <c r="E1300" s="9"/>
      <c r="F1300" s="9"/>
      <c r="G1300" s="9"/>
      <c r="H1300" s="9"/>
      <c r="I1300" s="9"/>
      <c r="J1300" s="9"/>
      <c r="K1300" s="357"/>
      <c r="L1300" s="9"/>
      <c r="M1300" s="9"/>
      <c r="N1300" s="9"/>
      <c r="O1300" s="9"/>
      <c r="P1300" s="9"/>
      <c r="Q1300" s="9"/>
      <c r="R1300" s="14"/>
      <c r="S1300" s="14"/>
    </row>
    <row r="1301" spans="1:19" ht="14.25">
      <c r="A1301" s="14"/>
      <c r="B1301" s="9"/>
      <c r="C1301" s="9"/>
      <c r="D1301" s="9"/>
      <c r="E1301" s="9"/>
      <c r="F1301" s="9"/>
      <c r="G1301" s="9"/>
      <c r="H1301" s="9"/>
      <c r="I1301" s="9"/>
      <c r="J1301" s="9"/>
      <c r="K1301" s="357"/>
      <c r="L1301" s="9"/>
      <c r="M1301" s="9"/>
      <c r="N1301" s="9"/>
      <c r="O1301" s="9"/>
      <c r="P1301" s="9"/>
      <c r="Q1301" s="9"/>
      <c r="R1301" s="14"/>
      <c r="S1301" s="14"/>
    </row>
    <row r="1302" spans="1:19" ht="14.25">
      <c r="A1302" s="14"/>
      <c r="B1302" s="9"/>
      <c r="C1302" s="9"/>
      <c r="D1302" s="9"/>
      <c r="E1302" s="9"/>
      <c r="F1302" s="9"/>
      <c r="G1302" s="9"/>
      <c r="H1302" s="9"/>
      <c r="I1302" s="9"/>
      <c r="J1302" s="9"/>
      <c r="K1302" s="357"/>
      <c r="L1302" s="9"/>
      <c r="M1302" s="9"/>
      <c r="N1302" s="9"/>
      <c r="O1302" s="9"/>
      <c r="P1302" s="9"/>
      <c r="Q1302" s="9"/>
      <c r="R1302" s="14"/>
      <c r="S1302" s="14"/>
    </row>
    <row r="1303" spans="1:19" ht="14.25">
      <c r="A1303" s="14"/>
      <c r="B1303" s="9"/>
      <c r="C1303" s="9"/>
      <c r="D1303" s="9"/>
      <c r="E1303" s="9"/>
      <c r="F1303" s="9"/>
      <c r="G1303" s="9"/>
      <c r="H1303" s="9"/>
      <c r="I1303" s="9"/>
      <c r="J1303" s="9"/>
      <c r="K1303" s="357"/>
      <c r="L1303" s="9"/>
      <c r="M1303" s="9"/>
      <c r="N1303" s="9"/>
      <c r="O1303" s="9"/>
      <c r="P1303" s="9"/>
      <c r="Q1303" s="9"/>
      <c r="R1303" s="14"/>
      <c r="S1303" s="14"/>
    </row>
    <row r="1304" spans="1:19" ht="14.25">
      <c r="A1304" s="14"/>
      <c r="B1304" s="9"/>
      <c r="C1304" s="9"/>
      <c r="D1304" s="9"/>
      <c r="E1304" s="9"/>
      <c r="F1304" s="9"/>
      <c r="G1304" s="9"/>
      <c r="H1304" s="9"/>
      <c r="I1304" s="9"/>
      <c r="J1304" s="9"/>
      <c r="K1304" s="357"/>
      <c r="L1304" s="9"/>
      <c r="M1304" s="9"/>
      <c r="N1304" s="9"/>
      <c r="O1304" s="9"/>
      <c r="P1304" s="9"/>
      <c r="Q1304" s="9"/>
      <c r="R1304" s="14"/>
      <c r="S1304" s="14"/>
    </row>
    <row r="1305" spans="1:19" ht="14.25">
      <c r="A1305" s="14"/>
      <c r="B1305" s="9"/>
      <c r="C1305" s="9"/>
      <c r="D1305" s="9"/>
      <c r="E1305" s="9"/>
      <c r="F1305" s="9"/>
      <c r="G1305" s="9"/>
      <c r="H1305" s="9"/>
      <c r="I1305" s="9"/>
      <c r="J1305" s="9"/>
      <c r="K1305" s="357"/>
      <c r="L1305" s="9"/>
      <c r="M1305" s="9"/>
      <c r="N1305" s="9"/>
      <c r="O1305" s="9"/>
      <c r="P1305" s="9"/>
      <c r="Q1305" s="9"/>
      <c r="R1305" s="14"/>
      <c r="S1305" s="14"/>
    </row>
    <row r="1306" spans="1:19" ht="14.25">
      <c r="A1306" s="14"/>
      <c r="B1306" s="9"/>
      <c r="C1306" s="9"/>
      <c r="D1306" s="9"/>
      <c r="E1306" s="9"/>
      <c r="F1306" s="9"/>
      <c r="G1306" s="9"/>
      <c r="H1306" s="9"/>
      <c r="I1306" s="9"/>
      <c r="J1306" s="9"/>
      <c r="K1306" s="357"/>
      <c r="L1306" s="9"/>
      <c r="M1306" s="9"/>
      <c r="N1306" s="9"/>
      <c r="O1306" s="9"/>
      <c r="P1306" s="9"/>
      <c r="Q1306" s="9"/>
      <c r="R1306" s="14"/>
      <c r="S1306" s="14"/>
    </row>
    <row r="1307" spans="1:19" ht="14.25">
      <c r="A1307" s="14"/>
      <c r="B1307" s="9"/>
      <c r="C1307" s="9"/>
      <c r="D1307" s="9"/>
      <c r="E1307" s="9"/>
      <c r="F1307" s="9"/>
      <c r="G1307" s="9"/>
      <c r="H1307" s="9"/>
      <c r="I1307" s="9"/>
      <c r="J1307" s="9"/>
      <c r="K1307" s="357"/>
      <c r="L1307" s="9"/>
      <c r="M1307" s="9"/>
      <c r="N1307" s="9"/>
      <c r="O1307" s="9"/>
      <c r="P1307" s="9"/>
      <c r="Q1307" s="9"/>
      <c r="R1307" s="14"/>
      <c r="S1307" s="14"/>
    </row>
    <row r="1308" spans="1:19" ht="14.25">
      <c r="A1308" s="14"/>
      <c r="B1308" s="9"/>
      <c r="C1308" s="9"/>
      <c r="D1308" s="9"/>
      <c r="E1308" s="9"/>
      <c r="F1308" s="9"/>
      <c r="G1308" s="9"/>
      <c r="H1308" s="9"/>
      <c r="I1308" s="9"/>
      <c r="J1308" s="9"/>
      <c r="K1308" s="357"/>
      <c r="L1308" s="9"/>
      <c r="M1308" s="9"/>
      <c r="N1308" s="9"/>
      <c r="O1308" s="9"/>
      <c r="P1308" s="9"/>
      <c r="Q1308" s="9"/>
      <c r="R1308" s="14"/>
      <c r="S1308" s="14"/>
    </row>
    <row r="1309" spans="1:19" ht="14.25">
      <c r="A1309" s="14"/>
      <c r="B1309" s="9"/>
      <c r="C1309" s="9"/>
      <c r="D1309" s="9"/>
      <c r="E1309" s="9"/>
      <c r="F1309" s="9"/>
      <c r="G1309" s="9"/>
      <c r="H1309" s="9"/>
      <c r="I1309" s="9"/>
      <c r="J1309" s="9"/>
      <c r="K1309" s="357"/>
      <c r="L1309" s="9"/>
      <c r="M1309" s="9"/>
      <c r="N1309" s="9"/>
      <c r="O1309" s="9"/>
      <c r="P1309" s="9"/>
      <c r="Q1309" s="9"/>
      <c r="R1309" s="14"/>
      <c r="S1309" s="14"/>
    </row>
    <row r="1310" spans="1:19" ht="14.25">
      <c r="A1310" s="14"/>
      <c r="B1310" s="9"/>
      <c r="C1310" s="9"/>
      <c r="D1310" s="9"/>
      <c r="E1310" s="9"/>
      <c r="F1310" s="9"/>
      <c r="G1310" s="9"/>
      <c r="H1310" s="9"/>
      <c r="I1310" s="9"/>
      <c r="J1310" s="9"/>
      <c r="K1310" s="357"/>
      <c r="L1310" s="9"/>
      <c r="M1310" s="9"/>
      <c r="N1310" s="9"/>
      <c r="O1310" s="9"/>
      <c r="P1310" s="9"/>
      <c r="Q1310" s="9"/>
      <c r="R1310" s="14"/>
      <c r="S1310" s="14"/>
    </row>
    <row r="1311" spans="1:19" ht="14.25">
      <c r="A1311" s="14"/>
      <c r="B1311" s="9"/>
      <c r="C1311" s="9"/>
      <c r="D1311" s="9"/>
      <c r="E1311" s="9"/>
      <c r="F1311" s="9"/>
      <c r="G1311" s="9"/>
      <c r="H1311" s="9"/>
      <c r="I1311" s="9"/>
      <c r="J1311" s="9"/>
      <c r="K1311" s="357"/>
      <c r="L1311" s="9"/>
      <c r="M1311" s="9"/>
      <c r="N1311" s="9"/>
      <c r="O1311" s="9"/>
      <c r="P1311" s="9"/>
      <c r="Q1311" s="9"/>
      <c r="R1311" s="14"/>
      <c r="S1311" s="14"/>
    </row>
    <row r="1312" spans="1:19" ht="14.25">
      <c r="A1312" s="14"/>
      <c r="B1312" s="9"/>
      <c r="C1312" s="9"/>
      <c r="D1312" s="9"/>
      <c r="E1312" s="9"/>
      <c r="F1312" s="9"/>
      <c r="G1312" s="9"/>
      <c r="H1312" s="9"/>
      <c r="I1312" s="9"/>
      <c r="J1312" s="9"/>
      <c r="K1312" s="357"/>
      <c r="L1312" s="9"/>
      <c r="M1312" s="9"/>
      <c r="N1312" s="9"/>
      <c r="O1312" s="9"/>
      <c r="P1312" s="9"/>
      <c r="Q1312" s="9"/>
      <c r="R1312" s="14"/>
      <c r="S1312" s="14"/>
    </row>
    <row r="1313" spans="1:19" ht="14.25">
      <c r="A1313" s="14"/>
      <c r="B1313" s="9"/>
      <c r="C1313" s="9"/>
      <c r="D1313" s="9"/>
      <c r="E1313" s="9"/>
      <c r="F1313" s="9"/>
      <c r="G1313" s="9"/>
      <c r="H1313" s="9"/>
      <c r="I1313" s="9"/>
      <c r="J1313" s="9"/>
      <c r="K1313" s="357"/>
      <c r="L1313" s="9"/>
      <c r="M1313" s="9"/>
      <c r="N1313" s="9"/>
      <c r="O1313" s="9"/>
      <c r="P1313" s="9"/>
      <c r="Q1313" s="9"/>
      <c r="R1313" s="14"/>
      <c r="S1313" s="14"/>
    </row>
    <row r="1314" spans="1:19" ht="14.25">
      <c r="A1314" s="14"/>
      <c r="B1314" s="9"/>
      <c r="C1314" s="9"/>
      <c r="D1314" s="9"/>
      <c r="E1314" s="9"/>
      <c r="F1314" s="9"/>
      <c r="G1314" s="9"/>
      <c r="H1314" s="9"/>
      <c r="I1314" s="9"/>
      <c r="J1314" s="9"/>
      <c r="K1314" s="357"/>
      <c r="L1314" s="9"/>
      <c r="M1314" s="9"/>
      <c r="N1314" s="9"/>
      <c r="O1314" s="9"/>
      <c r="P1314" s="9"/>
      <c r="Q1314" s="9"/>
      <c r="R1314" s="14"/>
      <c r="S1314" s="14"/>
    </row>
    <row r="1315" spans="1:19" ht="14.25">
      <c r="A1315" s="14"/>
      <c r="B1315" s="9"/>
      <c r="C1315" s="9"/>
      <c r="D1315" s="9"/>
      <c r="E1315" s="9"/>
      <c r="F1315" s="9"/>
      <c r="G1315" s="9"/>
      <c r="H1315" s="9"/>
      <c r="I1315" s="9"/>
      <c r="J1315" s="9"/>
      <c r="K1315" s="357"/>
      <c r="L1315" s="9"/>
      <c r="M1315" s="9"/>
      <c r="N1315" s="9"/>
      <c r="O1315" s="9"/>
      <c r="P1315" s="9"/>
      <c r="Q1315" s="9"/>
      <c r="R1315" s="14"/>
      <c r="S1315" s="14"/>
    </row>
    <row r="1316" spans="1:19" ht="14.25">
      <c r="A1316" s="14"/>
      <c r="B1316" s="9"/>
      <c r="C1316" s="9"/>
      <c r="D1316" s="9"/>
      <c r="E1316" s="9"/>
      <c r="F1316" s="9"/>
      <c r="G1316" s="9"/>
      <c r="H1316" s="9"/>
      <c r="I1316" s="9"/>
      <c r="J1316" s="9"/>
      <c r="K1316" s="357"/>
      <c r="L1316" s="9"/>
      <c r="M1316" s="9"/>
      <c r="N1316" s="9"/>
      <c r="O1316" s="9"/>
      <c r="P1316" s="9"/>
      <c r="Q1316" s="9"/>
      <c r="R1316" s="14"/>
      <c r="S1316" s="14"/>
    </row>
    <row r="1317" spans="1:19" ht="14.25">
      <c r="A1317" s="14"/>
      <c r="B1317" s="9"/>
      <c r="C1317" s="9"/>
      <c r="D1317" s="9"/>
      <c r="E1317" s="9"/>
      <c r="F1317" s="9"/>
      <c r="G1317" s="9"/>
      <c r="H1317" s="9"/>
      <c r="I1317" s="9"/>
      <c r="J1317" s="9"/>
      <c r="K1317" s="357"/>
      <c r="L1317" s="9"/>
      <c r="M1317" s="9"/>
      <c r="N1317" s="9"/>
      <c r="O1317" s="9"/>
      <c r="P1317" s="9"/>
      <c r="Q1317" s="9"/>
      <c r="R1317" s="14"/>
      <c r="S1317" s="14"/>
    </row>
    <row r="1318" spans="1:19" ht="14.25">
      <c r="A1318" s="14"/>
      <c r="B1318" s="9"/>
      <c r="C1318" s="9"/>
      <c r="D1318" s="9"/>
      <c r="E1318" s="9"/>
      <c r="F1318" s="9"/>
      <c r="G1318" s="9"/>
      <c r="H1318" s="9"/>
      <c r="I1318" s="9"/>
      <c r="J1318" s="9"/>
      <c r="K1318" s="357"/>
      <c r="L1318" s="9"/>
      <c r="M1318" s="9"/>
      <c r="N1318" s="9"/>
      <c r="O1318" s="9"/>
      <c r="P1318" s="9"/>
      <c r="Q1318" s="9"/>
      <c r="R1318" s="14"/>
      <c r="S1318" s="14"/>
    </row>
    <row r="1319" spans="1:19" ht="14.25">
      <c r="A1319" s="14"/>
      <c r="B1319" s="9"/>
      <c r="C1319" s="9"/>
      <c r="D1319" s="9"/>
      <c r="E1319" s="9"/>
      <c r="F1319" s="9"/>
      <c r="G1319" s="9"/>
      <c r="H1319" s="9"/>
      <c r="I1319" s="9"/>
      <c r="J1319" s="9"/>
      <c r="K1319" s="357"/>
      <c r="L1319" s="9"/>
      <c r="M1319" s="9"/>
      <c r="N1319" s="9"/>
      <c r="O1319" s="9"/>
      <c r="P1319" s="9"/>
      <c r="Q1319" s="9"/>
      <c r="R1319" s="14"/>
      <c r="S1319" s="14"/>
    </row>
    <row r="1320" spans="1:19" ht="14.25">
      <c r="A1320" s="14"/>
      <c r="B1320" s="9"/>
      <c r="C1320" s="9"/>
      <c r="D1320" s="9"/>
      <c r="E1320" s="9"/>
      <c r="F1320" s="9"/>
      <c r="G1320" s="9"/>
      <c r="H1320" s="9"/>
      <c r="I1320" s="9"/>
      <c r="J1320" s="9"/>
      <c r="K1320" s="357"/>
      <c r="L1320" s="9"/>
      <c r="M1320" s="9"/>
      <c r="N1320" s="9"/>
      <c r="O1320" s="9"/>
      <c r="P1320" s="9"/>
      <c r="Q1320" s="9"/>
      <c r="R1320" s="14"/>
      <c r="S1320" s="14"/>
    </row>
    <row r="1321" spans="1:19" ht="14.25">
      <c r="A1321" s="14"/>
      <c r="B1321" s="9"/>
      <c r="C1321" s="9"/>
      <c r="D1321" s="9"/>
      <c r="E1321" s="9"/>
      <c r="F1321" s="9"/>
      <c r="G1321" s="9"/>
      <c r="H1321" s="9"/>
      <c r="I1321" s="9"/>
      <c r="J1321" s="9"/>
      <c r="K1321" s="357"/>
      <c r="L1321" s="9"/>
      <c r="M1321" s="9"/>
      <c r="N1321" s="9"/>
      <c r="O1321" s="9"/>
      <c r="P1321" s="9"/>
      <c r="Q1321" s="9"/>
      <c r="R1321" s="14"/>
      <c r="S1321" s="14"/>
    </row>
    <row r="1322" spans="1:19" ht="14.25">
      <c r="A1322" s="14"/>
      <c r="B1322" s="9"/>
      <c r="C1322" s="9"/>
      <c r="D1322" s="9"/>
      <c r="E1322" s="9"/>
      <c r="F1322" s="9"/>
      <c r="G1322" s="9"/>
      <c r="H1322" s="9"/>
      <c r="I1322" s="9"/>
      <c r="J1322" s="9"/>
      <c r="K1322" s="357"/>
      <c r="L1322" s="9"/>
      <c r="M1322" s="9"/>
      <c r="N1322" s="9"/>
      <c r="O1322" s="9"/>
      <c r="P1322" s="9"/>
      <c r="Q1322" s="9"/>
      <c r="R1322" s="14"/>
      <c r="S1322" s="14"/>
    </row>
    <row r="1323" spans="1:19" ht="14.25">
      <c r="A1323" s="14"/>
      <c r="B1323" s="9"/>
      <c r="C1323" s="9"/>
      <c r="D1323" s="9"/>
      <c r="E1323" s="9"/>
      <c r="F1323" s="9"/>
      <c r="G1323" s="9"/>
      <c r="H1323" s="9"/>
      <c r="I1323" s="9"/>
      <c r="J1323" s="9"/>
      <c r="K1323" s="357"/>
      <c r="L1323" s="9"/>
      <c r="M1323" s="9"/>
      <c r="N1323" s="9"/>
      <c r="O1323" s="9"/>
      <c r="P1323" s="9"/>
      <c r="Q1323" s="9"/>
      <c r="R1323" s="14"/>
      <c r="S1323" s="14"/>
    </row>
    <row r="1324" spans="1:19" ht="14.25">
      <c r="A1324" s="14"/>
      <c r="B1324" s="9"/>
      <c r="C1324" s="9"/>
      <c r="D1324" s="9"/>
      <c r="E1324" s="9"/>
      <c r="F1324" s="9"/>
      <c r="G1324" s="9"/>
      <c r="H1324" s="9"/>
      <c r="I1324" s="9"/>
      <c r="J1324" s="9"/>
      <c r="K1324" s="357"/>
      <c r="L1324" s="9"/>
      <c r="M1324" s="9"/>
      <c r="N1324" s="9"/>
      <c r="O1324" s="9"/>
      <c r="P1324" s="9"/>
      <c r="Q1324" s="9"/>
      <c r="R1324" s="14"/>
      <c r="S1324" s="14"/>
    </row>
    <row r="1325" spans="1:19" ht="14.25">
      <c r="A1325" s="14"/>
      <c r="B1325" s="9"/>
      <c r="C1325" s="9"/>
      <c r="D1325" s="9"/>
      <c r="E1325" s="9"/>
      <c r="F1325" s="9"/>
      <c r="G1325" s="9"/>
      <c r="H1325" s="9"/>
      <c r="I1325" s="9"/>
      <c r="J1325" s="9"/>
      <c r="K1325" s="357"/>
      <c r="L1325" s="9"/>
      <c r="M1325" s="9"/>
      <c r="N1325" s="9"/>
      <c r="O1325" s="9"/>
      <c r="P1325" s="9"/>
      <c r="Q1325" s="9"/>
      <c r="R1325" s="14"/>
      <c r="S1325" s="14"/>
    </row>
    <row r="1326" spans="1:19" ht="14.25">
      <c r="A1326" s="14"/>
      <c r="B1326" s="9"/>
      <c r="C1326" s="9"/>
      <c r="D1326" s="9"/>
      <c r="E1326" s="9"/>
      <c r="F1326" s="9"/>
      <c r="G1326" s="9"/>
      <c r="H1326" s="9"/>
      <c r="I1326" s="9"/>
      <c r="J1326" s="9"/>
      <c r="K1326" s="357"/>
      <c r="L1326" s="9"/>
      <c r="M1326" s="9"/>
      <c r="N1326" s="9"/>
      <c r="O1326" s="9"/>
      <c r="P1326" s="9"/>
      <c r="Q1326" s="9"/>
      <c r="R1326" s="14"/>
      <c r="S1326" s="14"/>
    </row>
    <row r="1327" spans="1:19" ht="14.25">
      <c r="A1327" s="14"/>
      <c r="B1327" s="9"/>
      <c r="C1327" s="9"/>
      <c r="D1327" s="9"/>
      <c r="E1327" s="9"/>
      <c r="F1327" s="9"/>
      <c r="G1327" s="9"/>
      <c r="H1327" s="9"/>
      <c r="I1327" s="9"/>
      <c r="J1327" s="9"/>
      <c r="K1327" s="357"/>
      <c r="L1327" s="9"/>
      <c r="M1327" s="9"/>
      <c r="N1327" s="9"/>
      <c r="O1327" s="9"/>
      <c r="P1327" s="9"/>
      <c r="Q1327" s="9"/>
      <c r="R1327" s="14"/>
      <c r="S1327" s="14"/>
    </row>
    <row r="1328" spans="1:19" ht="14.25">
      <c r="A1328" s="14"/>
      <c r="B1328" s="9"/>
      <c r="C1328" s="9"/>
      <c r="D1328" s="9"/>
      <c r="E1328" s="9"/>
      <c r="F1328" s="9"/>
      <c r="G1328" s="9"/>
      <c r="H1328" s="9"/>
      <c r="I1328" s="9"/>
      <c r="J1328" s="9"/>
      <c r="K1328" s="357"/>
      <c r="L1328" s="9"/>
      <c r="M1328" s="9"/>
      <c r="N1328" s="9"/>
      <c r="O1328" s="9"/>
      <c r="P1328" s="9"/>
      <c r="Q1328" s="9"/>
      <c r="R1328" s="14"/>
      <c r="S1328" s="14"/>
    </row>
    <row r="1329" spans="1:19" ht="14.25">
      <c r="A1329" s="14"/>
      <c r="B1329" s="9"/>
      <c r="C1329" s="9"/>
      <c r="D1329" s="9"/>
      <c r="E1329" s="9"/>
      <c r="F1329" s="9"/>
      <c r="G1329" s="9"/>
      <c r="H1329" s="9"/>
      <c r="I1329" s="9"/>
      <c r="J1329" s="9"/>
      <c r="K1329" s="357"/>
      <c r="L1329" s="9"/>
      <c r="M1329" s="9"/>
      <c r="N1329" s="9"/>
      <c r="O1329" s="9"/>
      <c r="P1329" s="9"/>
      <c r="Q1329" s="9"/>
      <c r="R1329" s="14"/>
      <c r="S1329" s="14"/>
    </row>
    <row r="1330" spans="1:19" ht="14.25">
      <c r="A1330" s="14"/>
      <c r="B1330" s="9"/>
      <c r="C1330" s="9"/>
      <c r="D1330" s="9"/>
      <c r="E1330" s="9"/>
      <c r="F1330" s="9"/>
      <c r="G1330" s="9"/>
      <c r="H1330" s="9"/>
      <c r="I1330" s="9"/>
      <c r="J1330" s="9"/>
      <c r="K1330" s="357"/>
      <c r="L1330" s="9"/>
      <c r="M1330" s="9"/>
      <c r="N1330" s="9"/>
      <c r="O1330" s="9"/>
      <c r="P1330" s="9"/>
      <c r="Q1330" s="9"/>
      <c r="R1330" s="14"/>
      <c r="S1330" s="14"/>
    </row>
    <row r="1331" spans="1:19" ht="14.25">
      <c r="A1331" s="14"/>
      <c r="B1331" s="9"/>
      <c r="C1331" s="9"/>
      <c r="D1331" s="9"/>
      <c r="E1331" s="9"/>
      <c r="F1331" s="9"/>
      <c r="G1331" s="9"/>
      <c r="H1331" s="9"/>
      <c r="I1331" s="9"/>
      <c r="J1331" s="9"/>
      <c r="K1331" s="357"/>
      <c r="L1331" s="9"/>
      <c r="M1331" s="9"/>
      <c r="N1331" s="9"/>
      <c r="O1331" s="9"/>
      <c r="P1331" s="9"/>
      <c r="Q1331" s="9"/>
      <c r="R1331" s="14"/>
      <c r="S1331" s="14"/>
    </row>
    <row r="1332" spans="1:19" ht="14.25">
      <c r="A1332" s="14"/>
      <c r="B1332" s="9"/>
      <c r="C1332" s="9"/>
      <c r="D1332" s="9"/>
      <c r="E1332" s="9"/>
      <c r="F1332" s="9"/>
      <c r="G1332" s="9"/>
      <c r="H1332" s="9"/>
      <c r="I1332" s="9"/>
      <c r="J1332" s="9"/>
      <c r="K1332" s="357"/>
      <c r="L1332" s="9"/>
      <c r="M1332" s="9"/>
      <c r="N1332" s="9"/>
      <c r="O1332" s="9"/>
      <c r="P1332" s="9"/>
      <c r="Q1332" s="9"/>
      <c r="R1332" s="14"/>
      <c r="S1332" s="14"/>
    </row>
    <row r="1333" spans="1:19" ht="14.25">
      <c r="A1333" s="14"/>
      <c r="B1333" s="9"/>
      <c r="C1333" s="9"/>
      <c r="D1333" s="9"/>
      <c r="E1333" s="9"/>
      <c r="F1333" s="9"/>
      <c r="G1333" s="9"/>
      <c r="H1333" s="9"/>
      <c r="I1333" s="9"/>
      <c r="J1333" s="9"/>
      <c r="K1333" s="357"/>
      <c r="L1333" s="9"/>
      <c r="M1333" s="9"/>
      <c r="N1333" s="9"/>
      <c r="O1333" s="9"/>
      <c r="P1333" s="9"/>
      <c r="Q1333" s="9"/>
      <c r="R1333" s="14"/>
      <c r="S1333" s="14"/>
    </row>
    <row r="1334" spans="1:19" ht="14.25">
      <c r="A1334" s="14"/>
      <c r="B1334" s="9"/>
      <c r="C1334" s="9"/>
      <c r="D1334" s="9"/>
      <c r="E1334" s="9"/>
      <c r="F1334" s="9"/>
      <c r="G1334" s="9"/>
      <c r="H1334" s="9"/>
      <c r="I1334" s="9"/>
      <c r="J1334" s="9"/>
      <c r="K1334" s="357"/>
      <c r="L1334" s="9"/>
      <c r="M1334" s="9"/>
      <c r="N1334" s="9"/>
      <c r="O1334" s="9"/>
      <c r="P1334" s="9"/>
      <c r="Q1334" s="9"/>
      <c r="R1334" s="14"/>
      <c r="S1334" s="14"/>
    </row>
    <row r="1335" spans="1:19" ht="14.25">
      <c r="A1335" s="14"/>
      <c r="B1335" s="9"/>
      <c r="C1335" s="9"/>
      <c r="D1335" s="9"/>
      <c r="E1335" s="9"/>
      <c r="F1335" s="9"/>
      <c r="G1335" s="9"/>
      <c r="H1335" s="9"/>
      <c r="I1335" s="9"/>
      <c r="J1335" s="9"/>
      <c r="K1335" s="357"/>
      <c r="L1335" s="9"/>
      <c r="M1335" s="9"/>
      <c r="N1335" s="9"/>
      <c r="O1335" s="9"/>
      <c r="P1335" s="9"/>
      <c r="Q1335" s="9"/>
      <c r="R1335" s="14"/>
      <c r="S1335" s="14"/>
    </row>
    <row r="1336" spans="1:19" ht="14.25">
      <c r="A1336" s="14"/>
      <c r="B1336" s="9"/>
      <c r="C1336" s="9"/>
      <c r="D1336" s="9"/>
      <c r="E1336" s="9"/>
      <c r="F1336" s="9"/>
      <c r="G1336" s="9"/>
      <c r="H1336" s="9"/>
      <c r="I1336" s="9"/>
      <c r="J1336" s="9"/>
      <c r="K1336" s="357"/>
      <c r="L1336" s="9"/>
      <c r="M1336" s="9"/>
      <c r="N1336" s="9"/>
      <c r="O1336" s="9"/>
      <c r="P1336" s="9"/>
      <c r="Q1336" s="9"/>
      <c r="R1336" s="14"/>
      <c r="S1336" s="14"/>
    </row>
    <row r="1337" spans="1:19" ht="14.25">
      <c r="A1337" s="14"/>
      <c r="B1337" s="9"/>
      <c r="C1337" s="9"/>
      <c r="D1337" s="9"/>
      <c r="E1337" s="9"/>
      <c r="F1337" s="9"/>
      <c r="G1337" s="9"/>
      <c r="H1337" s="9"/>
      <c r="I1337" s="9"/>
      <c r="J1337" s="9"/>
      <c r="K1337" s="357"/>
      <c r="L1337" s="9"/>
      <c r="M1337" s="9"/>
      <c r="N1337" s="9"/>
      <c r="O1337" s="9"/>
      <c r="P1337" s="9"/>
      <c r="Q1337" s="9"/>
      <c r="R1337" s="14"/>
      <c r="S1337" s="14"/>
    </row>
    <row r="1338" spans="1:19" ht="14.25">
      <c r="A1338" s="14"/>
      <c r="B1338" s="9"/>
      <c r="C1338" s="9"/>
      <c r="D1338" s="9"/>
      <c r="E1338" s="9"/>
      <c r="F1338" s="9"/>
      <c r="G1338" s="9"/>
      <c r="H1338" s="9"/>
      <c r="I1338" s="9"/>
      <c r="J1338" s="9"/>
      <c r="K1338" s="357"/>
      <c r="L1338" s="9"/>
      <c r="M1338" s="9"/>
      <c r="N1338" s="9"/>
      <c r="O1338" s="9"/>
      <c r="P1338" s="9"/>
      <c r="Q1338" s="9"/>
      <c r="R1338" s="14"/>
      <c r="S1338" s="14"/>
    </row>
    <row r="1339" spans="1:19" ht="14.25">
      <c r="A1339" s="14"/>
      <c r="B1339" s="9"/>
      <c r="C1339" s="9"/>
      <c r="D1339" s="9"/>
      <c r="E1339" s="9"/>
      <c r="F1339" s="9"/>
      <c r="G1339" s="9"/>
      <c r="H1339" s="9"/>
      <c r="I1339" s="9"/>
      <c r="J1339" s="9"/>
      <c r="K1339" s="357"/>
      <c r="L1339" s="9"/>
      <c r="M1339" s="9"/>
      <c r="N1339" s="9"/>
      <c r="O1339" s="9"/>
      <c r="P1339" s="9"/>
      <c r="Q1339" s="9"/>
      <c r="R1339" s="14"/>
      <c r="S1339" s="14"/>
    </row>
    <row r="1340" spans="1:19" ht="14.25">
      <c r="A1340" s="14"/>
      <c r="B1340" s="9"/>
      <c r="C1340" s="9"/>
      <c r="D1340" s="9"/>
      <c r="E1340" s="9"/>
      <c r="F1340" s="9"/>
      <c r="G1340" s="9"/>
      <c r="H1340" s="9"/>
      <c r="I1340" s="9"/>
      <c r="J1340" s="9"/>
      <c r="K1340" s="357"/>
      <c r="L1340" s="9"/>
      <c r="M1340" s="9"/>
      <c r="N1340" s="9"/>
      <c r="O1340" s="9"/>
      <c r="P1340" s="9"/>
      <c r="Q1340" s="9"/>
      <c r="R1340" s="14"/>
      <c r="S1340" s="14"/>
    </row>
    <row r="1341" spans="1:19" ht="14.25">
      <c r="A1341" s="14"/>
      <c r="B1341" s="9"/>
      <c r="C1341" s="9"/>
      <c r="D1341" s="9"/>
      <c r="E1341" s="9"/>
      <c r="F1341" s="9"/>
      <c r="G1341" s="9"/>
      <c r="H1341" s="9"/>
      <c r="I1341" s="9"/>
      <c r="J1341" s="9"/>
      <c r="K1341" s="357"/>
      <c r="L1341" s="9"/>
      <c r="M1341" s="9"/>
      <c r="N1341" s="9"/>
      <c r="O1341" s="9"/>
      <c r="P1341" s="9"/>
      <c r="Q1341" s="9"/>
      <c r="R1341" s="14"/>
      <c r="S1341" s="14"/>
    </row>
    <row r="1342" spans="1:19" ht="14.25">
      <c r="A1342" s="14"/>
      <c r="B1342" s="9"/>
      <c r="C1342" s="9"/>
      <c r="D1342" s="9"/>
      <c r="E1342" s="9"/>
      <c r="F1342" s="9"/>
      <c r="G1342" s="9"/>
      <c r="H1342" s="9"/>
      <c r="I1342" s="9"/>
      <c r="J1342" s="9"/>
      <c r="K1342" s="357"/>
      <c r="L1342" s="9"/>
      <c r="M1342" s="9"/>
      <c r="N1342" s="9"/>
      <c r="O1342" s="9"/>
      <c r="P1342" s="9"/>
      <c r="Q1342" s="9"/>
      <c r="R1342" s="14"/>
      <c r="S1342" s="14"/>
    </row>
    <row r="1343" spans="1:19" ht="14.25">
      <c r="A1343" s="14"/>
      <c r="B1343" s="9"/>
      <c r="C1343" s="9"/>
      <c r="D1343" s="9"/>
      <c r="E1343" s="9"/>
      <c r="F1343" s="9"/>
      <c r="G1343" s="9"/>
      <c r="H1343" s="9"/>
      <c r="I1343" s="9"/>
      <c r="J1343" s="9"/>
      <c r="K1343" s="357"/>
      <c r="L1343" s="9"/>
      <c r="M1343" s="9"/>
      <c r="N1343" s="9"/>
      <c r="O1343" s="9"/>
      <c r="P1343" s="9"/>
      <c r="Q1343" s="9"/>
      <c r="R1343" s="14"/>
      <c r="S1343" s="14"/>
    </row>
    <row r="1344" spans="1:19" ht="14.25">
      <c r="A1344" s="14"/>
      <c r="B1344" s="9"/>
      <c r="C1344" s="9"/>
      <c r="D1344" s="9"/>
      <c r="E1344" s="9"/>
      <c r="F1344" s="9"/>
      <c r="G1344" s="9"/>
      <c r="H1344" s="9"/>
      <c r="I1344" s="9"/>
      <c r="J1344" s="9"/>
      <c r="K1344" s="357"/>
      <c r="L1344" s="9"/>
      <c r="M1344" s="9"/>
      <c r="N1344" s="9"/>
      <c r="O1344" s="9"/>
      <c r="P1344" s="9"/>
      <c r="Q1344" s="9"/>
      <c r="R1344" s="14"/>
      <c r="S1344" s="14"/>
    </row>
    <row r="1345" spans="1:19" ht="14.25">
      <c r="A1345" s="14"/>
      <c r="B1345" s="9"/>
      <c r="C1345" s="9"/>
      <c r="D1345" s="9"/>
      <c r="E1345" s="9"/>
      <c r="F1345" s="9"/>
      <c r="G1345" s="9"/>
      <c r="H1345" s="9"/>
      <c r="I1345" s="9"/>
      <c r="J1345" s="9"/>
      <c r="K1345" s="357"/>
      <c r="L1345" s="9"/>
      <c r="M1345" s="9"/>
      <c r="N1345" s="9"/>
      <c r="O1345" s="9"/>
      <c r="P1345" s="9"/>
      <c r="Q1345" s="9"/>
      <c r="R1345" s="14"/>
      <c r="S1345" s="14"/>
    </row>
    <row r="1346" spans="1:19" ht="14.25">
      <c r="A1346" s="14"/>
      <c r="B1346" s="9"/>
      <c r="C1346" s="9"/>
      <c r="D1346" s="9"/>
      <c r="E1346" s="9"/>
      <c r="F1346" s="9"/>
      <c r="G1346" s="9"/>
      <c r="H1346" s="9"/>
      <c r="I1346" s="9"/>
      <c r="J1346" s="9"/>
      <c r="K1346" s="357"/>
      <c r="L1346" s="9"/>
      <c r="M1346" s="9"/>
      <c r="N1346" s="9"/>
      <c r="O1346" s="9"/>
      <c r="P1346" s="9"/>
      <c r="Q1346" s="9"/>
      <c r="R1346" s="14"/>
      <c r="S1346" s="14"/>
    </row>
    <row r="1347" spans="1:19" ht="14.25">
      <c r="A1347" s="14"/>
      <c r="B1347" s="9"/>
      <c r="C1347" s="9"/>
      <c r="D1347" s="9"/>
      <c r="E1347" s="9"/>
      <c r="F1347" s="9"/>
      <c r="G1347" s="9"/>
      <c r="H1347" s="9"/>
      <c r="I1347" s="9"/>
      <c r="J1347" s="9"/>
      <c r="K1347" s="357"/>
      <c r="L1347" s="9"/>
      <c r="M1347" s="9"/>
      <c r="N1347" s="9"/>
      <c r="O1347" s="9"/>
      <c r="P1347" s="9"/>
      <c r="Q1347" s="9"/>
      <c r="R1347" s="14"/>
      <c r="S1347" s="14"/>
    </row>
    <row r="1348" spans="1:19" ht="14.25">
      <c r="A1348" s="14"/>
      <c r="B1348" s="9"/>
      <c r="C1348" s="9"/>
      <c r="D1348" s="9"/>
      <c r="E1348" s="9"/>
      <c r="F1348" s="9"/>
      <c r="G1348" s="9"/>
      <c r="H1348" s="9"/>
      <c r="I1348" s="9"/>
      <c r="J1348" s="9"/>
      <c r="K1348" s="357"/>
      <c r="L1348" s="9"/>
      <c r="M1348" s="9"/>
      <c r="N1348" s="9"/>
      <c r="O1348" s="9"/>
      <c r="P1348" s="9"/>
      <c r="Q1348" s="9"/>
      <c r="R1348" s="14"/>
      <c r="S1348" s="14"/>
    </row>
    <row r="1349" spans="1:19" ht="14.25">
      <c r="A1349" s="14"/>
      <c r="B1349" s="9"/>
      <c r="C1349" s="9"/>
      <c r="D1349" s="9"/>
      <c r="E1349" s="9"/>
      <c r="F1349" s="9"/>
      <c r="G1349" s="9"/>
      <c r="H1349" s="9"/>
      <c r="I1349" s="9"/>
      <c r="J1349" s="9"/>
      <c r="K1349" s="357"/>
      <c r="L1349" s="9"/>
      <c r="M1349" s="9"/>
      <c r="N1349" s="9"/>
      <c r="O1349" s="9"/>
      <c r="P1349" s="9"/>
      <c r="Q1349" s="9"/>
      <c r="R1349" s="14"/>
      <c r="S1349" s="14"/>
    </row>
    <row r="1350" spans="1:19" ht="14.25">
      <c r="A1350" s="14"/>
      <c r="B1350" s="9"/>
      <c r="C1350" s="9"/>
      <c r="D1350" s="9"/>
      <c r="E1350" s="9"/>
      <c r="F1350" s="9"/>
      <c r="G1350" s="9"/>
      <c r="H1350" s="9"/>
      <c r="I1350" s="9"/>
      <c r="J1350" s="9"/>
      <c r="K1350" s="357"/>
      <c r="L1350" s="9"/>
      <c r="M1350" s="9"/>
      <c r="N1350" s="9"/>
      <c r="O1350" s="9"/>
      <c r="P1350" s="9"/>
      <c r="Q1350" s="9"/>
      <c r="R1350" s="14"/>
      <c r="S1350" s="14"/>
    </row>
    <row r="1351" spans="1:19" ht="14.25">
      <c r="A1351" s="14"/>
      <c r="B1351" s="9"/>
      <c r="C1351" s="9"/>
      <c r="D1351" s="9"/>
      <c r="E1351" s="9"/>
      <c r="F1351" s="9"/>
      <c r="G1351" s="9"/>
      <c r="H1351" s="9"/>
      <c r="I1351" s="9"/>
      <c r="J1351" s="9"/>
      <c r="K1351" s="357"/>
      <c r="L1351" s="9"/>
      <c r="M1351" s="9"/>
      <c r="N1351" s="9"/>
      <c r="O1351" s="9"/>
      <c r="P1351" s="9"/>
      <c r="Q1351" s="9"/>
      <c r="R1351" s="14"/>
      <c r="S1351" s="14"/>
    </row>
    <row r="1352" spans="1:19" ht="14.25">
      <c r="A1352" s="14"/>
      <c r="B1352" s="9"/>
      <c r="C1352" s="9"/>
      <c r="D1352" s="9"/>
      <c r="E1352" s="9"/>
      <c r="F1352" s="9"/>
      <c r="G1352" s="9"/>
      <c r="H1352" s="9"/>
      <c r="I1352" s="9"/>
      <c r="J1352" s="9"/>
      <c r="K1352" s="357"/>
      <c r="L1352" s="9"/>
      <c r="M1352" s="9"/>
      <c r="N1352" s="9"/>
      <c r="O1352" s="9"/>
      <c r="P1352" s="9"/>
      <c r="Q1352" s="9"/>
      <c r="R1352" s="14"/>
      <c r="S1352" s="14"/>
    </row>
    <row r="1353" spans="1:19" ht="14.25">
      <c r="A1353" s="14"/>
      <c r="B1353" s="9"/>
      <c r="C1353" s="9"/>
      <c r="D1353" s="9"/>
      <c r="E1353" s="9"/>
      <c r="F1353" s="9"/>
      <c r="G1353" s="9"/>
      <c r="H1353" s="9"/>
      <c r="I1353" s="9"/>
      <c r="J1353" s="9"/>
      <c r="K1353" s="357"/>
      <c r="L1353" s="9"/>
      <c r="M1353" s="9"/>
      <c r="N1353" s="9"/>
      <c r="O1353" s="9"/>
      <c r="P1353" s="9"/>
      <c r="Q1353" s="9"/>
      <c r="R1353" s="14"/>
      <c r="S1353" s="14"/>
    </row>
    <row r="1354" spans="1:19" ht="14.25">
      <c r="A1354" s="14"/>
      <c r="B1354" s="9"/>
      <c r="C1354" s="9"/>
      <c r="D1354" s="9"/>
      <c r="E1354" s="9"/>
      <c r="F1354" s="9"/>
      <c r="G1354" s="9"/>
      <c r="H1354" s="9"/>
      <c r="I1354" s="9"/>
      <c r="J1354" s="9"/>
      <c r="K1354" s="357"/>
      <c r="L1354" s="9"/>
      <c r="M1354" s="9"/>
      <c r="N1354" s="9"/>
      <c r="O1354" s="9"/>
      <c r="P1354" s="9"/>
      <c r="Q1354" s="9"/>
      <c r="R1354" s="14"/>
      <c r="S1354" s="14"/>
    </row>
    <row r="1355" spans="1:19" ht="14.25">
      <c r="A1355" s="14"/>
      <c r="B1355" s="9"/>
      <c r="C1355" s="9"/>
      <c r="D1355" s="9"/>
      <c r="E1355" s="9"/>
      <c r="F1355" s="9"/>
      <c r="G1355" s="9"/>
      <c r="H1355" s="9"/>
      <c r="I1355" s="9"/>
      <c r="J1355" s="9"/>
      <c r="K1355" s="357"/>
      <c r="L1355" s="9"/>
      <c r="M1355" s="9"/>
      <c r="N1355" s="9"/>
      <c r="O1355" s="9"/>
      <c r="P1355" s="9"/>
      <c r="Q1355" s="9"/>
      <c r="R1355" s="14"/>
      <c r="S1355" s="14"/>
    </row>
    <row r="1356" spans="1:19" ht="14.25">
      <c r="A1356" s="14"/>
      <c r="B1356" s="9"/>
      <c r="C1356" s="9"/>
      <c r="D1356" s="9"/>
      <c r="E1356" s="9"/>
      <c r="F1356" s="9"/>
      <c r="G1356" s="9"/>
      <c r="H1356" s="9"/>
      <c r="I1356" s="9"/>
      <c r="J1356" s="9"/>
      <c r="K1356" s="357"/>
      <c r="L1356" s="9"/>
      <c r="M1356" s="9"/>
      <c r="N1356" s="9"/>
      <c r="O1356" s="9"/>
      <c r="P1356" s="9"/>
      <c r="Q1356" s="9"/>
      <c r="R1356" s="14"/>
      <c r="S1356" s="14"/>
    </row>
    <row r="1357" spans="1:19" ht="14.25">
      <c r="A1357" s="14"/>
      <c r="B1357" s="9"/>
      <c r="C1357" s="9"/>
      <c r="D1357" s="9"/>
      <c r="E1357" s="9"/>
      <c r="F1357" s="9"/>
      <c r="G1357" s="9"/>
      <c r="H1357" s="9"/>
      <c r="I1357" s="9"/>
      <c r="J1357" s="9"/>
      <c r="K1357" s="357"/>
      <c r="L1357" s="9"/>
      <c r="M1357" s="9"/>
      <c r="N1357" s="9"/>
      <c r="O1357" s="9"/>
      <c r="P1357" s="9"/>
      <c r="Q1357" s="9"/>
      <c r="R1357" s="14"/>
      <c r="S1357" s="14"/>
    </row>
    <row r="1358" spans="1:19" ht="14.25">
      <c r="A1358" s="14"/>
      <c r="B1358" s="9"/>
      <c r="C1358" s="9"/>
      <c r="D1358" s="9"/>
      <c r="E1358" s="9"/>
      <c r="F1358" s="9"/>
      <c r="G1358" s="9"/>
      <c r="H1358" s="9"/>
      <c r="I1358" s="9"/>
      <c r="J1358" s="9"/>
      <c r="K1358" s="357"/>
      <c r="L1358" s="9"/>
      <c r="M1358" s="9"/>
      <c r="N1358" s="9"/>
      <c r="O1358" s="9"/>
      <c r="P1358" s="9"/>
      <c r="Q1358" s="9"/>
      <c r="R1358" s="14"/>
      <c r="S1358" s="14"/>
    </row>
    <row r="1359" spans="1:19" ht="14.25">
      <c r="A1359" s="14"/>
      <c r="B1359" s="9"/>
      <c r="C1359" s="9"/>
      <c r="D1359" s="9"/>
      <c r="E1359" s="9"/>
      <c r="F1359" s="9"/>
      <c r="G1359" s="9"/>
      <c r="H1359" s="9"/>
      <c r="I1359" s="9"/>
      <c r="J1359" s="9"/>
      <c r="K1359" s="357"/>
      <c r="L1359" s="9"/>
      <c r="M1359" s="9"/>
      <c r="N1359" s="9"/>
      <c r="O1359" s="9"/>
      <c r="P1359" s="9"/>
      <c r="Q1359" s="9"/>
      <c r="R1359" s="14"/>
      <c r="S1359" s="14"/>
    </row>
    <row r="1360" spans="1:19" ht="14.25">
      <c r="A1360" s="14"/>
      <c r="B1360" s="9"/>
      <c r="C1360" s="9"/>
      <c r="D1360" s="9"/>
      <c r="E1360" s="9"/>
      <c r="F1360" s="9"/>
      <c r="G1360" s="9"/>
      <c r="H1360" s="9"/>
      <c r="I1360" s="9"/>
      <c r="J1360" s="9"/>
      <c r="K1360" s="357"/>
      <c r="L1360" s="9"/>
      <c r="M1360" s="9"/>
      <c r="N1360" s="9"/>
      <c r="O1360" s="9"/>
      <c r="P1360" s="9"/>
      <c r="Q1360" s="9"/>
      <c r="R1360" s="14"/>
      <c r="S1360" s="14"/>
    </row>
    <row r="1361" spans="1:19" ht="14.25">
      <c r="A1361" s="14"/>
      <c r="B1361" s="9"/>
      <c r="C1361" s="9"/>
      <c r="D1361" s="9"/>
      <c r="E1361" s="9"/>
      <c r="F1361" s="9"/>
      <c r="G1361" s="9"/>
      <c r="H1361" s="9"/>
      <c r="I1361" s="9"/>
      <c r="J1361" s="9"/>
      <c r="K1361" s="357"/>
      <c r="L1361" s="9"/>
      <c r="M1361" s="9"/>
      <c r="N1361" s="9"/>
      <c r="O1361" s="9"/>
      <c r="P1361" s="9"/>
      <c r="Q1361" s="9"/>
      <c r="R1361" s="14"/>
      <c r="S1361" s="14"/>
    </row>
    <row r="1362" spans="1:19" ht="14.25">
      <c r="A1362" s="14"/>
      <c r="B1362" s="9"/>
      <c r="C1362" s="9"/>
      <c r="D1362" s="9"/>
      <c r="E1362" s="9"/>
      <c r="F1362" s="9"/>
      <c r="G1362" s="9"/>
      <c r="H1362" s="9"/>
      <c r="I1362" s="9"/>
      <c r="J1362" s="9"/>
      <c r="K1362" s="357"/>
      <c r="L1362" s="9"/>
      <c r="M1362" s="9"/>
      <c r="N1362" s="9"/>
      <c r="O1362" s="9"/>
      <c r="P1362" s="9"/>
      <c r="Q1362" s="9"/>
      <c r="R1362" s="14"/>
      <c r="S1362" s="14"/>
    </row>
    <row r="1363" spans="1:19" ht="14.25">
      <c r="A1363" s="14"/>
      <c r="B1363" s="9"/>
      <c r="C1363" s="9"/>
      <c r="D1363" s="9"/>
      <c r="E1363" s="9"/>
      <c r="F1363" s="9"/>
      <c r="G1363" s="9"/>
      <c r="H1363" s="9"/>
      <c r="I1363" s="9"/>
      <c r="J1363" s="9"/>
      <c r="K1363" s="357"/>
      <c r="L1363" s="9"/>
      <c r="M1363" s="9"/>
      <c r="N1363" s="9"/>
      <c r="O1363" s="9"/>
      <c r="P1363" s="9"/>
      <c r="Q1363" s="9"/>
      <c r="R1363" s="14"/>
      <c r="S1363" s="14"/>
    </row>
    <row r="1364" spans="1:19" ht="14.25">
      <c r="A1364" s="14"/>
      <c r="B1364" s="9"/>
      <c r="C1364" s="9"/>
      <c r="D1364" s="9"/>
      <c r="E1364" s="9"/>
      <c r="F1364" s="9"/>
      <c r="G1364" s="9"/>
      <c r="H1364" s="9"/>
      <c r="I1364" s="9"/>
      <c r="J1364" s="9"/>
      <c r="K1364" s="357"/>
      <c r="L1364" s="9"/>
      <c r="M1364" s="9"/>
      <c r="N1364" s="9"/>
      <c r="O1364" s="9"/>
      <c r="P1364" s="9"/>
      <c r="Q1364" s="9"/>
      <c r="R1364" s="14"/>
      <c r="S1364" s="14"/>
    </row>
    <row r="1365" spans="1:19" ht="14.25">
      <c r="A1365" s="14"/>
      <c r="B1365" s="9"/>
      <c r="C1365" s="9"/>
      <c r="D1365" s="9"/>
      <c r="E1365" s="9"/>
      <c r="F1365" s="9"/>
      <c r="G1365" s="9"/>
      <c r="H1365" s="9"/>
      <c r="I1365" s="9"/>
      <c r="J1365" s="9"/>
      <c r="K1365" s="357"/>
      <c r="L1365" s="9"/>
      <c r="M1365" s="9"/>
      <c r="N1365" s="9"/>
      <c r="O1365" s="9"/>
      <c r="P1365" s="9"/>
      <c r="Q1365" s="9"/>
      <c r="R1365" s="14"/>
      <c r="S1365" s="14"/>
    </row>
    <row r="1366" spans="1:19" ht="14.25">
      <c r="A1366" s="14"/>
      <c r="B1366" s="9"/>
      <c r="C1366" s="9"/>
      <c r="D1366" s="9"/>
      <c r="E1366" s="9"/>
      <c r="F1366" s="9"/>
      <c r="G1366" s="9"/>
      <c r="H1366" s="9"/>
      <c r="I1366" s="9"/>
      <c r="J1366" s="9"/>
      <c r="K1366" s="357"/>
      <c r="L1366" s="9"/>
      <c r="M1366" s="9"/>
      <c r="N1366" s="9"/>
      <c r="O1366" s="9"/>
      <c r="P1366" s="9"/>
      <c r="Q1366" s="9"/>
      <c r="R1366" s="14"/>
      <c r="S1366" s="14"/>
    </row>
    <row r="1367" spans="1:19" ht="14.25">
      <c r="A1367" s="14"/>
      <c r="B1367" s="9"/>
      <c r="C1367" s="9"/>
      <c r="D1367" s="9"/>
      <c r="E1367" s="9"/>
      <c r="F1367" s="9"/>
      <c r="G1367" s="9"/>
      <c r="H1367" s="9"/>
      <c r="I1367" s="9"/>
      <c r="J1367" s="9"/>
      <c r="K1367" s="357"/>
      <c r="L1367" s="9"/>
      <c r="M1367" s="9"/>
      <c r="N1367" s="9"/>
      <c r="O1367" s="9"/>
      <c r="P1367" s="9"/>
      <c r="Q1367" s="9"/>
      <c r="R1367" s="14"/>
      <c r="S1367" s="14"/>
    </row>
    <row r="1368" spans="1:19" ht="14.25">
      <c r="A1368" s="14"/>
      <c r="B1368" s="9"/>
      <c r="C1368" s="9"/>
      <c r="D1368" s="9"/>
      <c r="E1368" s="9"/>
      <c r="F1368" s="9"/>
      <c r="G1368" s="9"/>
      <c r="H1368" s="9"/>
      <c r="I1368" s="9"/>
      <c r="J1368" s="9"/>
      <c r="K1368" s="357"/>
      <c r="L1368" s="9"/>
      <c r="M1368" s="9"/>
      <c r="N1368" s="9"/>
      <c r="O1368" s="9"/>
      <c r="P1368" s="9"/>
      <c r="Q1368" s="9"/>
      <c r="R1368" s="14"/>
      <c r="S1368" s="14"/>
    </row>
    <row r="1369" spans="1:19" ht="14.25">
      <c r="A1369" s="14"/>
      <c r="B1369" s="9"/>
      <c r="C1369" s="9"/>
      <c r="D1369" s="9"/>
      <c r="E1369" s="9"/>
      <c r="F1369" s="9"/>
      <c r="G1369" s="9"/>
      <c r="H1369" s="9"/>
      <c r="I1369" s="9"/>
      <c r="J1369" s="9"/>
      <c r="K1369" s="357"/>
      <c r="L1369" s="9"/>
      <c r="M1369" s="9"/>
      <c r="N1369" s="9"/>
      <c r="O1369" s="9"/>
      <c r="P1369" s="9"/>
      <c r="Q1369" s="9"/>
      <c r="R1369" s="14"/>
      <c r="S1369" s="14"/>
    </row>
    <row r="1370" spans="1:19" ht="14.25">
      <c r="A1370" s="14"/>
      <c r="B1370" s="9"/>
      <c r="C1370" s="9"/>
      <c r="D1370" s="9"/>
      <c r="E1370" s="9"/>
      <c r="F1370" s="9"/>
      <c r="G1370" s="9"/>
      <c r="H1370" s="9"/>
      <c r="I1370" s="9"/>
      <c r="J1370" s="9"/>
      <c r="K1370" s="357"/>
      <c r="L1370" s="9"/>
      <c r="M1370" s="9"/>
      <c r="N1370" s="9"/>
      <c r="O1370" s="9"/>
      <c r="P1370" s="9"/>
      <c r="Q1370" s="9"/>
      <c r="R1370" s="14"/>
      <c r="S1370" s="14"/>
    </row>
    <row r="1371" spans="1:19" ht="14.25">
      <c r="A1371" s="14"/>
      <c r="B1371" s="9"/>
      <c r="C1371" s="9"/>
      <c r="D1371" s="9"/>
      <c r="E1371" s="9"/>
      <c r="F1371" s="9"/>
      <c r="G1371" s="9"/>
      <c r="H1371" s="9"/>
      <c r="I1371" s="9"/>
      <c r="J1371" s="9"/>
      <c r="K1371" s="357"/>
      <c r="L1371" s="9"/>
      <c r="M1371" s="9"/>
      <c r="N1371" s="9"/>
      <c r="O1371" s="9"/>
      <c r="P1371" s="9"/>
      <c r="Q1371" s="9"/>
      <c r="R1371" s="14"/>
      <c r="S1371" s="14"/>
    </row>
    <row r="1372" spans="1:19" ht="14.25">
      <c r="A1372" s="14"/>
      <c r="B1372" s="9"/>
      <c r="C1372" s="9"/>
      <c r="D1372" s="9"/>
      <c r="E1372" s="9"/>
      <c r="F1372" s="9"/>
      <c r="G1372" s="9"/>
      <c r="H1372" s="9"/>
      <c r="I1372" s="9"/>
      <c r="J1372" s="9"/>
      <c r="K1372" s="357"/>
      <c r="L1372" s="9"/>
      <c r="M1372" s="9"/>
      <c r="N1372" s="9"/>
      <c r="O1372" s="9"/>
      <c r="P1372" s="9"/>
      <c r="Q1372" s="9"/>
      <c r="R1372" s="14"/>
      <c r="S1372" s="14"/>
    </row>
    <row r="1373" spans="1:19" ht="14.25">
      <c r="A1373" s="14"/>
      <c r="B1373" s="9"/>
      <c r="C1373" s="9"/>
      <c r="D1373" s="9"/>
      <c r="E1373" s="9"/>
      <c r="F1373" s="9"/>
      <c r="G1373" s="9"/>
      <c r="H1373" s="9"/>
      <c r="I1373" s="9"/>
      <c r="J1373" s="9"/>
      <c r="K1373" s="357"/>
      <c r="L1373" s="9"/>
      <c r="M1373" s="9"/>
      <c r="N1373" s="9"/>
      <c r="O1373" s="9"/>
      <c r="P1373" s="9"/>
      <c r="Q1373" s="9"/>
      <c r="R1373" s="14"/>
      <c r="S1373" s="14"/>
    </row>
    <row r="1374" spans="1:19" ht="14.25">
      <c r="A1374" s="14"/>
      <c r="B1374" s="9"/>
      <c r="C1374" s="9"/>
      <c r="D1374" s="9"/>
      <c r="E1374" s="9"/>
      <c r="F1374" s="9"/>
      <c r="G1374" s="9"/>
      <c r="H1374" s="9"/>
      <c r="I1374" s="9"/>
      <c r="J1374" s="9"/>
      <c r="K1374" s="357"/>
      <c r="L1374" s="9"/>
      <c r="M1374" s="9"/>
      <c r="N1374" s="9"/>
      <c r="O1374" s="9"/>
      <c r="P1374" s="9"/>
      <c r="Q1374" s="9"/>
      <c r="R1374" s="14"/>
      <c r="S1374" s="14"/>
    </row>
    <row r="1375" spans="1:19" ht="14.25">
      <c r="A1375" s="14"/>
      <c r="B1375" s="9"/>
      <c r="C1375" s="9"/>
      <c r="D1375" s="9"/>
      <c r="E1375" s="9"/>
      <c r="F1375" s="9"/>
      <c r="G1375" s="9"/>
      <c r="H1375" s="9"/>
      <c r="I1375" s="9"/>
      <c r="J1375" s="9"/>
      <c r="K1375" s="357"/>
      <c r="L1375" s="9"/>
      <c r="M1375" s="9"/>
      <c r="N1375" s="9"/>
      <c r="O1375" s="9"/>
      <c r="P1375" s="9"/>
      <c r="Q1375" s="9"/>
      <c r="R1375" s="14"/>
      <c r="S1375" s="14"/>
    </row>
    <row r="1376" spans="1:19" ht="14.25">
      <c r="A1376" s="14"/>
      <c r="B1376" s="9"/>
      <c r="C1376" s="9"/>
      <c r="D1376" s="9"/>
      <c r="E1376" s="9"/>
      <c r="F1376" s="9"/>
      <c r="G1376" s="9"/>
      <c r="H1376" s="9"/>
      <c r="I1376" s="9"/>
      <c r="J1376" s="9"/>
      <c r="K1376" s="357"/>
      <c r="L1376" s="9"/>
      <c r="M1376" s="9"/>
      <c r="N1376" s="9"/>
      <c r="O1376" s="9"/>
      <c r="P1376" s="9"/>
      <c r="Q1376" s="9"/>
      <c r="R1376" s="14"/>
      <c r="S1376" s="14"/>
    </row>
    <row r="1377" spans="1:19" ht="14.25">
      <c r="A1377" s="14"/>
      <c r="B1377" s="9"/>
      <c r="C1377" s="9"/>
      <c r="D1377" s="9"/>
      <c r="E1377" s="9"/>
      <c r="F1377" s="9"/>
      <c r="G1377" s="9"/>
      <c r="H1377" s="9"/>
      <c r="I1377" s="9"/>
      <c r="J1377" s="9"/>
      <c r="K1377" s="357"/>
      <c r="L1377" s="9"/>
      <c r="M1377" s="9"/>
      <c r="N1377" s="9"/>
      <c r="O1377" s="9"/>
      <c r="P1377" s="9"/>
      <c r="Q1377" s="9"/>
      <c r="R1377" s="14"/>
      <c r="S1377" s="14"/>
    </row>
    <row r="1378" spans="1:19" ht="14.25">
      <c r="A1378" s="14"/>
      <c r="B1378" s="9"/>
      <c r="C1378" s="9"/>
      <c r="D1378" s="9"/>
      <c r="E1378" s="9"/>
      <c r="F1378" s="9"/>
      <c r="G1378" s="9"/>
      <c r="H1378" s="9"/>
      <c r="I1378" s="9"/>
      <c r="J1378" s="9"/>
      <c r="K1378" s="357"/>
      <c r="L1378" s="9"/>
      <c r="M1378" s="9"/>
      <c r="N1378" s="9"/>
      <c r="O1378" s="9"/>
      <c r="P1378" s="9"/>
      <c r="Q1378" s="9"/>
      <c r="R1378" s="14"/>
      <c r="S1378" s="14"/>
    </row>
    <row r="1379" spans="1:19" ht="14.25">
      <c r="A1379" s="14"/>
      <c r="B1379" s="9"/>
      <c r="C1379" s="9"/>
      <c r="D1379" s="9"/>
      <c r="E1379" s="9"/>
      <c r="F1379" s="9"/>
      <c r="G1379" s="9"/>
      <c r="H1379" s="9"/>
      <c r="I1379" s="9"/>
      <c r="J1379" s="9"/>
      <c r="K1379" s="357"/>
      <c r="L1379" s="9"/>
      <c r="M1379" s="9"/>
      <c r="N1379" s="9"/>
      <c r="O1379" s="9"/>
      <c r="P1379" s="9"/>
      <c r="Q1379" s="9"/>
      <c r="R1379" s="14"/>
      <c r="S1379" s="14"/>
    </row>
    <row r="1380" spans="1:19" ht="14.25">
      <c r="A1380" s="14"/>
      <c r="B1380" s="9"/>
      <c r="C1380" s="9"/>
      <c r="D1380" s="9"/>
      <c r="E1380" s="9"/>
      <c r="F1380" s="9"/>
      <c r="G1380" s="9"/>
      <c r="H1380" s="9"/>
      <c r="I1380" s="9"/>
      <c r="J1380" s="9"/>
      <c r="K1380" s="357"/>
      <c r="L1380" s="9"/>
      <c r="M1380" s="9"/>
      <c r="N1380" s="9"/>
      <c r="O1380" s="9"/>
      <c r="P1380" s="9"/>
      <c r="Q1380" s="9"/>
      <c r="R1380" s="14"/>
      <c r="S1380" s="14"/>
    </row>
    <row r="1381" spans="1:19" ht="14.25">
      <c r="A1381" s="14"/>
      <c r="B1381" s="9"/>
      <c r="C1381" s="9"/>
      <c r="D1381" s="9"/>
      <c r="E1381" s="9"/>
      <c r="F1381" s="9"/>
      <c r="G1381" s="9"/>
      <c r="H1381" s="9"/>
      <c r="I1381" s="9"/>
      <c r="J1381" s="9"/>
      <c r="K1381" s="357"/>
      <c r="L1381" s="9"/>
      <c r="M1381" s="9"/>
      <c r="N1381" s="9"/>
      <c r="O1381" s="9"/>
      <c r="P1381" s="9"/>
      <c r="Q1381" s="9"/>
      <c r="R1381" s="14"/>
      <c r="S1381" s="14"/>
    </row>
    <row r="1382" spans="1:19" ht="14.25">
      <c r="A1382" s="14"/>
      <c r="B1382" s="9"/>
      <c r="C1382" s="9"/>
      <c r="D1382" s="9"/>
      <c r="E1382" s="9"/>
      <c r="F1382" s="9"/>
      <c r="G1382" s="9"/>
      <c r="H1382" s="9"/>
      <c r="I1382" s="9"/>
      <c r="J1382" s="9"/>
      <c r="K1382" s="357"/>
      <c r="L1382" s="9"/>
      <c r="M1382" s="9"/>
      <c r="N1382" s="9"/>
      <c r="O1382" s="9"/>
      <c r="P1382" s="9"/>
      <c r="Q1382" s="9"/>
      <c r="R1382" s="14"/>
      <c r="S1382" s="14"/>
    </row>
    <row r="1383" spans="1:19" ht="14.25">
      <c r="A1383" s="14"/>
      <c r="B1383" s="9"/>
      <c r="C1383" s="9"/>
      <c r="D1383" s="9"/>
      <c r="E1383" s="9"/>
      <c r="F1383" s="9"/>
      <c r="G1383" s="9"/>
      <c r="H1383" s="9"/>
      <c r="I1383" s="9"/>
      <c r="J1383" s="9"/>
      <c r="K1383" s="357"/>
      <c r="L1383" s="9"/>
      <c r="M1383" s="9"/>
      <c r="N1383" s="9"/>
      <c r="O1383" s="9"/>
      <c r="P1383" s="9"/>
      <c r="Q1383" s="9"/>
      <c r="R1383" s="14"/>
      <c r="S1383" s="14"/>
    </row>
    <row r="1384" spans="1:19" ht="14.25">
      <c r="A1384" s="14"/>
      <c r="B1384" s="9"/>
      <c r="C1384" s="9"/>
      <c r="D1384" s="9"/>
      <c r="E1384" s="9"/>
      <c r="F1384" s="9"/>
      <c r="G1384" s="9"/>
      <c r="H1384" s="9"/>
      <c r="I1384" s="9"/>
      <c r="J1384" s="9"/>
      <c r="K1384" s="357"/>
      <c r="L1384" s="9"/>
      <c r="M1384" s="9"/>
      <c r="N1384" s="9"/>
      <c r="O1384" s="9"/>
      <c r="P1384" s="9"/>
      <c r="Q1384" s="9"/>
      <c r="R1384" s="14"/>
      <c r="S1384" s="14"/>
    </row>
    <row r="1385" spans="1:19" ht="14.25">
      <c r="A1385" s="14"/>
      <c r="B1385" s="9"/>
      <c r="C1385" s="9"/>
      <c r="D1385" s="9"/>
      <c r="E1385" s="9"/>
      <c r="F1385" s="9"/>
      <c r="G1385" s="9"/>
      <c r="H1385" s="9"/>
      <c r="I1385" s="9"/>
      <c r="J1385" s="9"/>
      <c r="K1385" s="357"/>
      <c r="L1385" s="9"/>
      <c r="M1385" s="9"/>
      <c r="N1385" s="9"/>
      <c r="O1385" s="9"/>
      <c r="P1385" s="9"/>
      <c r="Q1385" s="9"/>
      <c r="R1385" s="14"/>
      <c r="S1385" s="14"/>
    </row>
    <row r="1386" spans="1:19" ht="14.25">
      <c r="A1386" s="14"/>
      <c r="B1386" s="9"/>
      <c r="C1386" s="9"/>
      <c r="D1386" s="9"/>
      <c r="E1386" s="9"/>
      <c r="F1386" s="9"/>
      <c r="G1386" s="9"/>
      <c r="H1386" s="9"/>
      <c r="I1386" s="9"/>
      <c r="J1386" s="9"/>
      <c r="K1386" s="357"/>
      <c r="L1386" s="9"/>
      <c r="M1386" s="9"/>
      <c r="N1386" s="9"/>
      <c r="O1386" s="9"/>
      <c r="P1386" s="9"/>
      <c r="Q1386" s="9"/>
      <c r="R1386" s="14"/>
      <c r="S1386" s="14"/>
    </row>
    <row r="1387" spans="1:19" ht="14.25">
      <c r="A1387" s="14"/>
      <c r="B1387" s="9"/>
      <c r="C1387" s="9"/>
      <c r="D1387" s="9"/>
      <c r="E1387" s="9"/>
      <c r="F1387" s="9"/>
      <c r="G1387" s="9"/>
      <c r="H1387" s="9"/>
      <c r="I1387" s="9"/>
      <c r="J1387" s="9"/>
      <c r="K1387" s="357"/>
      <c r="L1387" s="9"/>
      <c r="M1387" s="9"/>
      <c r="N1387" s="9"/>
      <c r="O1387" s="9"/>
      <c r="P1387" s="9"/>
      <c r="Q1387" s="9"/>
      <c r="R1387" s="14"/>
      <c r="S1387" s="14"/>
    </row>
    <row r="1388" spans="1:19" ht="14.25">
      <c r="A1388" s="14"/>
      <c r="B1388" s="9"/>
      <c r="C1388" s="9"/>
      <c r="D1388" s="9"/>
      <c r="E1388" s="9"/>
      <c r="F1388" s="9"/>
      <c r="G1388" s="9"/>
      <c r="H1388" s="9"/>
      <c r="I1388" s="9"/>
      <c r="J1388" s="9"/>
      <c r="K1388" s="357"/>
      <c r="L1388" s="9"/>
      <c r="M1388" s="9"/>
      <c r="N1388" s="9"/>
      <c r="O1388" s="9"/>
      <c r="P1388" s="9"/>
      <c r="Q1388" s="9"/>
      <c r="R1388" s="14"/>
      <c r="S1388" s="14"/>
    </row>
    <row r="1389" spans="1:19" ht="14.25">
      <c r="A1389" s="14"/>
      <c r="B1389" s="9"/>
      <c r="C1389" s="9"/>
      <c r="D1389" s="9"/>
      <c r="E1389" s="9"/>
      <c r="F1389" s="9"/>
      <c r="G1389" s="9"/>
      <c r="H1389" s="9"/>
      <c r="I1389" s="9"/>
      <c r="J1389" s="9"/>
      <c r="K1389" s="357"/>
      <c r="L1389" s="9"/>
      <c r="M1389" s="9"/>
      <c r="N1389" s="9"/>
      <c r="O1389" s="9"/>
      <c r="P1389" s="9"/>
      <c r="Q1389" s="9"/>
      <c r="R1389" s="14"/>
      <c r="S1389" s="14"/>
    </row>
    <row r="1390" spans="1:19" ht="14.25">
      <c r="A1390" s="14"/>
      <c r="B1390" s="9"/>
      <c r="C1390" s="9"/>
      <c r="D1390" s="9"/>
      <c r="E1390" s="9"/>
      <c r="F1390" s="9"/>
      <c r="G1390" s="9"/>
      <c r="H1390" s="9"/>
      <c r="I1390" s="9"/>
      <c r="J1390" s="9"/>
      <c r="K1390" s="357"/>
      <c r="L1390" s="9"/>
      <c r="M1390" s="9"/>
      <c r="N1390" s="9"/>
      <c r="O1390" s="9"/>
      <c r="P1390" s="9"/>
      <c r="Q1390" s="9"/>
      <c r="R1390" s="14"/>
      <c r="S1390" s="14"/>
    </row>
    <row r="1391" spans="1:19" ht="14.25">
      <c r="A1391" s="14"/>
      <c r="B1391" s="9"/>
      <c r="C1391" s="9"/>
      <c r="D1391" s="9"/>
      <c r="E1391" s="9"/>
      <c r="F1391" s="9"/>
      <c r="G1391" s="9"/>
      <c r="H1391" s="9"/>
      <c r="I1391" s="9"/>
      <c r="J1391" s="9"/>
      <c r="K1391" s="357"/>
      <c r="L1391" s="9"/>
      <c r="M1391" s="9"/>
      <c r="N1391" s="9"/>
      <c r="O1391" s="9"/>
      <c r="P1391" s="9"/>
      <c r="Q1391" s="9"/>
      <c r="R1391" s="14"/>
      <c r="S1391" s="14"/>
    </row>
    <row r="1392" spans="1:19" ht="14.25">
      <c r="A1392" s="14"/>
      <c r="B1392" s="9"/>
      <c r="C1392" s="9"/>
      <c r="D1392" s="9"/>
      <c r="E1392" s="9"/>
      <c r="F1392" s="9"/>
      <c r="G1392" s="9"/>
      <c r="H1392" s="9"/>
      <c r="I1392" s="9"/>
      <c r="J1392" s="9"/>
      <c r="K1392" s="357"/>
      <c r="L1392" s="9"/>
      <c r="M1392" s="9"/>
      <c r="N1392" s="9"/>
      <c r="O1392" s="9"/>
      <c r="P1392" s="9"/>
      <c r="Q1392" s="9"/>
      <c r="R1392" s="14"/>
      <c r="S1392" s="14"/>
    </row>
    <row r="1393" spans="1:19" ht="14.25">
      <c r="A1393" s="14"/>
      <c r="B1393" s="9"/>
      <c r="C1393" s="9"/>
      <c r="D1393" s="9"/>
      <c r="E1393" s="9"/>
      <c r="F1393" s="9"/>
      <c r="G1393" s="9"/>
      <c r="H1393" s="9"/>
      <c r="I1393" s="9"/>
      <c r="J1393" s="9"/>
      <c r="K1393" s="357"/>
      <c r="L1393" s="9"/>
      <c r="M1393" s="9"/>
      <c r="N1393" s="9"/>
      <c r="O1393" s="9"/>
      <c r="P1393" s="9"/>
      <c r="Q1393" s="9"/>
      <c r="R1393" s="14"/>
      <c r="S1393" s="14"/>
    </row>
    <row r="1394" spans="1:19" ht="14.25">
      <c r="A1394" s="14"/>
      <c r="B1394" s="9"/>
      <c r="C1394" s="9"/>
      <c r="D1394" s="9"/>
      <c r="E1394" s="9"/>
      <c r="F1394" s="9"/>
      <c r="G1394" s="9"/>
      <c r="H1394" s="9"/>
      <c r="I1394" s="9"/>
      <c r="J1394" s="9"/>
      <c r="K1394" s="357"/>
      <c r="L1394" s="9"/>
      <c r="M1394" s="9"/>
      <c r="N1394" s="9"/>
      <c r="O1394" s="9"/>
      <c r="P1394" s="9"/>
      <c r="Q1394" s="9"/>
      <c r="R1394" s="14"/>
      <c r="S1394" s="14"/>
    </row>
    <row r="1395" spans="1:19" ht="14.25">
      <c r="A1395" s="14"/>
      <c r="B1395" s="9"/>
      <c r="C1395" s="9"/>
      <c r="D1395" s="9"/>
      <c r="E1395" s="9"/>
      <c r="F1395" s="9"/>
      <c r="G1395" s="9"/>
      <c r="H1395" s="9"/>
      <c r="I1395" s="9"/>
      <c r="J1395" s="9"/>
      <c r="K1395" s="357"/>
      <c r="L1395" s="9"/>
      <c r="M1395" s="9"/>
      <c r="N1395" s="9"/>
      <c r="O1395" s="9"/>
      <c r="P1395" s="9"/>
      <c r="Q1395" s="9"/>
      <c r="R1395" s="14"/>
      <c r="S1395" s="14"/>
    </row>
    <row r="1396" spans="1:19" ht="14.25">
      <c r="A1396" s="14"/>
      <c r="B1396" s="9"/>
      <c r="C1396" s="9"/>
      <c r="D1396" s="9"/>
      <c r="E1396" s="9"/>
      <c r="F1396" s="9"/>
      <c r="G1396" s="9"/>
      <c r="H1396" s="9"/>
      <c r="I1396" s="9"/>
      <c r="J1396" s="9"/>
      <c r="K1396" s="357"/>
      <c r="L1396" s="9"/>
      <c r="M1396" s="9"/>
      <c r="N1396" s="9"/>
      <c r="O1396" s="9"/>
      <c r="P1396" s="9"/>
      <c r="Q1396" s="9"/>
      <c r="R1396" s="14"/>
      <c r="S1396" s="14"/>
    </row>
    <row r="1397" spans="1:19" ht="14.25">
      <c r="A1397" s="14"/>
      <c r="B1397" s="9"/>
      <c r="C1397" s="9"/>
      <c r="D1397" s="9"/>
      <c r="E1397" s="9"/>
      <c r="F1397" s="9"/>
      <c r="G1397" s="9"/>
      <c r="H1397" s="9"/>
      <c r="I1397" s="9"/>
      <c r="J1397" s="9"/>
      <c r="K1397" s="357"/>
      <c r="L1397" s="9"/>
      <c r="M1397" s="9"/>
      <c r="N1397" s="9"/>
      <c r="O1397" s="9"/>
      <c r="P1397" s="9"/>
      <c r="Q1397" s="9"/>
      <c r="R1397" s="14"/>
      <c r="S1397" s="14"/>
    </row>
    <row r="1398" spans="1:19" ht="14.25">
      <c r="A1398" s="14"/>
      <c r="B1398" s="9"/>
      <c r="C1398" s="9"/>
      <c r="D1398" s="9"/>
      <c r="E1398" s="9"/>
      <c r="F1398" s="9"/>
      <c r="G1398" s="9"/>
      <c r="H1398" s="9"/>
      <c r="I1398" s="9"/>
      <c r="J1398" s="9"/>
      <c r="K1398" s="357"/>
      <c r="L1398" s="9"/>
      <c r="M1398" s="9"/>
      <c r="N1398" s="9"/>
      <c r="O1398" s="9"/>
      <c r="P1398" s="9"/>
      <c r="Q1398" s="9"/>
      <c r="R1398" s="14"/>
      <c r="S1398" s="14"/>
    </row>
    <row r="1399" spans="1:19" ht="14.25">
      <c r="A1399" s="14"/>
      <c r="B1399" s="9"/>
      <c r="C1399" s="9"/>
      <c r="D1399" s="9"/>
      <c r="E1399" s="9"/>
      <c r="F1399" s="9"/>
      <c r="G1399" s="9"/>
      <c r="H1399" s="9"/>
      <c r="I1399" s="9"/>
      <c r="J1399" s="9"/>
      <c r="K1399" s="357"/>
      <c r="L1399" s="9"/>
      <c r="M1399" s="9"/>
      <c r="N1399" s="9"/>
      <c r="O1399" s="9"/>
      <c r="P1399" s="9"/>
      <c r="Q1399" s="9"/>
      <c r="R1399" s="14"/>
      <c r="S1399" s="14"/>
    </row>
    <row r="1400" spans="1:19" ht="14.25">
      <c r="A1400" s="14"/>
      <c r="B1400" s="9"/>
      <c r="C1400" s="9"/>
      <c r="D1400" s="9"/>
      <c r="E1400" s="9"/>
      <c r="F1400" s="9"/>
      <c r="G1400" s="9"/>
      <c r="H1400" s="9"/>
      <c r="I1400" s="9"/>
      <c r="J1400" s="9"/>
      <c r="K1400" s="357"/>
      <c r="L1400" s="9"/>
      <c r="M1400" s="9"/>
      <c r="N1400" s="9"/>
      <c r="O1400" s="9"/>
      <c r="P1400" s="9"/>
      <c r="Q1400" s="9"/>
      <c r="R1400" s="14"/>
      <c r="S1400" s="14"/>
    </row>
    <row r="1401" spans="1:19" ht="14.25">
      <c r="A1401" s="14"/>
      <c r="B1401" s="9"/>
      <c r="C1401" s="9"/>
      <c r="D1401" s="9"/>
      <c r="E1401" s="9"/>
      <c r="F1401" s="9"/>
      <c r="G1401" s="9"/>
      <c r="H1401" s="9"/>
      <c r="I1401" s="9"/>
      <c r="J1401" s="9"/>
      <c r="K1401" s="357"/>
      <c r="L1401" s="9"/>
      <c r="M1401" s="9"/>
      <c r="N1401" s="9"/>
      <c r="O1401" s="9"/>
      <c r="P1401" s="9"/>
      <c r="Q1401" s="9"/>
      <c r="R1401" s="14"/>
      <c r="S1401" s="14"/>
    </row>
    <row r="1402" spans="1:19" ht="14.25">
      <c r="A1402" s="14"/>
      <c r="B1402" s="9"/>
      <c r="C1402" s="9"/>
      <c r="D1402" s="9"/>
      <c r="E1402" s="9"/>
      <c r="F1402" s="9"/>
      <c r="G1402" s="9"/>
      <c r="H1402" s="9"/>
      <c r="I1402" s="9"/>
      <c r="J1402" s="9"/>
      <c r="K1402" s="357"/>
      <c r="L1402" s="9"/>
      <c r="M1402" s="9"/>
      <c r="N1402" s="9"/>
      <c r="O1402" s="9"/>
      <c r="P1402" s="9"/>
      <c r="Q1402" s="9"/>
      <c r="R1402" s="14"/>
      <c r="S1402" s="14"/>
    </row>
    <row r="1403" spans="1:19" ht="14.25">
      <c r="A1403" s="14"/>
      <c r="B1403" s="9"/>
      <c r="C1403" s="9"/>
      <c r="D1403" s="9"/>
      <c r="E1403" s="9"/>
      <c r="F1403" s="9"/>
      <c r="G1403" s="9"/>
      <c r="H1403" s="9"/>
      <c r="I1403" s="9"/>
      <c r="J1403" s="9"/>
      <c r="K1403" s="357"/>
      <c r="L1403" s="9"/>
      <c r="M1403" s="9"/>
      <c r="N1403" s="9"/>
      <c r="O1403" s="9"/>
      <c r="P1403" s="9"/>
      <c r="Q1403" s="9"/>
      <c r="R1403" s="14"/>
      <c r="S1403" s="14"/>
    </row>
    <row r="1404" spans="1:19" ht="14.25">
      <c r="A1404" s="14"/>
      <c r="B1404" s="9"/>
      <c r="C1404" s="9"/>
      <c r="D1404" s="9"/>
      <c r="E1404" s="9"/>
      <c r="F1404" s="9"/>
      <c r="G1404" s="9"/>
      <c r="H1404" s="9"/>
      <c r="I1404" s="9"/>
      <c r="J1404" s="9"/>
      <c r="K1404" s="357"/>
      <c r="L1404" s="9"/>
      <c r="M1404" s="9"/>
      <c r="N1404" s="9"/>
      <c r="O1404" s="9"/>
      <c r="P1404" s="9"/>
      <c r="Q1404" s="9"/>
      <c r="R1404" s="14"/>
      <c r="S1404" s="14"/>
    </row>
    <row r="1405" spans="1:19" ht="14.25">
      <c r="A1405" s="14"/>
      <c r="B1405" s="9"/>
      <c r="C1405" s="9"/>
      <c r="D1405" s="9"/>
      <c r="E1405" s="9"/>
      <c r="F1405" s="9"/>
      <c r="G1405" s="9"/>
      <c r="H1405" s="9"/>
      <c r="I1405" s="9"/>
      <c r="J1405" s="9"/>
      <c r="K1405" s="357"/>
      <c r="L1405" s="9"/>
      <c r="M1405" s="9"/>
      <c r="N1405" s="9"/>
      <c r="O1405" s="9"/>
      <c r="P1405" s="9"/>
      <c r="Q1405" s="9"/>
      <c r="R1405" s="14"/>
      <c r="S1405" s="14"/>
    </row>
    <row r="1406" spans="1:19" ht="14.25">
      <c r="A1406" s="14"/>
      <c r="B1406" s="9"/>
      <c r="C1406" s="9"/>
      <c r="D1406" s="9"/>
      <c r="E1406" s="9"/>
      <c r="F1406" s="9"/>
      <c r="G1406" s="9"/>
      <c r="H1406" s="9"/>
      <c r="I1406" s="9"/>
      <c r="J1406" s="9"/>
      <c r="K1406" s="357"/>
      <c r="L1406" s="9"/>
      <c r="M1406" s="9"/>
      <c r="N1406" s="9"/>
      <c r="O1406" s="9"/>
      <c r="P1406" s="9"/>
      <c r="Q1406" s="9"/>
      <c r="R1406" s="14"/>
      <c r="S1406" s="14"/>
    </row>
    <row r="1407" spans="1:19" ht="14.25">
      <c r="A1407" s="14"/>
      <c r="B1407" s="9"/>
      <c r="C1407" s="9"/>
      <c r="D1407" s="9"/>
      <c r="E1407" s="9"/>
      <c r="F1407" s="9"/>
      <c r="G1407" s="9"/>
      <c r="H1407" s="9"/>
      <c r="I1407" s="9"/>
      <c r="J1407" s="9"/>
      <c r="K1407" s="357"/>
      <c r="L1407" s="9"/>
      <c r="M1407" s="9"/>
      <c r="N1407" s="9"/>
      <c r="O1407" s="9"/>
      <c r="P1407" s="9"/>
      <c r="Q1407" s="9"/>
      <c r="R1407" s="14"/>
      <c r="S1407" s="14"/>
    </row>
    <row r="1408" spans="1:19" ht="14.25">
      <c r="A1408" s="14"/>
      <c r="B1408" s="9"/>
      <c r="C1408" s="9"/>
      <c r="D1408" s="9"/>
      <c r="E1408" s="9"/>
      <c r="F1408" s="9"/>
      <c r="G1408" s="9"/>
      <c r="H1408" s="9"/>
      <c r="I1408" s="9"/>
      <c r="J1408" s="9"/>
      <c r="K1408" s="357"/>
      <c r="L1408" s="9"/>
      <c r="M1408" s="9"/>
      <c r="N1408" s="9"/>
      <c r="O1408" s="9"/>
      <c r="P1408" s="9"/>
      <c r="Q1408" s="9"/>
      <c r="R1408" s="14"/>
      <c r="S1408" s="14"/>
    </row>
    <row r="1409" spans="1:19" ht="14.25">
      <c r="A1409" s="14"/>
      <c r="B1409" s="9"/>
      <c r="C1409" s="9"/>
      <c r="D1409" s="9"/>
      <c r="E1409" s="9"/>
      <c r="F1409" s="9"/>
      <c r="G1409" s="9"/>
      <c r="H1409" s="9"/>
      <c r="I1409" s="9"/>
      <c r="J1409" s="9"/>
      <c r="K1409" s="357"/>
      <c r="L1409" s="9"/>
      <c r="M1409" s="9"/>
      <c r="N1409" s="9"/>
      <c r="O1409" s="9"/>
      <c r="P1409" s="9"/>
      <c r="Q1409" s="9"/>
      <c r="R1409" s="14"/>
      <c r="S1409" s="14"/>
    </row>
    <row r="1410" spans="1:19" ht="14.25">
      <c r="A1410" s="14"/>
      <c r="B1410" s="9"/>
      <c r="C1410" s="9"/>
      <c r="D1410" s="9"/>
      <c r="E1410" s="9"/>
      <c r="F1410" s="9"/>
      <c r="G1410" s="9"/>
      <c r="H1410" s="9"/>
      <c r="I1410" s="9"/>
      <c r="J1410" s="9"/>
      <c r="K1410" s="357"/>
      <c r="L1410" s="9"/>
      <c r="M1410" s="9"/>
      <c r="N1410" s="9"/>
      <c r="O1410" s="9"/>
      <c r="P1410" s="9"/>
      <c r="Q1410" s="9"/>
      <c r="R1410" s="14"/>
      <c r="S1410" s="14"/>
    </row>
    <row r="1411" spans="1:19" ht="14.25">
      <c r="A1411" s="14"/>
      <c r="B1411" s="9"/>
      <c r="C1411" s="9"/>
      <c r="D1411" s="9"/>
      <c r="E1411" s="9"/>
      <c r="F1411" s="9"/>
      <c r="G1411" s="9"/>
      <c r="H1411" s="9"/>
      <c r="I1411" s="9"/>
      <c r="J1411" s="9"/>
      <c r="K1411" s="357"/>
      <c r="L1411" s="9"/>
      <c r="M1411" s="9"/>
      <c r="N1411" s="9"/>
      <c r="O1411" s="9"/>
      <c r="P1411" s="9"/>
      <c r="Q1411" s="9"/>
      <c r="R1411" s="14"/>
      <c r="S1411" s="14"/>
    </row>
    <row r="1412" spans="1:19" ht="14.25">
      <c r="A1412" s="14"/>
      <c r="B1412" s="9"/>
      <c r="C1412" s="9"/>
      <c r="D1412" s="9"/>
      <c r="E1412" s="9"/>
      <c r="F1412" s="9"/>
      <c r="G1412" s="9"/>
      <c r="H1412" s="9"/>
      <c r="I1412" s="9"/>
      <c r="J1412" s="9"/>
      <c r="K1412" s="357"/>
      <c r="L1412" s="9"/>
      <c r="M1412" s="9"/>
      <c r="N1412" s="9"/>
      <c r="O1412" s="9"/>
      <c r="P1412" s="9"/>
      <c r="Q1412" s="9"/>
      <c r="R1412" s="14"/>
      <c r="S1412" s="14"/>
    </row>
    <row r="1413" spans="1:19" ht="14.25">
      <c r="A1413" s="14"/>
      <c r="B1413" s="9"/>
      <c r="C1413" s="9"/>
      <c r="D1413" s="9"/>
      <c r="E1413" s="9"/>
      <c r="F1413" s="9"/>
      <c r="G1413" s="9"/>
      <c r="H1413" s="9"/>
      <c r="I1413" s="9"/>
      <c r="J1413" s="9"/>
      <c r="K1413" s="357"/>
      <c r="L1413" s="9"/>
      <c r="M1413" s="9"/>
      <c r="N1413" s="9"/>
      <c r="O1413" s="9"/>
      <c r="P1413" s="9"/>
      <c r="Q1413" s="9"/>
      <c r="R1413" s="14"/>
      <c r="S1413" s="14"/>
    </row>
    <row r="1414" spans="1:19" ht="14.25">
      <c r="A1414" s="14"/>
      <c r="B1414" s="9"/>
      <c r="C1414" s="9"/>
      <c r="D1414" s="9"/>
      <c r="E1414" s="9"/>
      <c r="F1414" s="9"/>
      <c r="G1414" s="9"/>
      <c r="H1414" s="9"/>
      <c r="I1414" s="9"/>
      <c r="J1414" s="9"/>
      <c r="K1414" s="357"/>
      <c r="L1414" s="9"/>
      <c r="M1414" s="9"/>
      <c r="N1414" s="9"/>
      <c r="O1414" s="9"/>
      <c r="P1414" s="9"/>
      <c r="Q1414" s="9"/>
      <c r="R1414" s="14"/>
      <c r="S1414" s="14"/>
    </row>
    <row r="1415" spans="1:19" ht="14.25">
      <c r="A1415" s="14"/>
      <c r="B1415" s="9"/>
      <c r="C1415" s="9"/>
      <c r="D1415" s="9"/>
      <c r="E1415" s="9"/>
      <c r="F1415" s="9"/>
      <c r="G1415" s="9"/>
      <c r="H1415" s="9"/>
      <c r="I1415" s="9"/>
      <c r="J1415" s="9"/>
      <c r="K1415" s="357"/>
      <c r="L1415" s="9"/>
      <c r="M1415" s="9"/>
      <c r="N1415" s="9"/>
      <c r="O1415" s="9"/>
      <c r="P1415" s="9"/>
      <c r="Q1415" s="9"/>
      <c r="R1415" s="14"/>
      <c r="S1415" s="14"/>
    </row>
  </sheetData>
  <sheetProtection/>
  <mergeCells count="55">
    <mergeCell ref="A15:B15"/>
    <mergeCell ref="A16:B16"/>
    <mergeCell ref="A17:B17"/>
    <mergeCell ref="A18:B18"/>
    <mergeCell ref="A19:B19"/>
    <mergeCell ref="P4:S4"/>
    <mergeCell ref="G5:M5"/>
    <mergeCell ref="N5:Q5"/>
    <mergeCell ref="F6:F7"/>
    <mergeCell ref="P12:P14"/>
    <mergeCell ref="H12:H14"/>
    <mergeCell ref="L6:L7"/>
    <mergeCell ref="M4:O4"/>
    <mergeCell ref="O12:O14"/>
    <mergeCell ref="O6:O7"/>
    <mergeCell ref="D6:D7"/>
    <mergeCell ref="E6:E7"/>
    <mergeCell ref="K9:K11"/>
    <mergeCell ref="M6:M7"/>
    <mergeCell ref="A6:A7"/>
    <mergeCell ref="A2:S2"/>
    <mergeCell ref="A4:G4"/>
    <mergeCell ref="A5:F5"/>
    <mergeCell ref="Q6:Q7"/>
    <mergeCell ref="R6:R7"/>
    <mergeCell ref="K6:K7"/>
    <mergeCell ref="B6:B7"/>
    <mergeCell ref="C6:C7"/>
    <mergeCell ref="G6:G7"/>
    <mergeCell ref="Q12:Q14"/>
    <mergeCell ref="A3:S3"/>
    <mergeCell ref="H4:L4"/>
    <mergeCell ref="O9:O11"/>
    <mergeCell ref="P9:P11"/>
    <mergeCell ref="H6:H7"/>
    <mergeCell ref="I6:I7"/>
    <mergeCell ref="J6:J7"/>
    <mergeCell ref="N6:N7"/>
    <mergeCell ref="S9:S11"/>
    <mergeCell ref="R9:R11"/>
    <mergeCell ref="L9:L11"/>
    <mergeCell ref="Q9:Q11"/>
    <mergeCell ref="I9:I11"/>
    <mergeCell ref="J9:J11"/>
    <mergeCell ref="N9:N11"/>
    <mergeCell ref="S6:S7"/>
    <mergeCell ref="S12:S14"/>
    <mergeCell ref="G12:G14"/>
    <mergeCell ref="J12:J14"/>
    <mergeCell ref="K12:K14"/>
    <mergeCell ref="N12:N14"/>
    <mergeCell ref="P6:P7"/>
    <mergeCell ref="I12:I14"/>
    <mergeCell ref="R12:R14"/>
    <mergeCell ref="G9:G11"/>
  </mergeCells>
  <printOptions/>
  <pageMargins left="1.299212598425197" right="0.31496062992125984" top="0.7480314960629921" bottom="0.7480314960629921" header="0.31496062992125984" footer="0.31496062992125984"/>
  <pageSetup horizontalDpi="600" verticalDpi="600" orientation="landscape" paperSize="5" scale="75"/>
  <headerFooter>
    <oddFooter>&amp;CPágina &amp;P</oddFooter>
  </headerFooter>
  <legacyDrawing r:id="rId2"/>
</worksheet>
</file>

<file path=xl/worksheets/sheet4.xml><?xml version="1.0" encoding="utf-8"?>
<worksheet xmlns="http://schemas.openxmlformats.org/spreadsheetml/2006/main" xmlns:r="http://schemas.openxmlformats.org/officeDocument/2006/relationships">
  <dimension ref="A1:S93"/>
  <sheetViews>
    <sheetView tabSelected="1" zoomScale="60" zoomScaleNormal="60" zoomScalePageLayoutView="0" workbookViewId="0" topLeftCell="A60">
      <selection activeCell="F60" sqref="F60:F64"/>
    </sheetView>
  </sheetViews>
  <sheetFormatPr defaultColWidth="11.421875" defaultRowHeight="15"/>
  <cols>
    <col min="1" max="1" width="18.8515625" style="26" customWidth="1"/>
    <col min="2" max="2" width="44.00390625" style="32" customWidth="1"/>
    <col min="3" max="3" width="30.8515625" style="32" customWidth="1"/>
    <col min="4" max="4" width="21.140625" style="32" customWidth="1"/>
    <col min="5" max="6" width="19.28125" style="32" customWidth="1"/>
    <col min="7" max="7" width="29.7109375" style="32" customWidth="1"/>
    <col min="8" max="8" width="41.8515625" style="32" customWidth="1"/>
    <col min="9" max="9" width="22.7109375" style="32" customWidth="1"/>
    <col min="10" max="10" width="20.8515625" style="32" customWidth="1"/>
    <col min="11" max="11" width="19.00390625" style="370" customWidth="1"/>
    <col min="12" max="12" width="30.421875" style="26" customWidth="1"/>
    <col min="13" max="13" width="34.28125" style="32" customWidth="1"/>
    <col min="14" max="16" width="22.140625" style="32" customWidth="1"/>
    <col min="17" max="17" width="16.7109375" style="377" customWidth="1"/>
    <col min="18" max="18" width="28.28125" style="35" customWidth="1"/>
    <col min="19" max="19" width="25.421875" style="26" customWidth="1"/>
    <col min="20" max="16384" width="11.421875" style="32" customWidth="1"/>
  </cols>
  <sheetData>
    <row r="1" spans="1:19" s="46" customFormat="1" ht="26.25" customHeight="1" thickBot="1">
      <c r="A1" s="62"/>
      <c r="K1" s="313"/>
      <c r="Q1" s="313"/>
      <c r="R1" s="62"/>
      <c r="S1" s="62"/>
    </row>
    <row r="2" spans="1:19" s="253" customFormat="1" ht="24" customHeight="1" thickBot="1">
      <c r="A2" s="505" t="s">
        <v>8</v>
      </c>
      <c r="B2" s="506"/>
      <c r="C2" s="506"/>
      <c r="D2" s="506"/>
      <c r="E2" s="506"/>
      <c r="F2" s="506"/>
      <c r="G2" s="506"/>
      <c r="H2" s="506"/>
      <c r="I2" s="506"/>
      <c r="J2" s="506"/>
      <c r="K2" s="506"/>
      <c r="L2" s="506"/>
      <c r="M2" s="506"/>
      <c r="N2" s="506"/>
      <c r="O2" s="506"/>
      <c r="P2" s="506"/>
      <c r="Q2" s="506"/>
      <c r="R2" s="506"/>
      <c r="S2" s="507"/>
    </row>
    <row r="3" spans="1:19" s="253" customFormat="1" ht="29.25" customHeight="1" thickBot="1">
      <c r="A3" s="508" t="s">
        <v>1683</v>
      </c>
      <c r="B3" s="509"/>
      <c r="C3" s="509"/>
      <c r="D3" s="509"/>
      <c r="E3" s="509"/>
      <c r="F3" s="509"/>
      <c r="G3" s="509"/>
      <c r="H3" s="509"/>
      <c r="I3" s="509"/>
      <c r="J3" s="509"/>
      <c r="K3" s="509"/>
      <c r="L3" s="509"/>
      <c r="M3" s="509"/>
      <c r="N3" s="509"/>
      <c r="O3" s="509"/>
      <c r="P3" s="509"/>
      <c r="Q3" s="509"/>
      <c r="R3" s="509"/>
      <c r="S3" s="510"/>
    </row>
    <row r="4" spans="1:19" s="26" customFormat="1" ht="27.75" customHeight="1">
      <c r="A4" s="666" t="s">
        <v>905</v>
      </c>
      <c r="B4" s="667"/>
      <c r="C4" s="667"/>
      <c r="D4" s="667"/>
      <c r="E4" s="667"/>
      <c r="F4" s="667"/>
      <c r="G4" s="667"/>
      <c r="H4" s="684" t="s">
        <v>1721</v>
      </c>
      <c r="I4" s="684"/>
      <c r="J4" s="684"/>
      <c r="K4" s="684"/>
      <c r="L4" s="684"/>
      <c r="M4" s="666" t="s">
        <v>1183</v>
      </c>
      <c r="N4" s="667"/>
      <c r="O4" s="668"/>
      <c r="P4" s="666" t="s">
        <v>1628</v>
      </c>
      <c r="Q4" s="667"/>
      <c r="R4" s="667"/>
      <c r="S4" s="668"/>
    </row>
    <row r="5" spans="1:19" s="27" customFormat="1" ht="28.5" customHeight="1">
      <c r="A5" s="698" t="s">
        <v>0</v>
      </c>
      <c r="B5" s="699"/>
      <c r="C5" s="699"/>
      <c r="D5" s="699"/>
      <c r="E5" s="699"/>
      <c r="F5" s="700"/>
      <c r="G5" s="697" t="s">
        <v>1</v>
      </c>
      <c r="H5" s="697"/>
      <c r="I5" s="697"/>
      <c r="J5" s="697"/>
      <c r="K5" s="697"/>
      <c r="L5" s="697"/>
      <c r="M5" s="697"/>
      <c r="N5" s="697" t="s">
        <v>1187</v>
      </c>
      <c r="O5" s="697"/>
      <c r="P5" s="697"/>
      <c r="Q5" s="697"/>
      <c r="R5" s="697"/>
      <c r="S5" s="436"/>
    </row>
    <row r="6" spans="1:19" s="27" customFormat="1" ht="15" customHeight="1">
      <c r="A6" s="669" t="s">
        <v>2</v>
      </c>
      <c r="B6" s="669" t="s">
        <v>4</v>
      </c>
      <c r="C6" s="669" t="s">
        <v>3</v>
      </c>
      <c r="D6" s="669" t="s">
        <v>1116</v>
      </c>
      <c r="E6" s="669" t="s">
        <v>1117</v>
      </c>
      <c r="F6" s="669" t="s">
        <v>1118</v>
      </c>
      <c r="G6" s="669" t="s">
        <v>1186</v>
      </c>
      <c r="H6" s="669" t="s">
        <v>9</v>
      </c>
      <c r="I6" s="693" t="s">
        <v>1180</v>
      </c>
      <c r="J6" s="693" t="s">
        <v>1181</v>
      </c>
      <c r="K6" s="695" t="s">
        <v>1103</v>
      </c>
      <c r="L6" s="682" t="s">
        <v>1637</v>
      </c>
      <c r="M6" s="669" t="s">
        <v>1914</v>
      </c>
      <c r="N6" s="669" t="s">
        <v>1115</v>
      </c>
      <c r="O6" s="669" t="s">
        <v>1119</v>
      </c>
      <c r="P6" s="669" t="s">
        <v>1120</v>
      </c>
      <c r="Q6" s="671" t="s">
        <v>1185</v>
      </c>
      <c r="R6" s="669" t="s">
        <v>924</v>
      </c>
      <c r="S6" s="669" t="s">
        <v>1685</v>
      </c>
    </row>
    <row r="7" spans="1:19" s="27" customFormat="1" ht="30" customHeight="1">
      <c r="A7" s="670"/>
      <c r="B7" s="670"/>
      <c r="C7" s="670"/>
      <c r="D7" s="670"/>
      <c r="E7" s="670"/>
      <c r="F7" s="670"/>
      <c r="G7" s="670"/>
      <c r="H7" s="670"/>
      <c r="I7" s="694"/>
      <c r="J7" s="694"/>
      <c r="K7" s="696"/>
      <c r="L7" s="683"/>
      <c r="M7" s="670"/>
      <c r="N7" s="670"/>
      <c r="O7" s="670"/>
      <c r="P7" s="670"/>
      <c r="Q7" s="672"/>
      <c r="R7" s="670"/>
      <c r="S7" s="670"/>
    </row>
    <row r="8" spans="1:19" ht="57.75" customHeight="1">
      <c r="A8" s="61" t="s">
        <v>213</v>
      </c>
      <c r="B8" s="28" t="s">
        <v>214</v>
      </c>
      <c r="C8" s="28" t="s">
        <v>97</v>
      </c>
      <c r="D8" s="58">
        <v>12</v>
      </c>
      <c r="E8" s="58">
        <v>12</v>
      </c>
      <c r="F8" s="289">
        <f aca="true" t="shared" si="0" ref="F8:F13">E8/D8</f>
        <v>1</v>
      </c>
      <c r="G8" s="676" t="s">
        <v>906</v>
      </c>
      <c r="H8" s="676" t="s">
        <v>1631</v>
      </c>
      <c r="I8" s="689">
        <v>13014285</v>
      </c>
      <c r="J8" s="685">
        <f>11019940297.89/1000</f>
        <v>11019940.29789</v>
      </c>
      <c r="K8" s="664">
        <f>J8/I8</f>
        <v>0.8467572592647233</v>
      </c>
      <c r="L8" s="676" t="s">
        <v>914</v>
      </c>
      <c r="M8" s="28" t="s">
        <v>1817</v>
      </c>
      <c r="N8" s="679">
        <v>13</v>
      </c>
      <c r="O8" s="674">
        <v>11019940</v>
      </c>
      <c r="P8" s="685">
        <f>11019940297.89/1000</f>
        <v>11019940.29789</v>
      </c>
      <c r="Q8" s="664">
        <f>P8/O8</f>
        <v>1.0000000270319076</v>
      </c>
      <c r="R8" s="677" t="s">
        <v>2306</v>
      </c>
      <c r="S8" s="673" t="s">
        <v>1629</v>
      </c>
    </row>
    <row r="9" spans="1:19" ht="50.25" customHeight="1">
      <c r="A9" s="61" t="s">
        <v>215</v>
      </c>
      <c r="B9" s="28" t="s">
        <v>216</v>
      </c>
      <c r="C9" s="28" t="s">
        <v>217</v>
      </c>
      <c r="D9" s="58">
        <v>12</v>
      </c>
      <c r="E9" s="58">
        <v>12</v>
      </c>
      <c r="F9" s="289">
        <f t="shared" si="0"/>
        <v>1</v>
      </c>
      <c r="G9" s="676"/>
      <c r="H9" s="676"/>
      <c r="I9" s="690"/>
      <c r="J9" s="686"/>
      <c r="K9" s="665"/>
      <c r="L9" s="676"/>
      <c r="M9" s="28" t="s">
        <v>1986</v>
      </c>
      <c r="N9" s="680"/>
      <c r="O9" s="675"/>
      <c r="P9" s="686"/>
      <c r="Q9" s="665"/>
      <c r="R9" s="677"/>
      <c r="S9" s="673"/>
    </row>
    <row r="10" spans="1:19" ht="84.75" customHeight="1">
      <c r="A10" s="61" t="s">
        <v>218</v>
      </c>
      <c r="B10" s="28" t="s">
        <v>219</v>
      </c>
      <c r="C10" s="28" t="s">
        <v>220</v>
      </c>
      <c r="D10" s="58">
        <v>12</v>
      </c>
      <c r="E10" s="58">
        <v>12</v>
      </c>
      <c r="F10" s="289">
        <f t="shared" si="0"/>
        <v>1</v>
      </c>
      <c r="G10" s="676" t="s">
        <v>907</v>
      </c>
      <c r="H10" s="676" t="s">
        <v>1632</v>
      </c>
      <c r="I10" s="701">
        <f>22449116334.32/1000</f>
        <v>22449116.33432</v>
      </c>
      <c r="J10" s="685">
        <f>12360886924.3/1000</f>
        <v>12360886.9243</v>
      </c>
      <c r="K10" s="702">
        <f>J10/I10</f>
        <v>0.5506179726728393</v>
      </c>
      <c r="L10" s="630" t="s">
        <v>915</v>
      </c>
      <c r="M10" s="28" t="s">
        <v>1987</v>
      </c>
      <c r="N10" s="729">
        <v>58</v>
      </c>
      <c r="O10" s="674">
        <v>14315489</v>
      </c>
      <c r="P10" s="685">
        <f>12360886924.3/1000</f>
        <v>12360886.9243</v>
      </c>
      <c r="Q10" s="664">
        <f>P10/O10</f>
        <v>0.8634624303996881</v>
      </c>
      <c r="R10" s="678" t="s">
        <v>2307</v>
      </c>
      <c r="S10" s="662" t="s">
        <v>1629</v>
      </c>
    </row>
    <row r="11" spans="1:19" ht="59.25" customHeight="1">
      <c r="A11" s="61" t="s">
        <v>221</v>
      </c>
      <c r="B11" s="28" t="s">
        <v>222</v>
      </c>
      <c r="C11" s="28" t="s">
        <v>223</v>
      </c>
      <c r="D11" s="58">
        <v>12</v>
      </c>
      <c r="E11" s="58">
        <v>12</v>
      </c>
      <c r="F11" s="289">
        <f t="shared" si="0"/>
        <v>1</v>
      </c>
      <c r="G11" s="676"/>
      <c r="H11" s="676"/>
      <c r="I11" s="701"/>
      <c r="J11" s="686"/>
      <c r="K11" s="702"/>
      <c r="L11" s="687"/>
      <c r="M11" s="28" t="s">
        <v>1988</v>
      </c>
      <c r="N11" s="729"/>
      <c r="O11" s="675"/>
      <c r="P11" s="686"/>
      <c r="Q11" s="665"/>
      <c r="R11" s="678"/>
      <c r="S11" s="703"/>
    </row>
    <row r="12" spans="1:19" ht="128.25" customHeight="1">
      <c r="A12" s="61" t="s">
        <v>224</v>
      </c>
      <c r="B12" s="28" t="s">
        <v>1849</v>
      </c>
      <c r="C12" s="28" t="s">
        <v>1718</v>
      </c>
      <c r="D12" s="445">
        <v>250</v>
      </c>
      <c r="E12" s="222">
        <v>350</v>
      </c>
      <c r="F12" s="350">
        <v>1</v>
      </c>
      <c r="G12" s="28" t="s">
        <v>1720</v>
      </c>
      <c r="H12" s="28"/>
      <c r="I12" s="490">
        <f>1072999/1000</f>
        <v>1072.999</v>
      </c>
      <c r="J12" s="475">
        <v>1073</v>
      </c>
      <c r="K12" s="349">
        <f>J12/I12</f>
        <v>1.0000009319673178</v>
      </c>
      <c r="L12" s="688"/>
      <c r="M12" s="28" t="s">
        <v>1989</v>
      </c>
      <c r="N12" s="437">
        <v>1</v>
      </c>
      <c r="O12" s="491">
        <v>1073</v>
      </c>
      <c r="P12" s="475">
        <v>1073</v>
      </c>
      <c r="Q12" s="351">
        <f>P12/O12</f>
        <v>1</v>
      </c>
      <c r="R12" s="30" t="s">
        <v>1719</v>
      </c>
      <c r="S12" s="663"/>
    </row>
    <row r="13" spans="1:19" ht="68.25" customHeight="1">
      <c r="A13" s="61" t="s">
        <v>225</v>
      </c>
      <c r="B13" s="28" t="s">
        <v>226</v>
      </c>
      <c r="C13" s="28" t="s">
        <v>227</v>
      </c>
      <c r="D13" s="29">
        <v>234</v>
      </c>
      <c r="E13" s="29">
        <v>67</v>
      </c>
      <c r="F13" s="289">
        <f t="shared" si="0"/>
        <v>0.2863247863247863</v>
      </c>
      <c r="G13" s="676" t="s">
        <v>908</v>
      </c>
      <c r="H13" s="28" t="s">
        <v>1633</v>
      </c>
      <c r="I13" s="674">
        <v>4422912</v>
      </c>
      <c r="J13" s="685">
        <f>2819685104/1000</f>
        <v>2819685.104</v>
      </c>
      <c r="K13" s="664">
        <f>J13/I13</f>
        <v>0.637517794611333</v>
      </c>
      <c r="L13" s="630" t="s">
        <v>916</v>
      </c>
      <c r="M13" s="28" t="s">
        <v>1990</v>
      </c>
      <c r="N13" s="708">
        <v>20</v>
      </c>
      <c r="O13" s="674">
        <v>2846185</v>
      </c>
      <c r="P13" s="685">
        <f>2819685104/1000</f>
        <v>2819685.104</v>
      </c>
      <c r="Q13" s="712">
        <f>P13/O13</f>
        <v>0.990689327643846</v>
      </c>
      <c r="R13" s="677" t="s">
        <v>2308</v>
      </c>
      <c r="S13" s="662" t="s">
        <v>1629</v>
      </c>
    </row>
    <row r="14" spans="1:19" ht="57.75" customHeight="1">
      <c r="A14" s="61" t="s">
        <v>228</v>
      </c>
      <c r="B14" s="28" t="s">
        <v>229</v>
      </c>
      <c r="C14" s="28" t="s">
        <v>1096</v>
      </c>
      <c r="D14" s="29"/>
      <c r="E14" s="29"/>
      <c r="F14" s="289"/>
      <c r="G14" s="676"/>
      <c r="H14" s="28" t="s">
        <v>1634</v>
      </c>
      <c r="I14" s="691"/>
      <c r="J14" s="692"/>
      <c r="K14" s="681"/>
      <c r="L14" s="687"/>
      <c r="M14" s="28" t="s">
        <v>1991</v>
      </c>
      <c r="N14" s="708"/>
      <c r="O14" s="691"/>
      <c r="P14" s="692"/>
      <c r="Q14" s="712"/>
      <c r="R14" s="677"/>
      <c r="S14" s="703"/>
    </row>
    <row r="15" spans="1:19" ht="77.25" customHeight="1">
      <c r="A15" s="61" t="s">
        <v>230</v>
      </c>
      <c r="B15" s="28" t="s">
        <v>231</v>
      </c>
      <c r="C15" s="28" t="s">
        <v>232</v>
      </c>
      <c r="D15" s="29">
        <v>5</v>
      </c>
      <c r="E15" s="29">
        <v>5</v>
      </c>
      <c r="F15" s="289">
        <f>E15/D15</f>
        <v>1</v>
      </c>
      <c r="G15" s="676"/>
      <c r="H15" s="28" t="s">
        <v>1635</v>
      </c>
      <c r="I15" s="675"/>
      <c r="J15" s="686"/>
      <c r="K15" s="665"/>
      <c r="L15" s="687"/>
      <c r="M15" s="28" t="s">
        <v>1992</v>
      </c>
      <c r="N15" s="708"/>
      <c r="O15" s="675"/>
      <c r="P15" s="686"/>
      <c r="Q15" s="712"/>
      <c r="R15" s="677"/>
      <c r="S15" s="703"/>
    </row>
    <row r="16" spans="1:19" ht="159.75" customHeight="1">
      <c r="A16" s="61" t="s">
        <v>1826</v>
      </c>
      <c r="B16" s="28" t="s">
        <v>1993</v>
      </c>
      <c r="C16" s="28" t="s">
        <v>1825</v>
      </c>
      <c r="D16" s="29"/>
      <c r="E16" s="29"/>
      <c r="F16" s="289"/>
      <c r="G16" s="51"/>
      <c r="H16" s="28"/>
      <c r="I16" s="490"/>
      <c r="J16" s="475"/>
      <c r="K16" s="351"/>
      <c r="L16" s="453"/>
      <c r="M16" s="28" t="s">
        <v>1994</v>
      </c>
      <c r="N16" s="454"/>
      <c r="O16" s="434"/>
      <c r="P16" s="475"/>
      <c r="Q16" s="464"/>
      <c r="R16" s="440"/>
      <c r="S16" s="663"/>
    </row>
    <row r="17" spans="1:19" ht="189.75" customHeight="1">
      <c r="A17" s="709" t="s">
        <v>233</v>
      </c>
      <c r="B17" s="630" t="s">
        <v>234</v>
      </c>
      <c r="C17" s="630" t="s">
        <v>235</v>
      </c>
      <c r="D17" s="662">
        <v>12</v>
      </c>
      <c r="E17" s="662">
        <v>12</v>
      </c>
      <c r="F17" s="664">
        <f>E17/D17</f>
        <v>1</v>
      </c>
      <c r="G17" s="449" t="s">
        <v>2242</v>
      </c>
      <c r="H17" s="448" t="s">
        <v>1636</v>
      </c>
      <c r="I17" s="476">
        <f>30000000/1000</f>
        <v>30000</v>
      </c>
      <c r="J17" s="476">
        <f>14079984/1000</f>
        <v>14079.984</v>
      </c>
      <c r="K17" s="451">
        <f aca="true" t="shared" si="1" ref="K17:K22">J17/I17</f>
        <v>0.4693328</v>
      </c>
      <c r="L17" s="630" t="s">
        <v>234</v>
      </c>
      <c r="M17" s="630" t="s">
        <v>1818</v>
      </c>
      <c r="N17" s="497">
        <v>2</v>
      </c>
      <c r="O17" s="492">
        <v>14080</v>
      </c>
      <c r="P17" s="476">
        <f>14079984/1000</f>
        <v>14079.984</v>
      </c>
      <c r="Q17" s="288">
        <f>P17/O17</f>
        <v>0.9999988636363637</v>
      </c>
      <c r="R17" s="30" t="s">
        <v>2311</v>
      </c>
      <c r="S17" s="25" t="s">
        <v>1629</v>
      </c>
    </row>
    <row r="18" spans="1:19" ht="66.75" customHeight="1">
      <c r="A18" s="710"/>
      <c r="B18" s="687"/>
      <c r="C18" s="687"/>
      <c r="D18" s="703"/>
      <c r="E18" s="703"/>
      <c r="F18" s="681"/>
      <c r="G18" s="450" t="s">
        <v>2243</v>
      </c>
      <c r="H18" s="448" t="s">
        <v>2247</v>
      </c>
      <c r="I18" s="476">
        <f>277729838.85/1000</f>
        <v>277729.83885</v>
      </c>
      <c r="J18" s="476">
        <v>0</v>
      </c>
      <c r="K18" s="451">
        <f t="shared" si="1"/>
        <v>0</v>
      </c>
      <c r="L18" s="687"/>
      <c r="M18" s="687"/>
      <c r="N18" s="497">
        <v>0</v>
      </c>
      <c r="O18" s="476">
        <v>0</v>
      </c>
      <c r="P18" s="476">
        <v>0</v>
      </c>
      <c r="Q18" s="288">
        <v>0</v>
      </c>
      <c r="R18" s="30" t="s">
        <v>2309</v>
      </c>
      <c r="S18" s="25" t="s">
        <v>1629</v>
      </c>
    </row>
    <row r="19" spans="1:19" ht="65.25" customHeight="1">
      <c r="A19" s="710"/>
      <c r="B19" s="687"/>
      <c r="C19" s="687"/>
      <c r="D19" s="703"/>
      <c r="E19" s="703"/>
      <c r="F19" s="681"/>
      <c r="G19" s="450" t="s">
        <v>2305</v>
      </c>
      <c r="H19" s="448" t="s">
        <v>2245</v>
      </c>
      <c r="I19" s="476">
        <v>2059841</v>
      </c>
      <c r="J19" s="476">
        <v>317627</v>
      </c>
      <c r="K19" s="451">
        <f t="shared" si="1"/>
        <v>0.15419976590426154</v>
      </c>
      <c r="L19" s="687"/>
      <c r="M19" s="687"/>
      <c r="N19" s="497">
        <v>2</v>
      </c>
      <c r="O19" s="487">
        <v>467627</v>
      </c>
      <c r="P19" s="476">
        <v>317627</v>
      </c>
      <c r="Q19" s="288">
        <f>P19/O19</f>
        <v>0.6792315242704121</v>
      </c>
      <c r="R19" s="30" t="s">
        <v>2310</v>
      </c>
      <c r="S19" s="25" t="s">
        <v>1629</v>
      </c>
    </row>
    <row r="20" spans="1:19" ht="198" customHeight="1">
      <c r="A20" s="711"/>
      <c r="B20" s="688"/>
      <c r="C20" s="688"/>
      <c r="D20" s="663"/>
      <c r="E20" s="663"/>
      <c r="F20" s="665"/>
      <c r="G20" s="450" t="s">
        <v>2244</v>
      </c>
      <c r="H20" s="448" t="s">
        <v>2246</v>
      </c>
      <c r="I20" s="476">
        <v>76335</v>
      </c>
      <c r="J20" s="476">
        <v>66513</v>
      </c>
      <c r="K20" s="451">
        <f t="shared" si="1"/>
        <v>0.8713303202986834</v>
      </c>
      <c r="L20" s="688"/>
      <c r="M20" s="688"/>
      <c r="N20" s="497">
        <v>2</v>
      </c>
      <c r="O20" s="487">
        <v>66513</v>
      </c>
      <c r="P20" s="476">
        <v>66513</v>
      </c>
      <c r="Q20" s="288">
        <f>P20/O20</f>
        <v>1</v>
      </c>
      <c r="R20" s="30" t="s">
        <v>2310</v>
      </c>
      <c r="S20" s="25" t="s">
        <v>1629</v>
      </c>
    </row>
    <row r="21" spans="1:19" ht="77.25" customHeight="1">
      <c r="A21" s="61" t="s">
        <v>236</v>
      </c>
      <c r="B21" s="28" t="s">
        <v>237</v>
      </c>
      <c r="C21" s="28" t="s">
        <v>238</v>
      </c>
      <c r="D21" s="58">
        <v>2</v>
      </c>
      <c r="E21" s="152">
        <v>2</v>
      </c>
      <c r="F21" s="289">
        <f>E21/D21</f>
        <v>1</v>
      </c>
      <c r="G21" s="52" t="s">
        <v>909</v>
      </c>
      <c r="H21" s="28" t="s">
        <v>1638</v>
      </c>
      <c r="I21" s="474">
        <f>30000000/1000</f>
        <v>30000</v>
      </c>
      <c r="J21" s="474">
        <v>0</v>
      </c>
      <c r="K21" s="289">
        <f t="shared" si="1"/>
        <v>0</v>
      </c>
      <c r="L21" s="28" t="s">
        <v>917</v>
      </c>
      <c r="M21" s="28" t="s">
        <v>1820</v>
      </c>
      <c r="N21" s="69">
        <v>0</v>
      </c>
      <c r="O21" s="476">
        <v>0</v>
      </c>
      <c r="P21" s="476">
        <v>0</v>
      </c>
      <c r="Q21" s="288">
        <v>0</v>
      </c>
      <c r="R21" s="30" t="s">
        <v>2311</v>
      </c>
      <c r="S21" s="25" t="s">
        <v>1629</v>
      </c>
    </row>
    <row r="22" spans="1:19" ht="56.25" customHeight="1">
      <c r="A22" s="61" t="s">
        <v>239</v>
      </c>
      <c r="B22" s="28" t="s">
        <v>240</v>
      </c>
      <c r="C22" s="28" t="s">
        <v>1819</v>
      </c>
      <c r="D22" s="58">
        <v>2</v>
      </c>
      <c r="E22" s="58">
        <v>2</v>
      </c>
      <c r="F22" s="289">
        <f>E22/D22</f>
        <v>1</v>
      </c>
      <c r="G22" s="51" t="s">
        <v>910</v>
      </c>
      <c r="H22" s="28" t="s">
        <v>1639</v>
      </c>
      <c r="I22" s="474">
        <f>40000000/1000</f>
        <v>40000</v>
      </c>
      <c r="J22" s="474">
        <v>0</v>
      </c>
      <c r="K22" s="289">
        <f t="shared" si="1"/>
        <v>0</v>
      </c>
      <c r="L22" s="28" t="s">
        <v>918</v>
      </c>
      <c r="M22" s="28" t="s">
        <v>1821</v>
      </c>
      <c r="N22" s="69">
        <v>0</v>
      </c>
      <c r="O22" s="476">
        <v>0</v>
      </c>
      <c r="P22" s="474">
        <v>0</v>
      </c>
      <c r="Q22" s="288">
        <v>0</v>
      </c>
      <c r="R22" s="30" t="s">
        <v>2311</v>
      </c>
      <c r="S22" s="25" t="s">
        <v>1629</v>
      </c>
    </row>
    <row r="23" spans="1:19" ht="52.5" customHeight="1">
      <c r="A23" s="709" t="s">
        <v>241</v>
      </c>
      <c r="B23" s="630" t="s">
        <v>242</v>
      </c>
      <c r="C23" s="630" t="s">
        <v>243</v>
      </c>
      <c r="D23" s="662">
        <v>3</v>
      </c>
      <c r="E23" s="662">
        <v>3</v>
      </c>
      <c r="F23" s="664">
        <f>E23/D23</f>
        <v>1</v>
      </c>
      <c r="G23" s="450" t="s">
        <v>2260</v>
      </c>
      <c r="H23" s="28" t="s">
        <v>2262</v>
      </c>
      <c r="I23" s="474">
        <v>226619</v>
      </c>
      <c r="J23" s="474">
        <v>97552</v>
      </c>
      <c r="K23" s="460">
        <v>0.43046698518318427</v>
      </c>
      <c r="L23" s="630" t="s">
        <v>919</v>
      </c>
      <c r="M23" s="630" t="s">
        <v>1995</v>
      </c>
      <c r="N23" s="69">
        <v>13</v>
      </c>
      <c r="O23" s="458">
        <v>97552</v>
      </c>
      <c r="P23" s="474">
        <v>97552</v>
      </c>
      <c r="Q23" s="288">
        <f>P23/O23</f>
        <v>1</v>
      </c>
      <c r="R23" s="438" t="s">
        <v>2312</v>
      </c>
      <c r="S23" s="673" t="s">
        <v>1629</v>
      </c>
    </row>
    <row r="24" spans="1:19" ht="84.75" customHeight="1">
      <c r="A24" s="711"/>
      <c r="B24" s="688"/>
      <c r="C24" s="688"/>
      <c r="D24" s="663"/>
      <c r="E24" s="663"/>
      <c r="F24" s="665"/>
      <c r="G24" s="450" t="s">
        <v>2261</v>
      </c>
      <c r="H24" s="448" t="s">
        <v>2263</v>
      </c>
      <c r="I24" s="474">
        <v>166683</v>
      </c>
      <c r="J24" s="474">
        <v>153057</v>
      </c>
      <c r="K24" s="460">
        <v>0.9182514634095477</v>
      </c>
      <c r="L24" s="688"/>
      <c r="M24" s="688"/>
      <c r="N24" s="69">
        <v>11</v>
      </c>
      <c r="O24" s="458">
        <v>153057</v>
      </c>
      <c r="P24" s="474">
        <v>153057</v>
      </c>
      <c r="Q24" s="288">
        <f>P24/O24</f>
        <v>1</v>
      </c>
      <c r="R24" s="438" t="s">
        <v>2310</v>
      </c>
      <c r="S24" s="673"/>
    </row>
    <row r="25" spans="1:19" ht="363" customHeight="1">
      <c r="A25" s="61" t="s">
        <v>244</v>
      </c>
      <c r="B25" s="28" t="s">
        <v>245</v>
      </c>
      <c r="C25" s="28" t="s">
        <v>246</v>
      </c>
      <c r="D25" s="29">
        <v>4</v>
      </c>
      <c r="E25" s="29">
        <v>11</v>
      </c>
      <c r="F25" s="289">
        <v>1</v>
      </c>
      <c r="G25" s="450" t="s">
        <v>2264</v>
      </c>
      <c r="H25" s="28" t="s">
        <v>2265</v>
      </c>
      <c r="I25" s="474">
        <v>264000</v>
      </c>
      <c r="J25" s="474">
        <v>252619</v>
      </c>
      <c r="K25" s="460">
        <v>0.9568904129924243</v>
      </c>
      <c r="L25" s="450" t="s">
        <v>2267</v>
      </c>
      <c r="M25" s="28" t="s">
        <v>1996</v>
      </c>
      <c r="N25" s="69">
        <v>22</v>
      </c>
      <c r="O25" s="458">
        <v>252619</v>
      </c>
      <c r="P25" s="474">
        <v>252619</v>
      </c>
      <c r="Q25" s="288">
        <f>P25/O25</f>
        <v>1</v>
      </c>
      <c r="R25" s="438" t="s">
        <v>2313</v>
      </c>
      <c r="S25" s="25" t="s">
        <v>1629</v>
      </c>
    </row>
    <row r="26" spans="1:19" ht="66" customHeight="1">
      <c r="A26" s="709" t="s">
        <v>250</v>
      </c>
      <c r="B26" s="630" t="s">
        <v>251</v>
      </c>
      <c r="C26" s="630" t="s">
        <v>252</v>
      </c>
      <c r="D26" s="713">
        <v>12</v>
      </c>
      <c r="E26" s="713">
        <v>11</v>
      </c>
      <c r="F26" s="664">
        <f>E26/D26</f>
        <v>0.9166666666666666</v>
      </c>
      <c r="G26" s="450" t="s">
        <v>2248</v>
      </c>
      <c r="H26" s="448" t="s">
        <v>2253</v>
      </c>
      <c r="I26" s="474">
        <v>277230</v>
      </c>
      <c r="J26" s="474">
        <v>53117</v>
      </c>
      <c r="K26" s="457">
        <v>0.19159820166815938</v>
      </c>
      <c r="L26" s="630" t="s">
        <v>251</v>
      </c>
      <c r="M26" s="630" t="s">
        <v>1998</v>
      </c>
      <c r="N26" s="69">
        <v>1</v>
      </c>
      <c r="O26" s="458">
        <v>53117</v>
      </c>
      <c r="P26" s="474">
        <v>53117</v>
      </c>
      <c r="Q26" s="288">
        <f>P26/O26</f>
        <v>1</v>
      </c>
      <c r="R26" s="438" t="s">
        <v>2314</v>
      </c>
      <c r="S26" s="662" t="s">
        <v>1629</v>
      </c>
    </row>
    <row r="27" spans="1:19" ht="69" customHeight="1">
      <c r="A27" s="710"/>
      <c r="B27" s="687"/>
      <c r="C27" s="687"/>
      <c r="D27" s="714"/>
      <c r="E27" s="714"/>
      <c r="F27" s="681"/>
      <c r="G27" s="450" t="s">
        <v>2249</v>
      </c>
      <c r="H27" s="448" t="s">
        <v>2252</v>
      </c>
      <c r="I27" s="474">
        <v>199494</v>
      </c>
      <c r="J27" s="474">
        <v>107627</v>
      </c>
      <c r="K27" s="457">
        <v>0.5395024199152435</v>
      </c>
      <c r="L27" s="687"/>
      <c r="M27" s="687"/>
      <c r="N27" s="69">
        <v>25</v>
      </c>
      <c r="O27" s="458">
        <v>107627</v>
      </c>
      <c r="P27" s="474">
        <v>107627</v>
      </c>
      <c r="Q27" s="288">
        <f>P27/O27</f>
        <v>1</v>
      </c>
      <c r="R27" s="438" t="s">
        <v>2314</v>
      </c>
      <c r="S27" s="703"/>
    </row>
    <row r="28" spans="1:19" ht="41.25" customHeight="1">
      <c r="A28" s="710"/>
      <c r="B28" s="687"/>
      <c r="C28" s="687"/>
      <c r="D28" s="714"/>
      <c r="E28" s="714"/>
      <c r="F28" s="681"/>
      <c r="G28" s="450" t="s">
        <v>2250</v>
      </c>
      <c r="H28" s="448" t="s">
        <v>2251</v>
      </c>
      <c r="I28" s="474">
        <v>43969</v>
      </c>
      <c r="J28" s="474">
        <v>8250</v>
      </c>
      <c r="K28" s="457">
        <v>0.18763113190132383</v>
      </c>
      <c r="L28" s="687"/>
      <c r="M28" s="687"/>
      <c r="N28" s="69">
        <v>2</v>
      </c>
      <c r="O28" s="494">
        <v>8250</v>
      </c>
      <c r="P28" s="494">
        <v>8250</v>
      </c>
      <c r="Q28" s="463"/>
      <c r="R28" s="438" t="s">
        <v>2314</v>
      </c>
      <c r="S28" s="703"/>
    </row>
    <row r="29" spans="1:19" ht="99.75" customHeight="1">
      <c r="A29" s="710"/>
      <c r="B29" s="687"/>
      <c r="C29" s="687"/>
      <c r="D29" s="714"/>
      <c r="E29" s="714"/>
      <c r="F29" s="681"/>
      <c r="G29" s="450" t="s">
        <v>2255</v>
      </c>
      <c r="H29" s="448" t="s">
        <v>2256</v>
      </c>
      <c r="I29" s="474">
        <v>24385</v>
      </c>
      <c r="J29" s="474">
        <v>0</v>
      </c>
      <c r="K29" s="457">
        <v>0</v>
      </c>
      <c r="L29" s="687"/>
      <c r="M29" s="687"/>
      <c r="N29" s="69">
        <v>0</v>
      </c>
      <c r="O29" s="474">
        <v>0</v>
      </c>
      <c r="P29" s="474">
        <v>0</v>
      </c>
      <c r="Q29" s="288">
        <v>0</v>
      </c>
      <c r="R29" s="438" t="s">
        <v>2312</v>
      </c>
      <c r="S29" s="703"/>
    </row>
    <row r="30" spans="1:19" ht="103.5" customHeight="1">
      <c r="A30" s="710"/>
      <c r="B30" s="687"/>
      <c r="C30" s="687"/>
      <c r="D30" s="714"/>
      <c r="E30" s="714"/>
      <c r="F30" s="681"/>
      <c r="G30" s="450" t="s">
        <v>2254</v>
      </c>
      <c r="H30" s="448" t="s">
        <v>2257</v>
      </c>
      <c r="I30" s="474">
        <v>374396</v>
      </c>
      <c r="J30" s="474">
        <v>149731</v>
      </c>
      <c r="K30" s="457">
        <v>0.3999265830831526</v>
      </c>
      <c r="L30" s="687"/>
      <c r="M30" s="687"/>
      <c r="N30" s="69">
        <v>1</v>
      </c>
      <c r="O30" s="494">
        <v>374327</v>
      </c>
      <c r="P30" s="494">
        <v>149731</v>
      </c>
      <c r="Q30" s="461">
        <f>P30/O30</f>
        <v>0.4000005342922098</v>
      </c>
      <c r="R30" s="438" t="s">
        <v>2314</v>
      </c>
      <c r="S30" s="703"/>
    </row>
    <row r="31" spans="1:19" ht="138" customHeight="1">
      <c r="A31" s="711"/>
      <c r="B31" s="688"/>
      <c r="C31" s="688"/>
      <c r="D31" s="715"/>
      <c r="E31" s="715"/>
      <c r="F31" s="665"/>
      <c r="G31" s="450" t="s">
        <v>2258</v>
      </c>
      <c r="H31" s="448" t="s">
        <v>2259</v>
      </c>
      <c r="I31" s="474">
        <v>347373</v>
      </c>
      <c r="J31" s="474">
        <v>115113</v>
      </c>
      <c r="K31" s="457">
        <v>0.3313804345224424</v>
      </c>
      <c r="L31" s="688"/>
      <c r="M31" s="688"/>
      <c r="N31" s="69">
        <v>0</v>
      </c>
      <c r="O31" s="494">
        <v>115113</v>
      </c>
      <c r="P31" s="494">
        <v>115113</v>
      </c>
      <c r="Q31" s="461">
        <f>P31/O31</f>
        <v>1</v>
      </c>
      <c r="R31" s="438" t="s">
        <v>2314</v>
      </c>
      <c r="S31" s="663"/>
    </row>
    <row r="32" spans="1:19" ht="82.5" customHeight="1">
      <c r="A32" s="61" t="s">
        <v>247</v>
      </c>
      <c r="B32" s="28" t="s">
        <v>248</v>
      </c>
      <c r="C32" s="28" t="s">
        <v>249</v>
      </c>
      <c r="D32" s="29">
        <v>12</v>
      </c>
      <c r="E32" s="29">
        <v>12</v>
      </c>
      <c r="F32" s="289">
        <f>E32/D32</f>
        <v>1</v>
      </c>
      <c r="G32" s="630" t="s">
        <v>2266</v>
      </c>
      <c r="H32" s="28" t="s">
        <v>1640</v>
      </c>
      <c r="I32" s="689">
        <v>70000</v>
      </c>
      <c r="J32" s="689">
        <v>67845</v>
      </c>
      <c r="K32" s="726">
        <v>0.9692195428571428</v>
      </c>
      <c r="L32" s="630" t="s">
        <v>254</v>
      </c>
      <c r="M32" s="28" t="s">
        <v>1997</v>
      </c>
      <c r="N32" s="708">
        <v>2</v>
      </c>
      <c r="O32" s="689">
        <v>67845</v>
      </c>
      <c r="P32" s="689">
        <v>67845</v>
      </c>
      <c r="Q32" s="705">
        <f>P32/O32</f>
        <v>1</v>
      </c>
      <c r="R32" s="708" t="s">
        <v>2313</v>
      </c>
      <c r="S32" s="708" t="s">
        <v>1629</v>
      </c>
    </row>
    <row r="33" spans="1:19" ht="76.5" customHeight="1">
      <c r="A33" s="61" t="s">
        <v>253</v>
      </c>
      <c r="B33" s="28" t="s">
        <v>254</v>
      </c>
      <c r="C33" s="28" t="s">
        <v>255</v>
      </c>
      <c r="D33" s="29">
        <v>3</v>
      </c>
      <c r="E33" s="29">
        <v>11</v>
      </c>
      <c r="F33" s="289">
        <v>1</v>
      </c>
      <c r="G33" s="687"/>
      <c r="H33" s="28" t="s">
        <v>1641</v>
      </c>
      <c r="I33" s="704"/>
      <c r="J33" s="704"/>
      <c r="K33" s="727"/>
      <c r="L33" s="687"/>
      <c r="M33" s="28" t="s">
        <v>1999</v>
      </c>
      <c r="N33" s="708"/>
      <c r="O33" s="704"/>
      <c r="P33" s="704"/>
      <c r="Q33" s="706"/>
      <c r="R33" s="708"/>
      <c r="S33" s="708"/>
    </row>
    <row r="34" spans="1:19" ht="90.75" customHeight="1">
      <c r="A34" s="61" t="s">
        <v>256</v>
      </c>
      <c r="B34" s="28" t="s">
        <v>257</v>
      </c>
      <c r="C34" s="28" t="s">
        <v>258</v>
      </c>
      <c r="D34" s="29">
        <v>4</v>
      </c>
      <c r="E34" s="29">
        <v>7</v>
      </c>
      <c r="F34" s="289">
        <v>1</v>
      </c>
      <c r="G34" s="687"/>
      <c r="H34" s="28" t="s">
        <v>1642</v>
      </c>
      <c r="I34" s="704"/>
      <c r="J34" s="704"/>
      <c r="K34" s="727"/>
      <c r="L34" s="687"/>
      <c r="M34" s="28" t="s">
        <v>2000</v>
      </c>
      <c r="N34" s="708"/>
      <c r="O34" s="704"/>
      <c r="P34" s="704"/>
      <c r="Q34" s="706"/>
      <c r="R34" s="708"/>
      <c r="S34" s="708"/>
    </row>
    <row r="35" spans="1:19" ht="69" customHeight="1">
      <c r="A35" s="61" t="s">
        <v>259</v>
      </c>
      <c r="B35" s="28" t="s">
        <v>260</v>
      </c>
      <c r="C35" s="28" t="s">
        <v>261</v>
      </c>
      <c r="D35" s="29">
        <v>1</v>
      </c>
      <c r="E35" s="29">
        <v>1</v>
      </c>
      <c r="F35" s="289">
        <f>E35/D35</f>
        <v>1</v>
      </c>
      <c r="G35" s="688"/>
      <c r="H35" s="28" t="s">
        <v>1643</v>
      </c>
      <c r="I35" s="690"/>
      <c r="J35" s="690"/>
      <c r="K35" s="728"/>
      <c r="L35" s="688"/>
      <c r="M35" s="28" t="s">
        <v>2001</v>
      </c>
      <c r="N35" s="708"/>
      <c r="O35" s="690"/>
      <c r="P35" s="690"/>
      <c r="Q35" s="707"/>
      <c r="R35" s="708"/>
      <c r="S35" s="708"/>
    </row>
    <row r="36" spans="1:19" ht="177.75" customHeight="1">
      <c r="A36" s="61" t="s">
        <v>1827</v>
      </c>
      <c r="B36" s="28" t="s">
        <v>1828</v>
      </c>
      <c r="C36" s="28" t="s">
        <v>1829</v>
      </c>
      <c r="D36" s="29"/>
      <c r="E36" s="29"/>
      <c r="F36" s="289"/>
      <c r="G36" s="28"/>
      <c r="H36" s="28"/>
      <c r="I36" s="474"/>
      <c r="J36" s="474"/>
      <c r="K36" s="459"/>
      <c r="L36" s="453"/>
      <c r="M36" s="28" t="s">
        <v>2009</v>
      </c>
      <c r="N36" s="480"/>
      <c r="O36" s="458"/>
      <c r="P36" s="474"/>
      <c r="Q36" s="463"/>
      <c r="R36" s="481"/>
      <c r="S36" s="25" t="s">
        <v>1629</v>
      </c>
    </row>
    <row r="37" spans="1:19" ht="171.75" customHeight="1">
      <c r="A37" s="61" t="s">
        <v>1830</v>
      </c>
      <c r="B37" s="28" t="s">
        <v>1831</v>
      </c>
      <c r="C37" s="28" t="s">
        <v>1832</v>
      </c>
      <c r="D37" s="29"/>
      <c r="E37" s="29"/>
      <c r="F37" s="289"/>
      <c r="G37" s="28"/>
      <c r="H37" s="28"/>
      <c r="I37" s="474"/>
      <c r="J37" s="474"/>
      <c r="K37" s="459"/>
      <c r="L37" s="453"/>
      <c r="M37" s="28" t="s">
        <v>2009</v>
      </c>
      <c r="N37" s="480"/>
      <c r="O37" s="458"/>
      <c r="P37" s="474"/>
      <c r="Q37" s="463"/>
      <c r="R37" s="481"/>
      <c r="S37" s="25" t="s">
        <v>1629</v>
      </c>
    </row>
    <row r="38" spans="1:19" ht="70.5" customHeight="1">
      <c r="A38" s="61" t="s">
        <v>262</v>
      </c>
      <c r="B38" s="28" t="s">
        <v>263</v>
      </c>
      <c r="C38" s="28" t="s">
        <v>264</v>
      </c>
      <c r="D38" s="58">
        <v>150</v>
      </c>
      <c r="E38" s="58">
        <v>108</v>
      </c>
      <c r="F38" s="289">
        <f>E38/D38</f>
        <v>0.72</v>
      </c>
      <c r="G38" s="450" t="s">
        <v>2268</v>
      </c>
      <c r="H38" s="448" t="s">
        <v>1644</v>
      </c>
      <c r="I38" s="474">
        <v>789495</v>
      </c>
      <c r="J38" s="474">
        <v>735701</v>
      </c>
      <c r="K38" s="465">
        <f>J38/I38</f>
        <v>0.9318627730384613</v>
      </c>
      <c r="L38" s="448" t="s">
        <v>920</v>
      </c>
      <c r="M38" s="28" t="s">
        <v>2002</v>
      </c>
      <c r="N38" s="69">
        <v>4</v>
      </c>
      <c r="O38" s="487">
        <v>735701</v>
      </c>
      <c r="P38" s="474">
        <v>735701</v>
      </c>
      <c r="Q38" s="461">
        <f>P38/O38</f>
        <v>1</v>
      </c>
      <c r="R38" s="25" t="s">
        <v>2315</v>
      </c>
      <c r="S38" s="25" t="s">
        <v>1629</v>
      </c>
    </row>
    <row r="39" spans="1:19" ht="82.5" customHeight="1">
      <c r="A39" s="61" t="s">
        <v>265</v>
      </c>
      <c r="B39" s="28" t="s">
        <v>2276</v>
      </c>
      <c r="C39" s="28" t="s">
        <v>266</v>
      </c>
      <c r="D39" s="58">
        <v>280</v>
      </c>
      <c r="E39" s="58">
        <v>155</v>
      </c>
      <c r="F39" s="289">
        <f>E39/D39</f>
        <v>0.5535714285714286</v>
      </c>
      <c r="G39" s="450" t="s">
        <v>2269</v>
      </c>
      <c r="H39" s="448" t="s">
        <v>1645</v>
      </c>
      <c r="I39" s="474">
        <v>216301</v>
      </c>
      <c r="J39" s="474">
        <v>166054</v>
      </c>
      <c r="K39" s="466">
        <f>J39/I39</f>
        <v>0.7676987161409332</v>
      </c>
      <c r="L39" s="28" t="s">
        <v>2276</v>
      </c>
      <c r="M39" s="28" t="s">
        <v>2003</v>
      </c>
      <c r="N39" s="69">
        <v>19</v>
      </c>
      <c r="O39" s="493">
        <v>166054</v>
      </c>
      <c r="P39" s="474">
        <v>166054</v>
      </c>
      <c r="Q39" s="461">
        <f>P39/O39</f>
        <v>1</v>
      </c>
      <c r="R39" s="25" t="s">
        <v>2313</v>
      </c>
      <c r="S39" s="25" t="s">
        <v>1629</v>
      </c>
    </row>
    <row r="40" spans="1:19" ht="61.5" customHeight="1">
      <c r="A40" s="61" t="s">
        <v>267</v>
      </c>
      <c r="B40" s="28" t="s">
        <v>268</v>
      </c>
      <c r="C40" s="28" t="s">
        <v>269</v>
      </c>
      <c r="D40" s="224">
        <v>733</v>
      </c>
      <c r="E40" s="58">
        <v>766</v>
      </c>
      <c r="F40" s="289">
        <v>1</v>
      </c>
      <c r="G40" s="450" t="s">
        <v>2304</v>
      </c>
      <c r="H40" s="448" t="s">
        <v>1646</v>
      </c>
      <c r="I40" s="474">
        <v>26510</v>
      </c>
      <c r="J40" s="488">
        <v>22760</v>
      </c>
      <c r="K40" s="469">
        <f>J40/I40</f>
        <v>0.8585439456808751</v>
      </c>
      <c r="L40" s="28" t="s">
        <v>268</v>
      </c>
      <c r="M40" s="28" t="s">
        <v>2004</v>
      </c>
      <c r="N40" s="69">
        <v>7</v>
      </c>
      <c r="O40" s="493">
        <v>22760</v>
      </c>
      <c r="P40" s="474">
        <v>22760</v>
      </c>
      <c r="Q40" s="461">
        <f>P40/O40</f>
        <v>1</v>
      </c>
      <c r="R40" s="30" t="s">
        <v>2309</v>
      </c>
      <c r="S40" s="25" t="s">
        <v>1629</v>
      </c>
    </row>
    <row r="41" spans="1:19" ht="105" customHeight="1">
      <c r="A41" s="709" t="s">
        <v>270</v>
      </c>
      <c r="B41" s="630" t="s">
        <v>271</v>
      </c>
      <c r="C41" s="630" t="s">
        <v>272</v>
      </c>
      <c r="D41" s="716">
        <v>100</v>
      </c>
      <c r="E41" s="716">
        <v>100</v>
      </c>
      <c r="F41" s="664">
        <v>1</v>
      </c>
      <c r="G41" s="467" t="s">
        <v>2270</v>
      </c>
      <c r="H41" s="448" t="s">
        <v>2273</v>
      </c>
      <c r="I41" s="474">
        <v>567558</v>
      </c>
      <c r="J41" s="474">
        <v>326559</v>
      </c>
      <c r="K41" s="466">
        <f>J41/I41</f>
        <v>0.5753755563308067</v>
      </c>
      <c r="L41" s="630" t="s">
        <v>271</v>
      </c>
      <c r="M41" s="630" t="s">
        <v>2005</v>
      </c>
      <c r="N41" s="69">
        <v>13</v>
      </c>
      <c r="O41" s="493">
        <v>385139</v>
      </c>
      <c r="P41" s="474">
        <v>326559</v>
      </c>
      <c r="Q41" s="461">
        <f>P41/O41</f>
        <v>0.8478990702058218</v>
      </c>
      <c r="R41" s="25" t="s">
        <v>2316</v>
      </c>
      <c r="S41" s="25" t="s">
        <v>1629</v>
      </c>
    </row>
    <row r="42" spans="1:19" ht="227.25" customHeight="1">
      <c r="A42" s="710"/>
      <c r="B42" s="687"/>
      <c r="C42" s="687"/>
      <c r="D42" s="717"/>
      <c r="E42" s="717"/>
      <c r="F42" s="681"/>
      <c r="G42" s="467" t="s">
        <v>2271</v>
      </c>
      <c r="H42" s="448" t="s">
        <v>2274</v>
      </c>
      <c r="I42" s="477">
        <v>405364</v>
      </c>
      <c r="J42" s="478">
        <v>317724</v>
      </c>
      <c r="K42" s="470">
        <f>J42/I42</f>
        <v>0.783799252030274</v>
      </c>
      <c r="L42" s="687"/>
      <c r="M42" s="687"/>
      <c r="N42" s="69">
        <v>26</v>
      </c>
      <c r="O42" s="493">
        <v>317724</v>
      </c>
      <c r="P42" s="478">
        <v>317724</v>
      </c>
      <c r="Q42" s="461">
        <f>P42/O42</f>
        <v>1</v>
      </c>
      <c r="R42" s="25" t="s">
        <v>2313</v>
      </c>
      <c r="S42" s="25" t="s">
        <v>1629</v>
      </c>
    </row>
    <row r="43" spans="1:19" ht="88.5" customHeight="1">
      <c r="A43" s="711"/>
      <c r="B43" s="688"/>
      <c r="C43" s="688"/>
      <c r="D43" s="718"/>
      <c r="E43" s="718"/>
      <c r="F43" s="665"/>
      <c r="G43" s="468" t="s">
        <v>2272</v>
      </c>
      <c r="H43" s="448" t="s">
        <v>2275</v>
      </c>
      <c r="I43" s="474">
        <v>98000</v>
      </c>
      <c r="J43" s="474">
        <v>0</v>
      </c>
      <c r="K43" s="465">
        <v>0</v>
      </c>
      <c r="L43" s="688"/>
      <c r="M43" s="688"/>
      <c r="N43" s="69">
        <v>0</v>
      </c>
      <c r="O43" s="474">
        <v>0</v>
      </c>
      <c r="P43" s="474">
        <v>0</v>
      </c>
      <c r="Q43" s="461">
        <v>0</v>
      </c>
      <c r="R43" s="25" t="s">
        <v>2317</v>
      </c>
      <c r="S43" s="25" t="s">
        <v>1629</v>
      </c>
    </row>
    <row r="44" spans="1:19" ht="186" customHeight="1">
      <c r="A44" s="61" t="s">
        <v>1833</v>
      </c>
      <c r="B44" s="28" t="s">
        <v>1834</v>
      </c>
      <c r="C44" s="28" t="s">
        <v>97</v>
      </c>
      <c r="D44" s="58"/>
      <c r="E44" s="58"/>
      <c r="F44" s="289"/>
      <c r="G44" s="52"/>
      <c r="H44" s="28"/>
      <c r="I44" s="474"/>
      <c r="J44" s="474"/>
      <c r="K44" s="464"/>
      <c r="L44" s="452"/>
      <c r="M44" s="28"/>
      <c r="N44" s="454"/>
      <c r="O44" s="491"/>
      <c r="P44" s="474"/>
      <c r="Q44" s="456"/>
      <c r="R44" s="452"/>
      <c r="S44" s="25" t="s">
        <v>1629</v>
      </c>
    </row>
    <row r="45" spans="1:19" ht="110.25" customHeight="1">
      <c r="A45" s="61" t="s">
        <v>437</v>
      </c>
      <c r="B45" s="28" t="s">
        <v>438</v>
      </c>
      <c r="C45" s="28" t="s">
        <v>439</v>
      </c>
      <c r="D45" s="224">
        <v>12</v>
      </c>
      <c r="E45" s="224">
        <v>8</v>
      </c>
      <c r="F45" s="289">
        <f>E45/D45</f>
        <v>0.6666666666666666</v>
      </c>
      <c r="G45" s="28" t="s">
        <v>911</v>
      </c>
      <c r="H45" s="28" t="s">
        <v>1648</v>
      </c>
      <c r="I45" s="474">
        <f>20000000/1000</f>
        <v>20000</v>
      </c>
      <c r="J45" s="474">
        <f>15939750/1000</f>
        <v>15939.75</v>
      </c>
      <c r="K45" s="289">
        <v>0</v>
      </c>
      <c r="L45" s="28" t="s">
        <v>921</v>
      </c>
      <c r="M45" s="28" t="s">
        <v>2006</v>
      </c>
      <c r="N45" s="225">
        <v>3</v>
      </c>
      <c r="O45" s="489">
        <v>15940</v>
      </c>
      <c r="P45" s="474">
        <f>15939750/1000</f>
        <v>15939.75</v>
      </c>
      <c r="Q45" s="288">
        <f>P45/O45</f>
        <v>0.9999843161856964</v>
      </c>
      <c r="R45" s="30" t="s">
        <v>2311</v>
      </c>
      <c r="S45" s="25" t="s">
        <v>1629</v>
      </c>
    </row>
    <row r="46" spans="1:19" ht="85.5" customHeight="1">
      <c r="A46" s="61" t="s">
        <v>440</v>
      </c>
      <c r="B46" s="28" t="s">
        <v>441</v>
      </c>
      <c r="C46" s="28" t="s">
        <v>442</v>
      </c>
      <c r="D46" s="224">
        <v>3</v>
      </c>
      <c r="E46" s="224">
        <v>5</v>
      </c>
      <c r="F46" s="289">
        <v>1</v>
      </c>
      <c r="G46" s="51" t="s">
        <v>912</v>
      </c>
      <c r="H46" s="28" t="s">
        <v>1647</v>
      </c>
      <c r="I46" s="474">
        <f>20000000/1000</f>
        <v>20000</v>
      </c>
      <c r="J46" s="474">
        <f>20000000/1000</f>
        <v>20000</v>
      </c>
      <c r="K46" s="289">
        <f>J46/I46</f>
        <v>1</v>
      </c>
      <c r="L46" s="28" t="s">
        <v>922</v>
      </c>
      <c r="M46" s="28" t="s">
        <v>2007</v>
      </c>
      <c r="N46" s="69">
        <v>1</v>
      </c>
      <c r="O46" s="474">
        <f>20000000/1000</f>
        <v>20000</v>
      </c>
      <c r="P46" s="474">
        <f>20000000/1000</f>
        <v>20000</v>
      </c>
      <c r="Q46" s="288">
        <f>P46/O46</f>
        <v>1</v>
      </c>
      <c r="R46" s="30" t="s">
        <v>2311</v>
      </c>
      <c r="S46" s="25" t="s">
        <v>1629</v>
      </c>
    </row>
    <row r="47" spans="1:19" ht="72.75" customHeight="1">
      <c r="A47" s="709" t="s">
        <v>443</v>
      </c>
      <c r="B47" s="630" t="s">
        <v>444</v>
      </c>
      <c r="C47" s="630" t="s">
        <v>1822</v>
      </c>
      <c r="D47" s="716">
        <v>11</v>
      </c>
      <c r="E47" s="716">
        <v>11</v>
      </c>
      <c r="F47" s="664">
        <f>E47/D47</f>
        <v>1</v>
      </c>
      <c r="G47" s="450" t="s">
        <v>2277</v>
      </c>
      <c r="H47" s="448" t="s">
        <v>2280</v>
      </c>
      <c r="I47" s="474">
        <v>1911691</v>
      </c>
      <c r="J47" s="474">
        <v>1706656</v>
      </c>
      <c r="K47" s="451">
        <f>J47/I47</f>
        <v>0.8927467880530902</v>
      </c>
      <c r="L47" s="630" t="s">
        <v>444</v>
      </c>
      <c r="M47" s="630" t="s">
        <v>2008</v>
      </c>
      <c r="N47" s="69">
        <v>1</v>
      </c>
      <c r="O47" s="474">
        <v>1706656</v>
      </c>
      <c r="P47" s="474">
        <v>1706656</v>
      </c>
      <c r="Q47" s="483">
        <f>P47/O47</f>
        <v>1</v>
      </c>
      <c r="R47" s="25" t="s">
        <v>2313</v>
      </c>
      <c r="S47" s="25" t="s">
        <v>1629</v>
      </c>
    </row>
    <row r="48" spans="1:19" ht="57" customHeight="1">
      <c r="A48" s="710"/>
      <c r="B48" s="687"/>
      <c r="C48" s="687"/>
      <c r="D48" s="717"/>
      <c r="E48" s="717"/>
      <c r="F48" s="681"/>
      <c r="G48" s="450" t="s">
        <v>2278</v>
      </c>
      <c r="H48" s="448" t="s">
        <v>2281</v>
      </c>
      <c r="I48" s="474">
        <v>610000</v>
      </c>
      <c r="J48" s="488">
        <v>412712</v>
      </c>
      <c r="K48" s="451">
        <f>J48/I48</f>
        <v>0.6765770491803279</v>
      </c>
      <c r="L48" s="687"/>
      <c r="M48" s="687"/>
      <c r="N48" s="69">
        <v>14</v>
      </c>
      <c r="O48" s="493">
        <v>412712</v>
      </c>
      <c r="P48" s="474">
        <v>412712</v>
      </c>
      <c r="Q48" s="483">
        <f>P48/O48</f>
        <v>1</v>
      </c>
      <c r="R48" s="25" t="s">
        <v>2318</v>
      </c>
      <c r="S48" s="25" t="s">
        <v>1629</v>
      </c>
    </row>
    <row r="49" spans="1:19" ht="109.5" customHeight="1">
      <c r="A49" s="711"/>
      <c r="B49" s="688"/>
      <c r="C49" s="688"/>
      <c r="D49" s="718"/>
      <c r="E49" s="718"/>
      <c r="F49" s="665"/>
      <c r="G49" s="449" t="s">
        <v>2279</v>
      </c>
      <c r="H49" s="448" t="s">
        <v>2282</v>
      </c>
      <c r="I49" s="474">
        <v>199180</v>
      </c>
      <c r="J49" s="488">
        <v>115273</v>
      </c>
      <c r="K49" s="465">
        <f>J49/I49</f>
        <v>0.5787378250828397</v>
      </c>
      <c r="L49" s="688"/>
      <c r="M49" s="688"/>
      <c r="N49" s="69">
        <v>35</v>
      </c>
      <c r="O49" s="474">
        <v>115273</v>
      </c>
      <c r="P49" s="474">
        <v>115273</v>
      </c>
      <c r="Q49" s="483">
        <f>P49/O49</f>
        <v>1</v>
      </c>
      <c r="R49" s="25" t="s">
        <v>2313</v>
      </c>
      <c r="S49" s="25" t="s">
        <v>1629</v>
      </c>
    </row>
    <row r="50" spans="1:19" ht="168" customHeight="1">
      <c r="A50" s="376" t="s">
        <v>1835</v>
      </c>
      <c r="B50" s="28" t="s">
        <v>1836</v>
      </c>
      <c r="C50" s="28" t="s">
        <v>1837</v>
      </c>
      <c r="D50" s="368"/>
      <c r="E50" s="368"/>
      <c r="F50" s="289"/>
      <c r="G50" s="52"/>
      <c r="H50" s="28"/>
      <c r="I50" s="474"/>
      <c r="J50" s="474"/>
      <c r="K50" s="289"/>
      <c r="L50" s="453"/>
      <c r="M50" s="28" t="s">
        <v>2009</v>
      </c>
      <c r="N50" s="480"/>
      <c r="O50" s="493"/>
      <c r="P50" s="474"/>
      <c r="Q50" s="484"/>
      <c r="R50" s="453"/>
      <c r="S50" s="25" t="s">
        <v>1629</v>
      </c>
    </row>
    <row r="51" spans="1:19" ht="155.25" customHeight="1">
      <c r="A51" s="376" t="s">
        <v>1838</v>
      </c>
      <c r="B51" s="28" t="s">
        <v>1839</v>
      </c>
      <c r="C51" s="28" t="s">
        <v>91</v>
      </c>
      <c r="D51" s="368"/>
      <c r="E51" s="368"/>
      <c r="F51" s="289"/>
      <c r="G51" s="28"/>
      <c r="H51" s="28"/>
      <c r="I51" s="474"/>
      <c r="J51" s="474"/>
      <c r="K51" s="289"/>
      <c r="L51" s="453"/>
      <c r="M51" s="28" t="s">
        <v>2009</v>
      </c>
      <c r="N51" s="480"/>
      <c r="O51" s="493"/>
      <c r="P51" s="474"/>
      <c r="Q51" s="484"/>
      <c r="R51" s="453"/>
      <c r="S51" s="25" t="s">
        <v>1629</v>
      </c>
    </row>
    <row r="52" spans="1:19" ht="165.75" customHeight="1">
      <c r="A52" s="375" t="s">
        <v>1840</v>
      </c>
      <c r="B52" s="28" t="s">
        <v>1841</v>
      </c>
      <c r="C52" s="28" t="s">
        <v>1842</v>
      </c>
      <c r="D52" s="368"/>
      <c r="E52" s="368"/>
      <c r="F52" s="289"/>
      <c r="G52" s="28"/>
      <c r="H52" s="28"/>
      <c r="I52" s="474"/>
      <c r="J52" s="474"/>
      <c r="K52" s="289"/>
      <c r="L52" s="453"/>
      <c r="M52" s="28" t="s">
        <v>2009</v>
      </c>
      <c r="N52" s="480"/>
      <c r="O52" s="493"/>
      <c r="P52" s="474"/>
      <c r="Q52" s="484"/>
      <c r="R52" s="453"/>
      <c r="S52" s="25" t="s">
        <v>1629</v>
      </c>
    </row>
    <row r="53" spans="1:19" ht="156" customHeight="1">
      <c r="A53" s="375" t="s">
        <v>1843</v>
      </c>
      <c r="B53" s="28" t="s">
        <v>1844</v>
      </c>
      <c r="C53" s="28" t="s">
        <v>1845</v>
      </c>
      <c r="D53" s="368"/>
      <c r="E53" s="368"/>
      <c r="F53" s="289"/>
      <c r="G53" s="51"/>
      <c r="H53" s="28"/>
      <c r="I53" s="474"/>
      <c r="J53" s="474"/>
      <c r="K53" s="289"/>
      <c r="L53" s="453"/>
      <c r="M53" s="28" t="s">
        <v>2010</v>
      </c>
      <c r="N53" s="480"/>
      <c r="O53" s="493"/>
      <c r="P53" s="474"/>
      <c r="Q53" s="484"/>
      <c r="R53" s="453"/>
      <c r="S53" s="25" t="s">
        <v>1629</v>
      </c>
    </row>
    <row r="54" spans="1:19" ht="91.5" customHeight="1">
      <c r="A54" s="709" t="s">
        <v>445</v>
      </c>
      <c r="B54" s="630" t="s">
        <v>446</v>
      </c>
      <c r="C54" s="630" t="s">
        <v>447</v>
      </c>
      <c r="D54" s="713">
        <v>0.25</v>
      </c>
      <c r="E54" s="713">
        <v>0.25</v>
      </c>
      <c r="F54" s="664">
        <f>E54/D54</f>
        <v>1</v>
      </c>
      <c r="G54" s="471" t="s">
        <v>2283</v>
      </c>
      <c r="H54" s="448" t="s">
        <v>2285</v>
      </c>
      <c r="I54" s="474">
        <v>30000</v>
      </c>
      <c r="J54" s="474">
        <v>25000</v>
      </c>
      <c r="K54" s="472">
        <f>J54/I54</f>
        <v>0.8333333333333334</v>
      </c>
      <c r="L54" s="630" t="s">
        <v>446</v>
      </c>
      <c r="M54" s="630" t="s">
        <v>2011</v>
      </c>
      <c r="N54" s="69">
        <v>2</v>
      </c>
      <c r="O54" s="489">
        <v>25000</v>
      </c>
      <c r="P54" s="474">
        <v>25000</v>
      </c>
      <c r="Q54" s="483">
        <f>P54/O54</f>
        <v>1</v>
      </c>
      <c r="R54" s="25" t="s">
        <v>2313</v>
      </c>
      <c r="S54" s="25" t="s">
        <v>1629</v>
      </c>
    </row>
    <row r="55" spans="1:19" ht="91.5" customHeight="1">
      <c r="A55" s="711"/>
      <c r="B55" s="688"/>
      <c r="C55" s="688"/>
      <c r="D55" s="715"/>
      <c r="E55" s="715"/>
      <c r="F55" s="665"/>
      <c r="G55" s="471" t="s">
        <v>2284</v>
      </c>
      <c r="H55" s="448" t="s">
        <v>2286</v>
      </c>
      <c r="I55" s="474">
        <v>10155</v>
      </c>
      <c r="J55" s="474">
        <v>0</v>
      </c>
      <c r="K55" s="472">
        <f>J55/I55</f>
        <v>0</v>
      </c>
      <c r="L55" s="688"/>
      <c r="M55" s="688"/>
      <c r="N55" s="435">
        <v>0</v>
      </c>
      <c r="O55" s="474">
        <v>0</v>
      </c>
      <c r="P55" s="476">
        <v>0</v>
      </c>
      <c r="Q55" s="433">
        <v>0</v>
      </c>
      <c r="R55" s="25" t="s">
        <v>2312</v>
      </c>
      <c r="S55" s="25" t="s">
        <v>1629</v>
      </c>
    </row>
    <row r="56" spans="1:19" ht="83.25" customHeight="1">
      <c r="A56" s="709" t="s">
        <v>448</v>
      </c>
      <c r="B56" s="630" t="s">
        <v>449</v>
      </c>
      <c r="C56" s="630" t="s">
        <v>1823</v>
      </c>
      <c r="D56" s="719">
        <v>3</v>
      </c>
      <c r="E56" s="719">
        <v>0</v>
      </c>
      <c r="F56" s="721">
        <f>E56/D56</f>
        <v>0</v>
      </c>
      <c r="G56" s="450" t="s">
        <v>2287</v>
      </c>
      <c r="H56" s="448" t="s">
        <v>2289</v>
      </c>
      <c r="I56" s="474">
        <v>30000</v>
      </c>
      <c r="J56" s="474">
        <v>2500</v>
      </c>
      <c r="K56" s="465">
        <f>J56/I56</f>
        <v>0.08333333333333333</v>
      </c>
      <c r="L56" s="630" t="s">
        <v>449</v>
      </c>
      <c r="M56" s="630" t="s">
        <v>2012</v>
      </c>
      <c r="N56" s="69">
        <v>2</v>
      </c>
      <c r="O56" s="489">
        <v>26300</v>
      </c>
      <c r="P56" s="474">
        <v>2500</v>
      </c>
      <c r="Q56" s="483">
        <f>P56/O56</f>
        <v>0.09505703422053231</v>
      </c>
      <c r="R56" s="30" t="s">
        <v>2311</v>
      </c>
      <c r="S56" s="25" t="s">
        <v>1629</v>
      </c>
    </row>
    <row r="57" spans="1:19" ht="106.5" customHeight="1">
      <c r="A57" s="711"/>
      <c r="B57" s="688"/>
      <c r="C57" s="688"/>
      <c r="D57" s="720"/>
      <c r="E57" s="720"/>
      <c r="F57" s="722"/>
      <c r="G57" s="450" t="s">
        <v>2288</v>
      </c>
      <c r="H57" s="448" t="s">
        <v>2290</v>
      </c>
      <c r="I57" s="474">
        <v>330267</v>
      </c>
      <c r="J57" s="474">
        <v>220267</v>
      </c>
      <c r="K57" s="465">
        <f>J57/I57</f>
        <v>0.6669361456034058</v>
      </c>
      <c r="L57" s="688"/>
      <c r="M57" s="688"/>
      <c r="N57" s="69">
        <v>4</v>
      </c>
      <c r="O57" s="462">
        <v>330267</v>
      </c>
      <c r="P57" s="474">
        <v>220267</v>
      </c>
      <c r="Q57" s="483">
        <f>P57/O57</f>
        <v>0.6669361456034058</v>
      </c>
      <c r="R57" s="25" t="s">
        <v>2312</v>
      </c>
      <c r="S57" s="25" t="s">
        <v>1629</v>
      </c>
    </row>
    <row r="58" spans="1:19" ht="96.75" customHeight="1">
      <c r="A58" s="61" t="s">
        <v>450</v>
      </c>
      <c r="B58" s="28" t="s">
        <v>451</v>
      </c>
      <c r="C58" s="28" t="s">
        <v>452</v>
      </c>
      <c r="D58" s="29">
        <v>1</v>
      </c>
      <c r="E58" s="29">
        <v>5</v>
      </c>
      <c r="F58" s="289">
        <v>1</v>
      </c>
      <c r="G58" s="28" t="s">
        <v>2291</v>
      </c>
      <c r="H58" s="28" t="s">
        <v>2292</v>
      </c>
      <c r="I58" s="488">
        <v>15000</v>
      </c>
      <c r="J58" s="474">
        <v>15000</v>
      </c>
      <c r="K58" s="473">
        <f>J58/I58</f>
        <v>1</v>
      </c>
      <c r="L58" s="28" t="s">
        <v>451</v>
      </c>
      <c r="M58" s="28" t="s">
        <v>1824</v>
      </c>
      <c r="N58" s="69">
        <v>2</v>
      </c>
      <c r="O58" s="462">
        <v>15000</v>
      </c>
      <c r="P58" s="474">
        <v>15000</v>
      </c>
      <c r="Q58" s="483">
        <f>P58/O58</f>
        <v>1</v>
      </c>
      <c r="R58" s="25" t="s">
        <v>2313</v>
      </c>
      <c r="S58" s="25" t="s">
        <v>1629</v>
      </c>
    </row>
    <row r="59" spans="1:19" ht="140.25" customHeight="1">
      <c r="A59" s="61" t="s">
        <v>1846</v>
      </c>
      <c r="B59" s="28" t="s">
        <v>1847</v>
      </c>
      <c r="C59" s="28" t="s">
        <v>1848</v>
      </c>
      <c r="D59" s="29"/>
      <c r="E59" s="29"/>
      <c r="F59" s="289"/>
      <c r="G59" s="51"/>
      <c r="H59" s="28"/>
      <c r="I59" s="474"/>
      <c r="J59" s="474"/>
      <c r="K59" s="351"/>
      <c r="L59" s="453"/>
      <c r="M59" s="28" t="s">
        <v>2009</v>
      </c>
      <c r="N59" s="454"/>
      <c r="O59" s="455"/>
      <c r="P59" s="474"/>
      <c r="Q59" s="485"/>
      <c r="R59" s="454"/>
      <c r="S59" s="25" t="s">
        <v>1629</v>
      </c>
    </row>
    <row r="60" spans="1:19" ht="120" customHeight="1">
      <c r="A60" s="709" t="s">
        <v>453</v>
      </c>
      <c r="B60" s="630" t="s">
        <v>454</v>
      </c>
      <c r="C60" s="630" t="s">
        <v>455</v>
      </c>
      <c r="D60" s="723">
        <v>4</v>
      </c>
      <c r="E60" s="723" t="s">
        <v>1649</v>
      </c>
      <c r="F60" s="664">
        <v>1</v>
      </c>
      <c r="G60" s="449" t="s">
        <v>2293</v>
      </c>
      <c r="H60" s="448" t="s">
        <v>2298</v>
      </c>
      <c r="I60" s="474">
        <v>178390</v>
      </c>
      <c r="J60" s="474">
        <v>0</v>
      </c>
      <c r="K60" s="465">
        <f>J60/I60</f>
        <v>0</v>
      </c>
      <c r="L60" s="630" t="s">
        <v>2303</v>
      </c>
      <c r="M60" s="630" t="s">
        <v>2013</v>
      </c>
      <c r="N60" s="435">
        <v>0</v>
      </c>
      <c r="O60" s="474">
        <v>0</v>
      </c>
      <c r="P60" s="474">
        <v>0</v>
      </c>
      <c r="Q60" s="288">
        <v>0</v>
      </c>
      <c r="R60" s="30" t="s">
        <v>2309</v>
      </c>
      <c r="S60" s="25" t="s">
        <v>1629</v>
      </c>
    </row>
    <row r="61" spans="1:19" ht="87" customHeight="1">
      <c r="A61" s="710"/>
      <c r="B61" s="687"/>
      <c r="C61" s="687"/>
      <c r="D61" s="724"/>
      <c r="E61" s="724"/>
      <c r="F61" s="681"/>
      <c r="G61" s="450" t="s">
        <v>2294</v>
      </c>
      <c r="H61" s="448" t="s">
        <v>2299</v>
      </c>
      <c r="I61" s="474">
        <v>43154</v>
      </c>
      <c r="J61" s="474">
        <v>43154</v>
      </c>
      <c r="K61" s="465">
        <f>J61/I61</f>
        <v>1</v>
      </c>
      <c r="L61" s="687"/>
      <c r="M61" s="687"/>
      <c r="N61" s="69">
        <v>2</v>
      </c>
      <c r="O61" s="482">
        <v>43154</v>
      </c>
      <c r="P61" s="474">
        <v>43154</v>
      </c>
      <c r="Q61" s="483">
        <f>P61/O61</f>
        <v>1</v>
      </c>
      <c r="R61" s="30" t="s">
        <v>2319</v>
      </c>
      <c r="S61" s="25" t="s">
        <v>1629</v>
      </c>
    </row>
    <row r="62" spans="1:19" ht="87" customHeight="1">
      <c r="A62" s="710"/>
      <c r="B62" s="687"/>
      <c r="C62" s="687"/>
      <c r="D62" s="724"/>
      <c r="E62" s="724"/>
      <c r="F62" s="681"/>
      <c r="G62" s="450" t="s">
        <v>2295</v>
      </c>
      <c r="H62" s="448" t="s">
        <v>2300</v>
      </c>
      <c r="I62" s="474">
        <v>7448</v>
      </c>
      <c r="J62" s="474">
        <v>0</v>
      </c>
      <c r="K62" s="465">
        <f>J62/I62</f>
        <v>0</v>
      </c>
      <c r="L62" s="687"/>
      <c r="M62" s="687"/>
      <c r="N62" s="69">
        <v>0</v>
      </c>
      <c r="O62" s="474">
        <v>0</v>
      </c>
      <c r="P62" s="474">
        <v>0</v>
      </c>
      <c r="Q62" s="288">
        <v>0</v>
      </c>
      <c r="R62" s="30" t="s">
        <v>2319</v>
      </c>
      <c r="S62" s="25" t="s">
        <v>1629</v>
      </c>
    </row>
    <row r="63" spans="1:19" ht="99" customHeight="1">
      <c r="A63" s="710"/>
      <c r="B63" s="687"/>
      <c r="C63" s="687"/>
      <c r="D63" s="724"/>
      <c r="E63" s="724"/>
      <c r="F63" s="681"/>
      <c r="G63" s="450" t="s">
        <v>2296</v>
      </c>
      <c r="H63" s="448" t="s">
        <v>2301</v>
      </c>
      <c r="I63" s="474">
        <v>214383</v>
      </c>
      <c r="J63" s="474">
        <v>107000</v>
      </c>
      <c r="K63" s="465">
        <f>J63/I63</f>
        <v>0.49910673887388457</v>
      </c>
      <c r="L63" s="687"/>
      <c r="M63" s="687"/>
      <c r="N63" s="69">
        <v>2</v>
      </c>
      <c r="O63" s="482">
        <v>107000</v>
      </c>
      <c r="P63" s="474">
        <v>107000</v>
      </c>
      <c r="Q63" s="483">
        <f>P63/O63</f>
        <v>1</v>
      </c>
      <c r="R63" s="30" t="s">
        <v>2319</v>
      </c>
      <c r="S63" s="25" t="s">
        <v>1629</v>
      </c>
    </row>
    <row r="64" spans="1:19" ht="120" customHeight="1">
      <c r="A64" s="711"/>
      <c r="B64" s="688"/>
      <c r="C64" s="688"/>
      <c r="D64" s="725"/>
      <c r="E64" s="725"/>
      <c r="F64" s="665"/>
      <c r="G64" s="450" t="s">
        <v>2297</v>
      </c>
      <c r="H64" s="448" t="s">
        <v>2302</v>
      </c>
      <c r="I64" s="474">
        <v>66500</v>
      </c>
      <c r="J64" s="474">
        <v>60500</v>
      </c>
      <c r="K64" s="465">
        <f>J64/I64</f>
        <v>0.9097744360902256</v>
      </c>
      <c r="L64" s="688"/>
      <c r="M64" s="688"/>
      <c r="N64" s="69">
        <v>3</v>
      </c>
      <c r="O64" s="482">
        <v>60500</v>
      </c>
      <c r="P64" s="474">
        <v>60500</v>
      </c>
      <c r="Q64" s="483">
        <f>P64/O64</f>
        <v>1</v>
      </c>
      <c r="R64" s="30" t="s">
        <v>2319</v>
      </c>
      <c r="S64" s="25" t="s">
        <v>1629</v>
      </c>
    </row>
    <row r="65" spans="1:19" ht="88.5" customHeight="1">
      <c r="A65" s="61" t="s">
        <v>456</v>
      </c>
      <c r="B65" s="28" t="s">
        <v>457</v>
      </c>
      <c r="C65" s="28" t="s">
        <v>458</v>
      </c>
      <c r="D65" s="224">
        <v>12</v>
      </c>
      <c r="E65" s="224">
        <v>0</v>
      </c>
      <c r="F65" s="289">
        <f>E65/D65</f>
        <v>0</v>
      </c>
      <c r="G65" s="52" t="s">
        <v>913</v>
      </c>
      <c r="H65" s="28" t="s">
        <v>1638</v>
      </c>
      <c r="I65" s="474">
        <f>30000000/1000</f>
        <v>30000</v>
      </c>
      <c r="J65" s="474">
        <v>0</v>
      </c>
      <c r="K65" s="289">
        <v>0</v>
      </c>
      <c r="L65" s="28" t="s">
        <v>923</v>
      </c>
      <c r="M65" s="28" t="s">
        <v>2014</v>
      </c>
      <c r="N65" s="69">
        <v>0</v>
      </c>
      <c r="O65" s="474">
        <v>0</v>
      </c>
      <c r="P65" s="474">
        <v>0</v>
      </c>
      <c r="Q65" s="288">
        <v>0</v>
      </c>
      <c r="R65" s="30" t="s">
        <v>2311</v>
      </c>
      <c r="S65" s="25" t="s">
        <v>1629</v>
      </c>
    </row>
    <row r="66" spans="1:19" s="45" customFormat="1" ht="22.5" customHeight="1">
      <c r="A66" s="519" t="s">
        <v>1093</v>
      </c>
      <c r="B66" s="520"/>
      <c r="C66" s="268"/>
      <c r="D66" s="275"/>
      <c r="E66" s="226"/>
      <c r="F66" s="374">
        <v>0.87</v>
      </c>
      <c r="G66" s="107">
        <v>15</v>
      </c>
      <c r="H66" s="223"/>
      <c r="I66" s="479">
        <f>SUM(I8:I65)</f>
        <v>50214837.17217</v>
      </c>
      <c r="J66" s="479">
        <f>SUM(J8:J65)</f>
        <v>31917516.06019</v>
      </c>
      <c r="K66" s="311">
        <f>J66/I66</f>
        <v>0.6356192284514522</v>
      </c>
      <c r="L66" s="28"/>
      <c r="M66" s="23"/>
      <c r="N66" s="251">
        <f>SUM(N8:N65)</f>
        <v>315</v>
      </c>
      <c r="O66" s="486">
        <f>SUM(O8:O65)</f>
        <v>34465594</v>
      </c>
      <c r="P66" s="486">
        <f>SUM(P8:P65)</f>
        <v>31917516.06019</v>
      </c>
      <c r="Q66" s="297">
        <f>P66/O66</f>
        <v>0.9260689387854449</v>
      </c>
      <c r="R66" s="167"/>
      <c r="S66" s="25"/>
    </row>
    <row r="67" spans="1:19" s="45" customFormat="1" ht="22.5" customHeight="1">
      <c r="A67" s="519" t="s">
        <v>6</v>
      </c>
      <c r="B67" s="520"/>
      <c r="C67" s="276"/>
      <c r="D67" s="147"/>
      <c r="E67" s="147"/>
      <c r="F67" s="147"/>
      <c r="G67" s="55"/>
      <c r="H67" s="55"/>
      <c r="I67" s="90"/>
      <c r="J67" s="90"/>
      <c r="K67" s="314"/>
      <c r="L67" s="55"/>
      <c r="M67" s="55"/>
      <c r="N67" s="55"/>
      <c r="O67" s="55"/>
      <c r="P67" s="55"/>
      <c r="Q67" s="320"/>
      <c r="R67" s="167"/>
      <c r="S67" s="439"/>
    </row>
    <row r="68" spans="1:19" s="45" customFormat="1" ht="22.5" customHeight="1">
      <c r="A68" s="549" t="s">
        <v>1713</v>
      </c>
      <c r="B68" s="550"/>
      <c r="C68" s="270"/>
      <c r="D68" s="255"/>
      <c r="E68" s="255"/>
      <c r="F68" s="255"/>
      <c r="G68" s="55"/>
      <c r="H68" s="55"/>
      <c r="I68" s="90"/>
      <c r="J68" s="90"/>
      <c r="K68" s="314"/>
      <c r="L68" s="55"/>
      <c r="M68" s="55"/>
      <c r="N68" s="55"/>
      <c r="O68" s="55"/>
      <c r="P68" s="55"/>
      <c r="Q68" s="320"/>
      <c r="R68" s="167"/>
      <c r="S68" s="439"/>
    </row>
    <row r="69" spans="1:19" ht="12.75" customHeight="1">
      <c r="A69" s="519"/>
      <c r="B69" s="520"/>
      <c r="C69" s="16"/>
      <c r="D69" s="273"/>
      <c r="E69" s="16"/>
      <c r="F69" s="16"/>
      <c r="G69" s="37"/>
      <c r="H69" s="37"/>
      <c r="I69" s="37"/>
      <c r="J69" s="37"/>
      <c r="K69" s="372"/>
      <c r="L69" s="39"/>
      <c r="M69" s="37"/>
      <c r="N69" s="37"/>
      <c r="O69" s="37"/>
      <c r="P69" s="37"/>
      <c r="Q69" s="119"/>
      <c r="R69" s="40"/>
      <c r="S69" s="39"/>
    </row>
    <row r="70" spans="1:19" ht="24" customHeight="1">
      <c r="A70" s="549" t="s">
        <v>7</v>
      </c>
      <c r="B70" s="550"/>
      <c r="C70" s="277" t="s">
        <v>1630</v>
      </c>
      <c r="D70" s="145"/>
      <c r="E70" s="145"/>
      <c r="F70" s="145"/>
      <c r="G70" s="149"/>
      <c r="H70" s="149"/>
      <c r="I70" s="149"/>
      <c r="J70" s="149"/>
      <c r="K70" s="373"/>
      <c r="L70" s="39"/>
      <c r="M70" s="37"/>
      <c r="N70" s="37"/>
      <c r="O70" s="37"/>
      <c r="P70" s="37"/>
      <c r="Q70" s="119"/>
      <c r="R70" s="40"/>
      <c r="S70" s="39"/>
    </row>
    <row r="71" ht="14.25">
      <c r="A71" s="365"/>
    </row>
    <row r="72" spans="1:16" ht="14.25">
      <c r="A72" s="366"/>
      <c r="O72" s="369"/>
      <c r="P72" s="369"/>
    </row>
    <row r="73" spans="1:15" ht="14.25">
      <c r="A73" s="367"/>
      <c r="I73" s="371"/>
      <c r="J73" s="371"/>
      <c r="O73" s="378"/>
    </row>
    <row r="74" spans="9:16" ht="14.25">
      <c r="I74" s="447"/>
      <c r="J74" s="369"/>
      <c r="O74" s="378"/>
      <c r="P74" s="378"/>
    </row>
    <row r="75" spans="9:15" ht="15">
      <c r="I75" s="371"/>
      <c r="J75" s="371"/>
      <c r="O75" s="495"/>
    </row>
    <row r="76" ht="14.25">
      <c r="O76" s="379"/>
    </row>
    <row r="77" ht="14.25">
      <c r="O77" s="496"/>
    </row>
    <row r="79" ht="14.25">
      <c r="O79" s="379"/>
    </row>
    <row r="81" ht="14.25">
      <c r="O81" s="379"/>
    </row>
    <row r="87" spans="3:7" ht="21.75" customHeight="1">
      <c r="C87" s="446"/>
      <c r="D87" s="446"/>
      <c r="E87" s="447"/>
      <c r="F87" s="369"/>
      <c r="G87" s="370"/>
    </row>
    <row r="88" spans="3:7" ht="14.25">
      <c r="C88" s="446"/>
      <c r="D88" s="446"/>
      <c r="E88" s="447"/>
      <c r="F88" s="369"/>
      <c r="G88" s="370"/>
    </row>
    <row r="89" spans="3:7" ht="14.25">
      <c r="C89" s="446"/>
      <c r="D89" s="446"/>
      <c r="E89" s="447"/>
      <c r="F89" s="369"/>
      <c r="G89" s="370"/>
    </row>
    <row r="90" spans="3:7" ht="14.25">
      <c r="C90" s="446"/>
      <c r="D90" s="446"/>
      <c r="E90" s="447"/>
      <c r="F90" s="369"/>
      <c r="G90" s="370"/>
    </row>
    <row r="91" spans="3:7" ht="14.25">
      <c r="C91" s="446"/>
      <c r="D91" s="446"/>
      <c r="E91" s="447"/>
      <c r="F91" s="369"/>
      <c r="G91" s="370"/>
    </row>
    <row r="92" spans="3:7" ht="14.25">
      <c r="C92" s="446"/>
      <c r="D92" s="446"/>
      <c r="E92" s="447"/>
      <c r="F92" s="369"/>
      <c r="G92" s="370"/>
    </row>
    <row r="93" spans="3:7" ht="14.25">
      <c r="C93" s="446"/>
      <c r="D93" s="446"/>
      <c r="E93" s="447"/>
      <c r="F93" s="369"/>
      <c r="G93" s="370"/>
    </row>
  </sheetData>
  <sheetProtection/>
  <mergeCells count="145">
    <mergeCell ref="S32:S35"/>
    <mergeCell ref="O10:O11"/>
    <mergeCell ref="P10:P11"/>
    <mergeCell ref="Q10:Q11"/>
    <mergeCell ref="N10:N11"/>
    <mergeCell ref="L60:L64"/>
    <mergeCell ref="M60:M64"/>
    <mergeCell ref="M54:M55"/>
    <mergeCell ref="L56:L57"/>
    <mergeCell ref="M56:M57"/>
    <mergeCell ref="N13:N15"/>
    <mergeCell ref="O13:O15"/>
    <mergeCell ref="L17:L20"/>
    <mergeCell ref="M17:M20"/>
    <mergeCell ref="L13:L15"/>
    <mergeCell ref="K32:K35"/>
    <mergeCell ref="L32:L35"/>
    <mergeCell ref="M23:M24"/>
    <mergeCell ref="A60:A64"/>
    <mergeCell ref="B60:B64"/>
    <mergeCell ref="C60:C64"/>
    <mergeCell ref="D60:D64"/>
    <mergeCell ref="E60:E64"/>
    <mergeCell ref="F60:F64"/>
    <mergeCell ref="A56:A57"/>
    <mergeCell ref="B56:B57"/>
    <mergeCell ref="C56:C57"/>
    <mergeCell ref="D56:D57"/>
    <mergeCell ref="E56:E57"/>
    <mergeCell ref="F56:F57"/>
    <mergeCell ref="D47:D49"/>
    <mergeCell ref="E47:E49"/>
    <mergeCell ref="F47:F49"/>
    <mergeCell ref="A54:A55"/>
    <mergeCell ref="B54:B55"/>
    <mergeCell ref="C54:C55"/>
    <mergeCell ref="D54:D55"/>
    <mergeCell ref="E54:E55"/>
    <mergeCell ref="F54:F55"/>
    <mergeCell ref="S23:S24"/>
    <mergeCell ref="A41:A43"/>
    <mergeCell ref="B41:B43"/>
    <mergeCell ref="C41:C43"/>
    <mergeCell ref="D41:D43"/>
    <mergeCell ref="E41:E43"/>
    <mergeCell ref="F41:F43"/>
    <mergeCell ref="L41:L43"/>
    <mergeCell ref="M41:M43"/>
    <mergeCell ref="L23:L24"/>
    <mergeCell ref="N32:N35"/>
    <mergeCell ref="O32:O35"/>
    <mergeCell ref="G32:G35"/>
    <mergeCell ref="A26:A31"/>
    <mergeCell ref="B26:B31"/>
    <mergeCell ref="C26:C31"/>
    <mergeCell ref="D26:D31"/>
    <mergeCell ref="E26:E31"/>
    <mergeCell ref="I32:I35"/>
    <mergeCell ref="J32:J35"/>
    <mergeCell ref="F26:F31"/>
    <mergeCell ref="A17:A20"/>
    <mergeCell ref="B17:B20"/>
    <mergeCell ref="C17:C20"/>
    <mergeCell ref="D17:D20"/>
    <mergeCell ref="E17:E20"/>
    <mergeCell ref="F17:F20"/>
    <mergeCell ref="A23:A24"/>
    <mergeCell ref="B23:B24"/>
    <mergeCell ref="C23:C24"/>
    <mergeCell ref="A70:B70"/>
    <mergeCell ref="A66:B66"/>
    <mergeCell ref="A67:B67"/>
    <mergeCell ref="A68:B68"/>
    <mergeCell ref="A69:B69"/>
    <mergeCell ref="L47:L49"/>
    <mergeCell ref="L54:L55"/>
    <mergeCell ref="A47:A49"/>
    <mergeCell ref="B47:B49"/>
    <mergeCell ref="C47:C49"/>
    <mergeCell ref="M47:M49"/>
    <mergeCell ref="S13:S16"/>
    <mergeCell ref="M26:M31"/>
    <mergeCell ref="R13:R15"/>
    <mergeCell ref="S26:S31"/>
    <mergeCell ref="P32:P35"/>
    <mergeCell ref="Q32:Q35"/>
    <mergeCell ref="R32:R35"/>
    <mergeCell ref="P13:P15"/>
    <mergeCell ref="Q13:Q15"/>
    <mergeCell ref="A3:S3"/>
    <mergeCell ref="G5:M5"/>
    <mergeCell ref="N5:R5"/>
    <mergeCell ref="A4:G4"/>
    <mergeCell ref="A5:F5"/>
    <mergeCell ref="H10:H11"/>
    <mergeCell ref="I10:I11"/>
    <mergeCell ref="J10:J11"/>
    <mergeCell ref="K10:K11"/>
    <mergeCell ref="S10:S12"/>
    <mergeCell ref="I6:I7"/>
    <mergeCell ref="J6:J7"/>
    <mergeCell ref="K6:K7"/>
    <mergeCell ref="O6:O7"/>
    <mergeCell ref="L8:L9"/>
    <mergeCell ref="L10:L12"/>
    <mergeCell ref="P8:P9"/>
    <mergeCell ref="L26:L31"/>
    <mergeCell ref="M6:M7"/>
    <mergeCell ref="G8:G9"/>
    <mergeCell ref="H8:H9"/>
    <mergeCell ref="J8:J9"/>
    <mergeCell ref="K8:K9"/>
    <mergeCell ref="I8:I9"/>
    <mergeCell ref="I13:I15"/>
    <mergeCell ref="J13:J15"/>
    <mergeCell ref="A2:S2"/>
    <mergeCell ref="E6:E7"/>
    <mergeCell ref="L6:L7"/>
    <mergeCell ref="D6:D7"/>
    <mergeCell ref="F6:F7"/>
    <mergeCell ref="H6:H7"/>
    <mergeCell ref="H4:L4"/>
    <mergeCell ref="G6:G7"/>
    <mergeCell ref="A6:A7"/>
    <mergeCell ref="P6:P7"/>
    <mergeCell ref="S6:S7"/>
    <mergeCell ref="O8:O9"/>
    <mergeCell ref="G13:G15"/>
    <mergeCell ref="B6:B7"/>
    <mergeCell ref="C6:C7"/>
    <mergeCell ref="R8:R9"/>
    <mergeCell ref="G10:G11"/>
    <mergeCell ref="R10:R11"/>
    <mergeCell ref="N8:N9"/>
    <mergeCell ref="K13:K15"/>
    <mergeCell ref="D23:D24"/>
    <mergeCell ref="E23:E24"/>
    <mergeCell ref="F23:F24"/>
    <mergeCell ref="M4:O4"/>
    <mergeCell ref="P4:S4"/>
    <mergeCell ref="Q8:Q9"/>
    <mergeCell ref="N6:N7"/>
    <mergeCell ref="Q6:Q7"/>
    <mergeCell ref="R6:R7"/>
    <mergeCell ref="S8:S9"/>
  </mergeCells>
  <printOptions/>
  <pageMargins left="1.299212598425197" right="0.31496062992125984" top="0.7480314960629921" bottom="0.7480314960629921" header="0.31496062992125984" footer="0.31496062992125984"/>
  <pageSetup horizontalDpi="600" verticalDpi="600" orientation="landscape" paperSize="5" scale="85" r:id="rId3"/>
  <headerFooter>
    <oddFooter>&amp;CPágina &amp;P</oddFooter>
  </headerFooter>
  <ignoredErrors>
    <ignoredError sqref="E60" numberStoredAsText="1"/>
    <ignoredError sqref="Q66" evalError="1"/>
  </ignoredErrors>
  <legacyDrawing r:id="rId2"/>
</worksheet>
</file>

<file path=xl/worksheets/sheet5.xml><?xml version="1.0" encoding="utf-8"?>
<worksheet xmlns="http://schemas.openxmlformats.org/spreadsheetml/2006/main" xmlns:r="http://schemas.openxmlformats.org/officeDocument/2006/relationships">
  <dimension ref="A1:S66"/>
  <sheetViews>
    <sheetView zoomScale="59" zoomScaleNormal="59" zoomScalePageLayoutView="0" workbookViewId="0" topLeftCell="A57">
      <selection activeCell="F71" sqref="F71"/>
    </sheetView>
  </sheetViews>
  <sheetFormatPr defaultColWidth="10.7109375" defaultRowHeight="15"/>
  <cols>
    <col min="1" max="1" width="25.140625" style="45" customWidth="1"/>
    <col min="2" max="2" width="35.28125" style="45" customWidth="1"/>
    <col min="3" max="3" width="30.8515625" style="45" customWidth="1"/>
    <col min="4" max="4" width="22.7109375" style="45" customWidth="1"/>
    <col min="5" max="5" width="20.7109375" style="45" customWidth="1"/>
    <col min="6" max="6" width="20.00390625" style="45" customWidth="1"/>
    <col min="7" max="7" width="30.8515625" style="45" customWidth="1"/>
    <col min="8" max="8" width="40.28125" style="45" customWidth="1"/>
    <col min="9" max="9" width="21.7109375" style="45" customWidth="1"/>
    <col min="10" max="10" width="19.8515625" style="45" customWidth="1"/>
    <col min="11" max="11" width="15.7109375" style="321" customWidth="1"/>
    <col min="12" max="12" width="34.28125" style="45" customWidth="1"/>
    <col min="13" max="13" width="38.28125" style="45" customWidth="1"/>
    <col min="14" max="14" width="20.8515625" style="45" customWidth="1"/>
    <col min="15" max="15" width="20.7109375" style="53" customWidth="1"/>
    <col min="16" max="16" width="21.140625" style="53" customWidth="1"/>
    <col min="17" max="17" width="17.7109375" style="401" customWidth="1"/>
    <col min="18" max="18" width="16.00390625" style="11" customWidth="1"/>
    <col min="19" max="19" width="22.00390625" style="45" customWidth="1"/>
    <col min="20" max="16384" width="10.7109375" style="45" customWidth="1"/>
  </cols>
  <sheetData>
    <row r="1" spans="11:18" s="46" customFormat="1" ht="26.25" customHeight="1" thickBot="1">
      <c r="K1" s="313"/>
      <c r="Q1" s="313"/>
      <c r="R1" s="62"/>
    </row>
    <row r="2" spans="1:19" s="253" customFormat="1" ht="24" customHeight="1" thickBot="1">
      <c r="A2" s="505" t="s">
        <v>8</v>
      </c>
      <c r="B2" s="506"/>
      <c r="C2" s="506"/>
      <c r="D2" s="506"/>
      <c r="E2" s="506"/>
      <c r="F2" s="506"/>
      <c r="G2" s="506"/>
      <c r="H2" s="506"/>
      <c r="I2" s="506"/>
      <c r="J2" s="506"/>
      <c r="K2" s="506"/>
      <c r="L2" s="506"/>
      <c r="M2" s="506"/>
      <c r="N2" s="506"/>
      <c r="O2" s="506"/>
      <c r="P2" s="506"/>
      <c r="Q2" s="506"/>
      <c r="R2" s="506"/>
      <c r="S2" s="507"/>
    </row>
    <row r="3" spans="1:19" s="253" customFormat="1" ht="29.25" customHeight="1" thickBot="1">
      <c r="A3" s="508" t="s">
        <v>1683</v>
      </c>
      <c r="B3" s="509"/>
      <c r="C3" s="509"/>
      <c r="D3" s="509"/>
      <c r="E3" s="509"/>
      <c r="F3" s="509"/>
      <c r="G3" s="509"/>
      <c r="H3" s="509"/>
      <c r="I3" s="509"/>
      <c r="J3" s="509"/>
      <c r="K3" s="509"/>
      <c r="L3" s="509"/>
      <c r="M3" s="509"/>
      <c r="N3" s="509"/>
      <c r="O3" s="509"/>
      <c r="P3" s="509"/>
      <c r="Q3" s="509"/>
      <c r="R3" s="509"/>
      <c r="S3" s="510"/>
    </row>
    <row r="4" spans="1:19" s="11" customFormat="1" ht="37.5" customHeight="1">
      <c r="A4" s="666" t="s">
        <v>459</v>
      </c>
      <c r="B4" s="667"/>
      <c r="C4" s="667"/>
      <c r="D4" s="667"/>
      <c r="E4" s="667"/>
      <c r="F4" s="667"/>
      <c r="G4" s="667"/>
      <c r="H4" s="684" t="s">
        <v>1721</v>
      </c>
      <c r="I4" s="684"/>
      <c r="J4" s="684"/>
      <c r="K4" s="684"/>
      <c r="L4" s="684"/>
      <c r="M4" s="666" t="s">
        <v>1183</v>
      </c>
      <c r="N4" s="667"/>
      <c r="O4" s="668"/>
      <c r="P4" s="666" t="s">
        <v>1522</v>
      </c>
      <c r="Q4" s="667"/>
      <c r="R4" s="667"/>
      <c r="S4" s="668"/>
    </row>
    <row r="5" spans="1:19" s="42" customFormat="1" ht="27.75" customHeight="1">
      <c r="A5" s="698" t="s">
        <v>0</v>
      </c>
      <c r="B5" s="699"/>
      <c r="C5" s="699"/>
      <c r="D5" s="699"/>
      <c r="E5" s="699"/>
      <c r="F5" s="700"/>
      <c r="G5" s="697" t="s">
        <v>1</v>
      </c>
      <c r="H5" s="697"/>
      <c r="I5" s="697"/>
      <c r="J5" s="697"/>
      <c r="K5" s="697"/>
      <c r="L5" s="697"/>
      <c r="M5" s="697"/>
      <c r="N5" s="697" t="s">
        <v>1187</v>
      </c>
      <c r="O5" s="697"/>
      <c r="P5" s="697"/>
      <c r="Q5" s="697"/>
      <c r="R5" s="697"/>
      <c r="S5" s="669" t="s">
        <v>1685</v>
      </c>
    </row>
    <row r="6" spans="1:19" s="42" customFormat="1" ht="30" customHeight="1">
      <c r="A6" s="669" t="s">
        <v>2</v>
      </c>
      <c r="B6" s="669" t="s">
        <v>4</v>
      </c>
      <c r="C6" s="669" t="s">
        <v>3</v>
      </c>
      <c r="D6" s="669" t="s">
        <v>1116</v>
      </c>
      <c r="E6" s="669" t="s">
        <v>1117</v>
      </c>
      <c r="F6" s="669" t="s">
        <v>1118</v>
      </c>
      <c r="G6" s="669" t="s">
        <v>1186</v>
      </c>
      <c r="H6" s="669" t="s">
        <v>9</v>
      </c>
      <c r="I6" s="693" t="s">
        <v>1180</v>
      </c>
      <c r="J6" s="693" t="s">
        <v>1181</v>
      </c>
      <c r="K6" s="695" t="s">
        <v>1103</v>
      </c>
      <c r="L6" s="682" t="s">
        <v>1637</v>
      </c>
      <c r="M6" s="669" t="s">
        <v>2015</v>
      </c>
      <c r="N6" s="669" t="s">
        <v>1115</v>
      </c>
      <c r="O6" s="669" t="s">
        <v>1119</v>
      </c>
      <c r="P6" s="669" t="s">
        <v>1120</v>
      </c>
      <c r="Q6" s="671" t="s">
        <v>1185</v>
      </c>
      <c r="R6" s="669" t="s">
        <v>924</v>
      </c>
      <c r="S6" s="761"/>
    </row>
    <row r="7" spans="1:19" s="42" customFormat="1" ht="30" customHeight="1">
      <c r="A7" s="670"/>
      <c r="B7" s="670"/>
      <c r="C7" s="670"/>
      <c r="D7" s="670"/>
      <c r="E7" s="670"/>
      <c r="F7" s="670"/>
      <c r="G7" s="670"/>
      <c r="H7" s="670"/>
      <c r="I7" s="694"/>
      <c r="J7" s="694"/>
      <c r="K7" s="696"/>
      <c r="L7" s="683"/>
      <c r="M7" s="670"/>
      <c r="N7" s="670"/>
      <c r="O7" s="670"/>
      <c r="P7" s="670"/>
      <c r="Q7" s="672"/>
      <c r="R7" s="670"/>
      <c r="S7" s="670"/>
    </row>
    <row r="8" spans="1:19" ht="52.5" customHeight="1">
      <c r="A8" s="217" t="s">
        <v>1536</v>
      </c>
      <c r="B8" s="28" t="s">
        <v>1529</v>
      </c>
      <c r="C8" s="28" t="s">
        <v>460</v>
      </c>
      <c r="D8" s="402">
        <v>1</v>
      </c>
      <c r="E8" s="215">
        <v>0.8</v>
      </c>
      <c r="F8" s="176">
        <v>0.8</v>
      </c>
      <c r="G8" s="515" t="s">
        <v>927</v>
      </c>
      <c r="H8" s="28" t="s">
        <v>1523</v>
      </c>
      <c r="I8" s="610">
        <f>55158220/1000</f>
        <v>55158.22</v>
      </c>
      <c r="J8" s="610">
        <f>49030000/1000</f>
        <v>49030</v>
      </c>
      <c r="K8" s="752">
        <f>J8/I8</f>
        <v>0.8888974299750789</v>
      </c>
      <c r="L8" s="527" t="s">
        <v>1697</v>
      </c>
      <c r="M8" s="28" t="s">
        <v>2016</v>
      </c>
      <c r="N8" s="745">
        <v>10</v>
      </c>
      <c r="O8" s="610">
        <f>50030000/1000</f>
        <v>50030</v>
      </c>
      <c r="P8" s="610">
        <f>49030000/1000</f>
        <v>49030</v>
      </c>
      <c r="Q8" s="752">
        <f>P8/O8</f>
        <v>0.9800119928043174</v>
      </c>
      <c r="R8" s="762" t="s">
        <v>1559</v>
      </c>
      <c r="S8" s="515" t="s">
        <v>929</v>
      </c>
    </row>
    <row r="9" spans="1:19" ht="72" customHeight="1">
      <c r="A9" s="217" t="s">
        <v>1537</v>
      </c>
      <c r="B9" s="28" t="s">
        <v>1530</v>
      </c>
      <c r="C9" s="28" t="s">
        <v>462</v>
      </c>
      <c r="D9" s="402">
        <v>2</v>
      </c>
      <c r="E9" s="216">
        <v>0</v>
      </c>
      <c r="F9" s="176">
        <v>0</v>
      </c>
      <c r="G9" s="515"/>
      <c r="H9" s="28" t="s">
        <v>1524</v>
      </c>
      <c r="I9" s="613"/>
      <c r="J9" s="613"/>
      <c r="K9" s="760"/>
      <c r="L9" s="600"/>
      <c r="M9" s="28" t="s">
        <v>2017</v>
      </c>
      <c r="N9" s="746"/>
      <c r="O9" s="746"/>
      <c r="P9" s="746"/>
      <c r="Q9" s="760"/>
      <c r="R9" s="762"/>
      <c r="S9" s="515"/>
    </row>
    <row r="10" spans="1:19" ht="78" customHeight="1">
      <c r="A10" s="217" t="s">
        <v>1538</v>
      </c>
      <c r="B10" s="28" t="s">
        <v>1531</v>
      </c>
      <c r="C10" s="28" t="s">
        <v>463</v>
      </c>
      <c r="D10" s="402">
        <v>1</v>
      </c>
      <c r="E10" s="216">
        <v>1</v>
      </c>
      <c r="F10" s="176">
        <v>1</v>
      </c>
      <c r="G10" s="515"/>
      <c r="H10" s="28" t="s">
        <v>1525</v>
      </c>
      <c r="I10" s="613"/>
      <c r="J10" s="613"/>
      <c r="K10" s="760"/>
      <c r="L10" s="600"/>
      <c r="M10" s="28" t="s">
        <v>2018</v>
      </c>
      <c r="N10" s="746"/>
      <c r="O10" s="746"/>
      <c r="P10" s="746"/>
      <c r="Q10" s="760"/>
      <c r="R10" s="762"/>
      <c r="S10" s="515"/>
    </row>
    <row r="11" spans="1:19" ht="70.5" customHeight="1">
      <c r="A11" s="217" t="s">
        <v>1539</v>
      </c>
      <c r="B11" s="28" t="s">
        <v>1532</v>
      </c>
      <c r="C11" s="28" t="s">
        <v>464</v>
      </c>
      <c r="D11" s="402">
        <v>3</v>
      </c>
      <c r="E11" s="216">
        <v>3</v>
      </c>
      <c r="F11" s="176">
        <v>1</v>
      </c>
      <c r="G11" s="515"/>
      <c r="H11" s="28" t="s">
        <v>1526</v>
      </c>
      <c r="I11" s="613"/>
      <c r="J11" s="613"/>
      <c r="K11" s="760"/>
      <c r="L11" s="600"/>
      <c r="M11" s="28" t="s">
        <v>2019</v>
      </c>
      <c r="N11" s="746"/>
      <c r="O11" s="746"/>
      <c r="P11" s="746"/>
      <c r="Q11" s="760"/>
      <c r="R11" s="762"/>
      <c r="S11" s="515"/>
    </row>
    <row r="12" spans="1:19" ht="57" customHeight="1">
      <c r="A12" s="217" t="s">
        <v>1540</v>
      </c>
      <c r="B12" s="28" t="s">
        <v>1533</v>
      </c>
      <c r="C12" s="28" t="s">
        <v>465</v>
      </c>
      <c r="D12" s="402">
        <v>3</v>
      </c>
      <c r="E12" s="216">
        <v>4</v>
      </c>
      <c r="F12" s="176">
        <v>1</v>
      </c>
      <c r="G12" s="515"/>
      <c r="H12" s="754" t="s">
        <v>1527</v>
      </c>
      <c r="I12" s="613"/>
      <c r="J12" s="613"/>
      <c r="K12" s="760"/>
      <c r="L12" s="600"/>
      <c r="M12" s="28" t="s">
        <v>2020</v>
      </c>
      <c r="N12" s="746"/>
      <c r="O12" s="746"/>
      <c r="P12" s="746"/>
      <c r="Q12" s="760"/>
      <c r="R12" s="762"/>
      <c r="S12" s="515"/>
    </row>
    <row r="13" spans="1:19" ht="133.5" customHeight="1">
      <c r="A13" s="217" t="s">
        <v>1541</v>
      </c>
      <c r="B13" s="28" t="s">
        <v>1534</v>
      </c>
      <c r="C13" s="28" t="s">
        <v>466</v>
      </c>
      <c r="D13" s="402">
        <v>1</v>
      </c>
      <c r="E13" s="216">
        <v>1</v>
      </c>
      <c r="F13" s="176">
        <v>1</v>
      </c>
      <c r="G13" s="515"/>
      <c r="H13" s="755"/>
      <c r="I13" s="613"/>
      <c r="J13" s="613"/>
      <c r="K13" s="760"/>
      <c r="L13" s="600"/>
      <c r="M13" s="386" t="s">
        <v>2021</v>
      </c>
      <c r="N13" s="746"/>
      <c r="O13" s="746"/>
      <c r="P13" s="746"/>
      <c r="Q13" s="760"/>
      <c r="R13" s="762"/>
      <c r="S13" s="515"/>
    </row>
    <row r="14" spans="1:19" ht="83.25" customHeight="1">
      <c r="A14" s="217" t="s">
        <v>1542</v>
      </c>
      <c r="B14" s="28" t="s">
        <v>1535</v>
      </c>
      <c r="C14" s="28" t="s">
        <v>467</v>
      </c>
      <c r="D14" s="402">
        <v>8</v>
      </c>
      <c r="E14" s="216">
        <v>0</v>
      </c>
      <c r="F14" s="176">
        <v>0</v>
      </c>
      <c r="G14" s="515"/>
      <c r="H14" s="28" t="s">
        <v>1528</v>
      </c>
      <c r="I14" s="611"/>
      <c r="J14" s="611"/>
      <c r="K14" s="753"/>
      <c r="L14" s="601"/>
      <c r="M14" s="28" t="s">
        <v>2022</v>
      </c>
      <c r="N14" s="747"/>
      <c r="O14" s="747"/>
      <c r="P14" s="747"/>
      <c r="Q14" s="753"/>
      <c r="R14" s="762"/>
      <c r="S14" s="515"/>
    </row>
    <row r="15" spans="1:19" ht="123" customHeight="1">
      <c r="A15" s="217" t="s">
        <v>1548</v>
      </c>
      <c r="B15" s="28" t="s">
        <v>1543</v>
      </c>
      <c r="C15" s="28" t="s">
        <v>468</v>
      </c>
      <c r="D15" s="242">
        <v>1</v>
      </c>
      <c r="E15" s="218">
        <v>5</v>
      </c>
      <c r="F15" s="219">
        <v>1</v>
      </c>
      <c r="G15" s="748" t="s">
        <v>928</v>
      </c>
      <c r="H15" s="28" t="s">
        <v>1553</v>
      </c>
      <c r="I15" s="730">
        <f>923957141.8/1000</f>
        <v>923957.1418</v>
      </c>
      <c r="J15" s="730">
        <f>820199385.8/1000</f>
        <v>820199.3857999999</v>
      </c>
      <c r="K15" s="732">
        <f>J15/I15</f>
        <v>0.8877028475608022</v>
      </c>
      <c r="L15" s="527" t="s">
        <v>1698</v>
      </c>
      <c r="M15" s="28" t="s">
        <v>2023</v>
      </c>
      <c r="N15" s="745">
        <v>69</v>
      </c>
      <c r="O15" s="610">
        <f>821699385.8/1000</f>
        <v>821699.3857999999</v>
      </c>
      <c r="P15" s="610">
        <f>J15</f>
        <v>820199.3857999999</v>
      </c>
      <c r="Q15" s="752">
        <f>P15/O15</f>
        <v>0.9981745148823014</v>
      </c>
      <c r="R15" s="762" t="s">
        <v>1558</v>
      </c>
      <c r="S15" s="515" t="s">
        <v>929</v>
      </c>
    </row>
    <row r="16" spans="1:19" ht="118.5" customHeight="1">
      <c r="A16" s="217" t="s">
        <v>1549</v>
      </c>
      <c r="B16" s="28" t="s">
        <v>1544</v>
      </c>
      <c r="C16" s="28" t="s">
        <v>469</v>
      </c>
      <c r="D16" s="242">
        <v>1</v>
      </c>
      <c r="E16" s="216">
        <v>1</v>
      </c>
      <c r="F16" s="219">
        <f>E16/D16</f>
        <v>1</v>
      </c>
      <c r="G16" s="749"/>
      <c r="H16" s="28" t="s">
        <v>1554</v>
      </c>
      <c r="I16" s="751"/>
      <c r="J16" s="751"/>
      <c r="K16" s="744"/>
      <c r="L16" s="538"/>
      <c r="M16" s="28" t="s">
        <v>2025</v>
      </c>
      <c r="N16" s="746"/>
      <c r="O16" s="613"/>
      <c r="P16" s="746"/>
      <c r="Q16" s="760"/>
      <c r="R16" s="762"/>
      <c r="S16" s="515"/>
    </row>
    <row r="17" spans="1:19" ht="96" customHeight="1">
      <c r="A17" s="217" t="s">
        <v>1550</v>
      </c>
      <c r="B17" s="28" t="s">
        <v>1545</v>
      </c>
      <c r="C17" s="28" t="s">
        <v>470</v>
      </c>
      <c r="D17" s="242">
        <v>5</v>
      </c>
      <c r="E17" s="216">
        <v>5</v>
      </c>
      <c r="F17" s="219">
        <f>E17/D17</f>
        <v>1</v>
      </c>
      <c r="G17" s="749"/>
      <c r="H17" s="28" t="s">
        <v>1555</v>
      </c>
      <c r="I17" s="751"/>
      <c r="J17" s="751"/>
      <c r="K17" s="744"/>
      <c r="L17" s="538"/>
      <c r="M17" s="28" t="s">
        <v>2026</v>
      </c>
      <c r="N17" s="746"/>
      <c r="O17" s="613"/>
      <c r="P17" s="746"/>
      <c r="Q17" s="760"/>
      <c r="R17" s="762"/>
      <c r="S17" s="515"/>
    </row>
    <row r="18" spans="1:19" ht="54" customHeight="1">
      <c r="A18" s="217" t="s">
        <v>1551</v>
      </c>
      <c r="B18" s="28" t="s">
        <v>1546</v>
      </c>
      <c r="C18" s="28" t="s">
        <v>471</v>
      </c>
      <c r="D18" s="242"/>
      <c r="E18" s="216"/>
      <c r="F18" s="176"/>
      <c r="G18" s="749"/>
      <c r="H18" s="28" t="s">
        <v>1556</v>
      </c>
      <c r="I18" s="751"/>
      <c r="J18" s="751"/>
      <c r="K18" s="744"/>
      <c r="L18" s="538"/>
      <c r="M18" s="28" t="s">
        <v>2024</v>
      </c>
      <c r="N18" s="746"/>
      <c r="O18" s="613"/>
      <c r="P18" s="746"/>
      <c r="Q18" s="760"/>
      <c r="R18" s="762"/>
      <c r="S18" s="515"/>
    </row>
    <row r="19" spans="1:19" ht="63.75" customHeight="1">
      <c r="A19" s="740" t="s">
        <v>1552</v>
      </c>
      <c r="B19" s="630" t="s">
        <v>1547</v>
      </c>
      <c r="C19" s="630" t="s">
        <v>472</v>
      </c>
      <c r="D19" s="736">
        <v>1</v>
      </c>
      <c r="E19" s="758">
        <v>3</v>
      </c>
      <c r="F19" s="756">
        <v>1</v>
      </c>
      <c r="G19" s="749"/>
      <c r="H19" s="28" t="s">
        <v>1749</v>
      </c>
      <c r="I19" s="751"/>
      <c r="J19" s="751"/>
      <c r="K19" s="744"/>
      <c r="L19" s="538"/>
      <c r="M19" s="630" t="s">
        <v>2027</v>
      </c>
      <c r="N19" s="746"/>
      <c r="O19" s="613"/>
      <c r="P19" s="746"/>
      <c r="Q19" s="760"/>
      <c r="R19" s="762"/>
      <c r="S19" s="515"/>
    </row>
    <row r="20" spans="1:19" ht="32.25" customHeight="1">
      <c r="A20" s="742"/>
      <c r="B20" s="688"/>
      <c r="C20" s="688"/>
      <c r="D20" s="737"/>
      <c r="E20" s="759"/>
      <c r="F20" s="757"/>
      <c r="G20" s="750"/>
      <c r="H20" s="28" t="s">
        <v>1557</v>
      </c>
      <c r="I20" s="731"/>
      <c r="J20" s="731"/>
      <c r="K20" s="733"/>
      <c r="L20" s="528"/>
      <c r="M20" s="688"/>
      <c r="N20" s="747"/>
      <c r="O20" s="611"/>
      <c r="P20" s="747"/>
      <c r="Q20" s="753"/>
      <c r="R20" s="762"/>
      <c r="S20" s="515"/>
    </row>
    <row r="21" spans="1:19" ht="69.75" customHeight="1">
      <c r="A21" s="740" t="s">
        <v>1560</v>
      </c>
      <c r="B21" s="630" t="s">
        <v>1561</v>
      </c>
      <c r="C21" s="630" t="s">
        <v>473</v>
      </c>
      <c r="D21" s="736">
        <v>1</v>
      </c>
      <c r="E21" s="738">
        <v>1</v>
      </c>
      <c r="F21" s="756">
        <f>E21/D21</f>
        <v>1</v>
      </c>
      <c r="G21" s="748" t="s">
        <v>930</v>
      </c>
      <c r="H21" s="28" t="s">
        <v>1750</v>
      </c>
      <c r="I21" s="730">
        <f>210714291.6/1000</f>
        <v>210714.2916</v>
      </c>
      <c r="J21" s="730">
        <f>209684150/1000</f>
        <v>209684.15</v>
      </c>
      <c r="K21" s="732">
        <f>J21/I21</f>
        <v>0.9951111925433348</v>
      </c>
      <c r="L21" s="748" t="s">
        <v>1699</v>
      </c>
      <c r="M21" s="630" t="s">
        <v>2028</v>
      </c>
      <c r="N21" s="306"/>
      <c r="O21" s="307"/>
      <c r="P21" s="306"/>
      <c r="Q21" s="391"/>
      <c r="R21" s="44"/>
      <c r="S21" s="43"/>
    </row>
    <row r="22" spans="1:19" ht="114" customHeight="1">
      <c r="A22" s="742"/>
      <c r="B22" s="688"/>
      <c r="C22" s="688"/>
      <c r="D22" s="737"/>
      <c r="E22" s="739"/>
      <c r="F22" s="757"/>
      <c r="G22" s="749"/>
      <c r="H22" s="28" t="s">
        <v>1140</v>
      </c>
      <c r="I22" s="751"/>
      <c r="J22" s="751"/>
      <c r="K22" s="744"/>
      <c r="L22" s="749"/>
      <c r="M22" s="688"/>
      <c r="N22" s="745">
        <v>15</v>
      </c>
      <c r="O22" s="730">
        <f>210684150/1000</f>
        <v>210684.15</v>
      </c>
      <c r="P22" s="610">
        <f>J21</f>
        <v>209684.15</v>
      </c>
      <c r="Q22" s="752">
        <f>P22/O22</f>
        <v>0.9952535584665482</v>
      </c>
      <c r="R22" s="762" t="s">
        <v>1559</v>
      </c>
      <c r="S22" s="515" t="s">
        <v>929</v>
      </c>
    </row>
    <row r="23" spans="1:19" ht="148.5" customHeight="1">
      <c r="A23" s="217" t="s">
        <v>1562</v>
      </c>
      <c r="B23" s="28" t="s">
        <v>1563</v>
      </c>
      <c r="C23" s="28" t="s">
        <v>474</v>
      </c>
      <c r="D23" s="242">
        <v>1</v>
      </c>
      <c r="E23" s="216">
        <v>1</v>
      </c>
      <c r="F23" s="176">
        <f>E23/D23</f>
        <v>1</v>
      </c>
      <c r="G23" s="749"/>
      <c r="H23" s="28" t="s">
        <v>1566</v>
      </c>
      <c r="I23" s="751"/>
      <c r="J23" s="751"/>
      <c r="K23" s="744"/>
      <c r="L23" s="749"/>
      <c r="M23" s="28" t="s">
        <v>2029</v>
      </c>
      <c r="N23" s="746"/>
      <c r="O23" s="751"/>
      <c r="P23" s="746"/>
      <c r="Q23" s="760"/>
      <c r="R23" s="762"/>
      <c r="S23" s="515"/>
    </row>
    <row r="24" spans="1:19" ht="64.5" customHeight="1">
      <c r="A24" s="217" t="s">
        <v>1564</v>
      </c>
      <c r="B24" s="28" t="s">
        <v>1565</v>
      </c>
      <c r="C24" s="28" t="s">
        <v>475</v>
      </c>
      <c r="D24" s="242">
        <v>100</v>
      </c>
      <c r="E24" s="218">
        <v>100</v>
      </c>
      <c r="F24" s="176">
        <f>E24/D24</f>
        <v>1</v>
      </c>
      <c r="G24" s="750"/>
      <c r="H24" s="28" t="s">
        <v>1751</v>
      </c>
      <c r="I24" s="731"/>
      <c r="J24" s="731"/>
      <c r="K24" s="733"/>
      <c r="L24" s="750"/>
      <c r="M24" s="28" t="s">
        <v>2030</v>
      </c>
      <c r="N24" s="747"/>
      <c r="O24" s="731"/>
      <c r="P24" s="747"/>
      <c r="Q24" s="753"/>
      <c r="R24" s="762"/>
      <c r="S24" s="515"/>
    </row>
    <row r="25" spans="1:19" ht="57" customHeight="1">
      <c r="A25" s="740" t="s">
        <v>1570</v>
      </c>
      <c r="B25" s="630" t="s">
        <v>1567</v>
      </c>
      <c r="C25" s="630" t="s">
        <v>476</v>
      </c>
      <c r="D25" s="736">
        <v>1</v>
      </c>
      <c r="E25" s="738">
        <v>1</v>
      </c>
      <c r="F25" s="734">
        <v>1</v>
      </c>
      <c r="G25" s="748" t="s">
        <v>1092</v>
      </c>
      <c r="H25" s="28" t="s">
        <v>1752</v>
      </c>
      <c r="I25" s="764">
        <f>300399228.6/1000</f>
        <v>300399.22860000003</v>
      </c>
      <c r="J25" s="730">
        <f>297364700/1000</f>
        <v>297364.7</v>
      </c>
      <c r="K25" s="732">
        <f>J25/I25</f>
        <v>0.9898983475618685</v>
      </c>
      <c r="L25" s="527" t="s">
        <v>1700</v>
      </c>
      <c r="M25" s="754" t="s">
        <v>2226</v>
      </c>
      <c r="N25" s="745">
        <v>9</v>
      </c>
      <c r="O25" s="610">
        <f>298364700/1000</f>
        <v>298364.7</v>
      </c>
      <c r="P25" s="610">
        <f>J25</f>
        <v>297364.7</v>
      </c>
      <c r="Q25" s="752">
        <f>P25/O25</f>
        <v>0.9966483970791451</v>
      </c>
      <c r="R25" s="500" t="s">
        <v>1559</v>
      </c>
      <c r="S25" s="527" t="s">
        <v>929</v>
      </c>
    </row>
    <row r="26" spans="1:19" ht="83.25" customHeight="1">
      <c r="A26" s="742"/>
      <c r="B26" s="688"/>
      <c r="C26" s="688"/>
      <c r="D26" s="737"/>
      <c r="E26" s="739"/>
      <c r="F26" s="735"/>
      <c r="G26" s="749"/>
      <c r="H26" s="28" t="s">
        <v>1501</v>
      </c>
      <c r="I26" s="765"/>
      <c r="J26" s="751"/>
      <c r="K26" s="744"/>
      <c r="L26" s="538"/>
      <c r="M26" s="755"/>
      <c r="N26" s="746"/>
      <c r="O26" s="613"/>
      <c r="P26" s="613"/>
      <c r="Q26" s="760"/>
      <c r="R26" s="518"/>
      <c r="S26" s="538"/>
    </row>
    <row r="27" spans="1:19" ht="93" customHeight="1">
      <c r="A27" s="217" t="s">
        <v>1571</v>
      </c>
      <c r="B27" s="28" t="s">
        <v>1568</v>
      </c>
      <c r="C27" s="28" t="s">
        <v>477</v>
      </c>
      <c r="D27" s="425">
        <v>0.5</v>
      </c>
      <c r="E27" s="218">
        <v>1</v>
      </c>
      <c r="F27" s="176">
        <v>1</v>
      </c>
      <c r="G27" s="749"/>
      <c r="H27" s="28" t="s">
        <v>1573</v>
      </c>
      <c r="I27" s="765"/>
      <c r="J27" s="751"/>
      <c r="K27" s="744"/>
      <c r="L27" s="538"/>
      <c r="M27" s="28" t="s">
        <v>2227</v>
      </c>
      <c r="N27" s="746"/>
      <c r="O27" s="613"/>
      <c r="P27" s="613"/>
      <c r="Q27" s="760"/>
      <c r="R27" s="518"/>
      <c r="S27" s="538"/>
    </row>
    <row r="28" spans="1:19" ht="111" customHeight="1">
      <c r="A28" s="217" t="s">
        <v>1572</v>
      </c>
      <c r="B28" s="28" t="s">
        <v>1569</v>
      </c>
      <c r="C28" s="28" t="s">
        <v>478</v>
      </c>
      <c r="D28" s="150">
        <v>1</v>
      </c>
      <c r="E28" s="216">
        <v>1</v>
      </c>
      <c r="F28" s="176">
        <f>E28/D28</f>
        <v>1</v>
      </c>
      <c r="G28" s="750"/>
      <c r="H28" s="28" t="s">
        <v>1574</v>
      </c>
      <c r="I28" s="766"/>
      <c r="J28" s="731"/>
      <c r="K28" s="733"/>
      <c r="L28" s="528"/>
      <c r="M28" s="28" t="s">
        <v>2228</v>
      </c>
      <c r="N28" s="747"/>
      <c r="O28" s="611"/>
      <c r="P28" s="611"/>
      <c r="Q28" s="753"/>
      <c r="R28" s="501"/>
      <c r="S28" s="528"/>
    </row>
    <row r="29" spans="1:19" ht="138" customHeight="1">
      <c r="A29" s="217" t="s">
        <v>1578</v>
      </c>
      <c r="B29" s="28" t="s">
        <v>1575</v>
      </c>
      <c r="C29" s="28" t="s">
        <v>479</v>
      </c>
      <c r="D29" s="150">
        <v>4</v>
      </c>
      <c r="E29" s="216">
        <v>4</v>
      </c>
      <c r="F29" s="176">
        <v>0</v>
      </c>
      <c r="G29" s="763" t="s">
        <v>931</v>
      </c>
      <c r="H29" s="28" t="s">
        <v>1581</v>
      </c>
      <c r="I29" s="610">
        <f>167103174.8/1000</f>
        <v>167103.1748</v>
      </c>
      <c r="J29" s="610">
        <f>85600000/1000</f>
        <v>85600</v>
      </c>
      <c r="K29" s="732">
        <f>J29/I29</f>
        <v>0.5122583703298975</v>
      </c>
      <c r="L29" s="527" t="s">
        <v>1701</v>
      </c>
      <c r="M29" s="28" t="s">
        <v>2031</v>
      </c>
      <c r="N29" s="745">
        <v>11</v>
      </c>
      <c r="O29" s="610">
        <f>87100000/1000</f>
        <v>87100</v>
      </c>
      <c r="P29" s="610">
        <f>J29</f>
        <v>85600</v>
      </c>
      <c r="Q29" s="752">
        <f>P29/O29</f>
        <v>0.9827784156142365</v>
      </c>
      <c r="R29" s="762" t="s">
        <v>1559</v>
      </c>
      <c r="S29" s="515" t="s">
        <v>929</v>
      </c>
    </row>
    <row r="30" spans="1:19" ht="150" customHeight="1">
      <c r="A30" s="217" t="s">
        <v>1579</v>
      </c>
      <c r="B30" s="28" t="s">
        <v>1576</v>
      </c>
      <c r="C30" s="28" t="s">
        <v>480</v>
      </c>
      <c r="D30" s="150">
        <v>0.25</v>
      </c>
      <c r="E30" s="216">
        <v>0.25</v>
      </c>
      <c r="F30" s="219">
        <f>E30/D30</f>
        <v>1</v>
      </c>
      <c r="G30" s="763"/>
      <c r="H30" s="28" t="s">
        <v>1582</v>
      </c>
      <c r="I30" s="613"/>
      <c r="J30" s="613"/>
      <c r="K30" s="744"/>
      <c r="L30" s="538"/>
      <c r="M30" s="28" t="s">
        <v>2032</v>
      </c>
      <c r="N30" s="746"/>
      <c r="O30" s="613"/>
      <c r="P30" s="613"/>
      <c r="Q30" s="760"/>
      <c r="R30" s="762"/>
      <c r="S30" s="515"/>
    </row>
    <row r="31" spans="1:19" ht="252" customHeight="1">
      <c r="A31" s="217" t="s">
        <v>1580</v>
      </c>
      <c r="B31" s="28" t="s">
        <v>1577</v>
      </c>
      <c r="C31" s="28" t="s">
        <v>188</v>
      </c>
      <c r="D31" s="150">
        <v>0.25</v>
      </c>
      <c r="E31" s="216">
        <v>0.25</v>
      </c>
      <c r="F31" s="219">
        <f>E31/D31</f>
        <v>1</v>
      </c>
      <c r="G31" s="763"/>
      <c r="H31" s="28" t="s">
        <v>1583</v>
      </c>
      <c r="I31" s="611"/>
      <c r="J31" s="611"/>
      <c r="K31" s="733"/>
      <c r="L31" s="528"/>
      <c r="M31" s="28" t="s">
        <v>2033</v>
      </c>
      <c r="N31" s="747"/>
      <c r="O31" s="611"/>
      <c r="P31" s="611"/>
      <c r="Q31" s="753"/>
      <c r="R31" s="762"/>
      <c r="S31" s="515"/>
    </row>
    <row r="32" spans="1:19" ht="140.25" customHeight="1">
      <c r="A32" s="217" t="s">
        <v>1585</v>
      </c>
      <c r="B32" s="28" t="s">
        <v>2037</v>
      </c>
      <c r="C32" s="28" t="s">
        <v>2038</v>
      </c>
      <c r="D32" s="402">
        <v>80</v>
      </c>
      <c r="E32" s="426">
        <v>1058</v>
      </c>
      <c r="F32" s="176">
        <v>1</v>
      </c>
      <c r="G32" s="515" t="s">
        <v>932</v>
      </c>
      <c r="H32" s="28" t="s">
        <v>1588</v>
      </c>
      <c r="I32" s="730">
        <f>78633725.67/1000</f>
        <v>78633.72567</v>
      </c>
      <c r="J32" s="730">
        <f>65588200/1000</f>
        <v>65588.2</v>
      </c>
      <c r="K32" s="732">
        <f>J32/I32</f>
        <v>0.8340975763408718</v>
      </c>
      <c r="L32" s="527" t="s">
        <v>1702</v>
      </c>
      <c r="M32" s="28" t="s">
        <v>2034</v>
      </c>
      <c r="N32" s="745">
        <v>10</v>
      </c>
      <c r="O32" s="730">
        <f>69588200/1000</f>
        <v>69588.2</v>
      </c>
      <c r="P32" s="610">
        <f>J32</f>
        <v>65588.2</v>
      </c>
      <c r="Q32" s="752">
        <f>P32/O32</f>
        <v>0.9425189902885834</v>
      </c>
      <c r="R32" s="762" t="s">
        <v>1559</v>
      </c>
      <c r="S32" s="515" t="s">
        <v>929</v>
      </c>
    </row>
    <row r="33" spans="1:19" ht="54" customHeight="1">
      <c r="A33" s="217" t="s">
        <v>1586</v>
      </c>
      <c r="B33" s="28" t="s">
        <v>1584</v>
      </c>
      <c r="C33" s="28" t="s">
        <v>481</v>
      </c>
      <c r="D33" s="402">
        <v>100</v>
      </c>
      <c r="E33" s="216">
        <v>2919</v>
      </c>
      <c r="F33" s="176">
        <v>1</v>
      </c>
      <c r="G33" s="515"/>
      <c r="H33" s="28" t="s">
        <v>1587</v>
      </c>
      <c r="I33" s="731"/>
      <c r="J33" s="731"/>
      <c r="K33" s="733"/>
      <c r="L33" s="528"/>
      <c r="M33" s="28" t="s">
        <v>2035</v>
      </c>
      <c r="N33" s="747"/>
      <c r="O33" s="731"/>
      <c r="P33" s="611"/>
      <c r="Q33" s="753"/>
      <c r="R33" s="762"/>
      <c r="S33" s="515"/>
    </row>
    <row r="34" spans="1:19" ht="34.5" customHeight="1">
      <c r="A34" s="740" t="s">
        <v>1590</v>
      </c>
      <c r="B34" s="630" t="s">
        <v>1589</v>
      </c>
      <c r="C34" s="630" t="s">
        <v>482</v>
      </c>
      <c r="D34" s="736">
        <v>4</v>
      </c>
      <c r="E34" s="736">
        <v>6</v>
      </c>
      <c r="F34" s="732">
        <v>1</v>
      </c>
      <c r="G34" s="630" t="s">
        <v>933</v>
      </c>
      <c r="H34" s="28" t="s">
        <v>1753</v>
      </c>
      <c r="I34" s="730">
        <f>33500000/1000</f>
        <v>33500</v>
      </c>
      <c r="J34" s="730">
        <f>32500000/1000</f>
        <v>32500</v>
      </c>
      <c r="K34" s="732">
        <f>J34/I34</f>
        <v>0.9701492537313433</v>
      </c>
      <c r="L34" s="527" t="s">
        <v>1703</v>
      </c>
      <c r="M34" s="630" t="s">
        <v>2036</v>
      </c>
      <c r="N34" s="745">
        <v>5</v>
      </c>
      <c r="O34" s="730">
        <f>33500000/1000</f>
        <v>33500</v>
      </c>
      <c r="P34" s="610">
        <f>J34</f>
        <v>32500</v>
      </c>
      <c r="Q34" s="752">
        <f>P34/O34</f>
        <v>0.9701492537313433</v>
      </c>
      <c r="R34" s="500" t="s">
        <v>1559</v>
      </c>
      <c r="S34" s="527" t="s">
        <v>929</v>
      </c>
    </row>
    <row r="35" spans="1:19" ht="33.75" customHeight="1">
      <c r="A35" s="741"/>
      <c r="B35" s="687"/>
      <c r="C35" s="687"/>
      <c r="D35" s="743"/>
      <c r="E35" s="743"/>
      <c r="F35" s="744"/>
      <c r="G35" s="687"/>
      <c r="H35" s="28" t="s">
        <v>1140</v>
      </c>
      <c r="I35" s="751"/>
      <c r="J35" s="751"/>
      <c r="K35" s="744"/>
      <c r="L35" s="538"/>
      <c r="M35" s="687"/>
      <c r="N35" s="746"/>
      <c r="O35" s="751"/>
      <c r="P35" s="613"/>
      <c r="Q35" s="760"/>
      <c r="R35" s="518"/>
      <c r="S35" s="538"/>
    </row>
    <row r="36" spans="1:19" ht="48" customHeight="1">
      <c r="A36" s="742"/>
      <c r="B36" s="688"/>
      <c r="C36" s="688"/>
      <c r="D36" s="737"/>
      <c r="E36" s="737"/>
      <c r="F36" s="733"/>
      <c r="G36" s="688"/>
      <c r="H36" s="28" t="s">
        <v>1591</v>
      </c>
      <c r="I36" s="731"/>
      <c r="J36" s="731"/>
      <c r="K36" s="733"/>
      <c r="L36" s="528"/>
      <c r="M36" s="688"/>
      <c r="N36" s="747"/>
      <c r="O36" s="731"/>
      <c r="P36" s="611"/>
      <c r="Q36" s="753"/>
      <c r="R36" s="501"/>
      <c r="S36" s="528"/>
    </row>
    <row r="37" spans="1:19" ht="63" customHeight="1">
      <c r="A37" s="740" t="s">
        <v>1754</v>
      </c>
      <c r="B37" s="630" t="s">
        <v>1592</v>
      </c>
      <c r="C37" s="630" t="s">
        <v>483</v>
      </c>
      <c r="D37" s="736">
        <v>1</v>
      </c>
      <c r="E37" s="736">
        <v>1</v>
      </c>
      <c r="F37" s="734">
        <f>E37/D37</f>
        <v>1</v>
      </c>
      <c r="G37" s="515" t="s">
        <v>934</v>
      </c>
      <c r="H37" s="604"/>
      <c r="I37" s="730">
        <f>153951159/1000</f>
        <v>153951.159</v>
      </c>
      <c r="J37" s="730">
        <f>153951158/1000</f>
        <v>153951.158</v>
      </c>
      <c r="K37" s="533">
        <v>0</v>
      </c>
      <c r="L37" s="527" t="s">
        <v>1704</v>
      </c>
      <c r="M37" s="676" t="s">
        <v>2039</v>
      </c>
      <c r="N37" s="604">
        <v>1</v>
      </c>
      <c r="O37" s="730">
        <f>153951158/1000</f>
        <v>153951.158</v>
      </c>
      <c r="P37" s="730">
        <f>J37</f>
        <v>153951.158</v>
      </c>
      <c r="Q37" s="752">
        <f>P37/O37</f>
        <v>1</v>
      </c>
      <c r="R37" s="762" t="s">
        <v>1559</v>
      </c>
      <c r="S37" s="515" t="s">
        <v>929</v>
      </c>
    </row>
    <row r="38" spans="1:19" ht="59.25" customHeight="1">
      <c r="A38" s="742"/>
      <c r="B38" s="688"/>
      <c r="C38" s="688"/>
      <c r="D38" s="737"/>
      <c r="E38" s="737"/>
      <c r="F38" s="735"/>
      <c r="G38" s="515"/>
      <c r="H38" s="605"/>
      <c r="I38" s="731"/>
      <c r="J38" s="731"/>
      <c r="K38" s="534"/>
      <c r="L38" s="528"/>
      <c r="M38" s="676"/>
      <c r="N38" s="605"/>
      <c r="O38" s="731"/>
      <c r="P38" s="731"/>
      <c r="Q38" s="753"/>
      <c r="R38" s="762"/>
      <c r="S38" s="515"/>
    </row>
    <row r="39" spans="1:19" ht="81" customHeight="1">
      <c r="A39" s="662" t="s">
        <v>1594</v>
      </c>
      <c r="B39" s="630" t="s">
        <v>1593</v>
      </c>
      <c r="C39" s="630" t="s">
        <v>484</v>
      </c>
      <c r="D39" s="736">
        <v>2</v>
      </c>
      <c r="E39" s="738">
        <v>2</v>
      </c>
      <c r="F39" s="734">
        <f>E39/D39</f>
        <v>1</v>
      </c>
      <c r="G39" s="630" t="s">
        <v>935</v>
      </c>
      <c r="H39" s="348" t="s">
        <v>1755</v>
      </c>
      <c r="I39" s="730">
        <f>22210033/1000</f>
        <v>22210.033</v>
      </c>
      <c r="J39" s="730">
        <f>5000000/1000</f>
        <v>5000</v>
      </c>
      <c r="K39" s="732">
        <f>J39/I39</f>
        <v>0.22512348360761103</v>
      </c>
      <c r="L39" s="630" t="s">
        <v>1705</v>
      </c>
      <c r="M39" s="630" t="s">
        <v>2040</v>
      </c>
      <c r="N39" s="604">
        <v>2</v>
      </c>
      <c r="O39" s="730">
        <f>6500000/1000</f>
        <v>6500</v>
      </c>
      <c r="P39" s="500">
        <f>J39</f>
        <v>5000</v>
      </c>
      <c r="Q39" s="752">
        <v>0</v>
      </c>
      <c r="R39" s="500" t="s">
        <v>1559</v>
      </c>
      <c r="S39" s="515" t="s">
        <v>929</v>
      </c>
    </row>
    <row r="40" spans="1:19" ht="88.5" customHeight="1">
      <c r="A40" s="663"/>
      <c r="B40" s="688"/>
      <c r="C40" s="688"/>
      <c r="D40" s="737"/>
      <c r="E40" s="739"/>
      <c r="F40" s="735"/>
      <c r="G40" s="601"/>
      <c r="H40" s="51" t="s">
        <v>1756</v>
      </c>
      <c r="I40" s="731"/>
      <c r="J40" s="731"/>
      <c r="K40" s="733"/>
      <c r="L40" s="601"/>
      <c r="M40" s="601"/>
      <c r="N40" s="605"/>
      <c r="O40" s="731"/>
      <c r="P40" s="501"/>
      <c r="Q40" s="753"/>
      <c r="R40" s="501"/>
      <c r="S40" s="515"/>
    </row>
    <row r="41" spans="1:19" ht="127.5" customHeight="1">
      <c r="A41" s="152" t="s">
        <v>1597</v>
      </c>
      <c r="B41" s="51" t="s">
        <v>1595</v>
      </c>
      <c r="C41" s="28" t="s">
        <v>485</v>
      </c>
      <c r="D41" s="425">
        <v>0.8</v>
      </c>
      <c r="E41" s="216">
        <v>5</v>
      </c>
      <c r="F41" s="176">
        <v>1</v>
      </c>
      <c r="G41" s="515" t="s">
        <v>936</v>
      </c>
      <c r="H41" s="51" t="s">
        <v>1599</v>
      </c>
      <c r="I41" s="730">
        <f>37210033/1000</f>
        <v>37210.033</v>
      </c>
      <c r="J41" s="730">
        <f>24210033/1000</f>
        <v>24210.033</v>
      </c>
      <c r="K41" s="771">
        <f>J41/I41</f>
        <v>0.6506318604984843</v>
      </c>
      <c r="L41" s="527" t="s">
        <v>1706</v>
      </c>
      <c r="M41" s="28" t="s">
        <v>2041</v>
      </c>
      <c r="N41" s="767">
        <v>5</v>
      </c>
      <c r="O41" s="730">
        <f>24210033/1000</f>
        <v>24210.033</v>
      </c>
      <c r="P41" s="769">
        <f>J41</f>
        <v>24210.033</v>
      </c>
      <c r="Q41" s="775">
        <f>P41/O41</f>
        <v>1</v>
      </c>
      <c r="R41" s="770" t="s">
        <v>1559</v>
      </c>
      <c r="S41" s="515" t="s">
        <v>929</v>
      </c>
    </row>
    <row r="42" spans="1:19" ht="186.75" customHeight="1">
      <c r="A42" s="152" t="s">
        <v>1598</v>
      </c>
      <c r="B42" s="51" t="s">
        <v>1596</v>
      </c>
      <c r="C42" s="28" t="s">
        <v>486</v>
      </c>
      <c r="D42" s="25">
        <v>1</v>
      </c>
      <c r="E42" s="216">
        <v>3</v>
      </c>
      <c r="F42" s="176">
        <v>1</v>
      </c>
      <c r="G42" s="515"/>
      <c r="H42" s="51" t="s">
        <v>1228</v>
      </c>
      <c r="I42" s="731"/>
      <c r="J42" s="731"/>
      <c r="K42" s="772"/>
      <c r="L42" s="528"/>
      <c r="M42" s="28" t="s">
        <v>2042</v>
      </c>
      <c r="N42" s="768"/>
      <c r="O42" s="731"/>
      <c r="P42" s="770"/>
      <c r="Q42" s="775"/>
      <c r="R42" s="770"/>
      <c r="S42" s="515"/>
    </row>
    <row r="43" spans="1:19" ht="69.75" customHeight="1">
      <c r="A43" s="662" t="s">
        <v>1600</v>
      </c>
      <c r="B43" s="630" t="s">
        <v>1601</v>
      </c>
      <c r="C43" s="630" t="s">
        <v>487</v>
      </c>
      <c r="D43" s="736">
        <v>6</v>
      </c>
      <c r="E43" s="738">
        <v>7</v>
      </c>
      <c r="F43" s="734">
        <f>E43/D43</f>
        <v>1.1666666666666667</v>
      </c>
      <c r="G43" s="630" t="s">
        <v>937</v>
      </c>
      <c r="H43" s="51" t="s">
        <v>1757</v>
      </c>
      <c r="I43" s="730">
        <f>19738803.6/1000</f>
        <v>19738.803600000003</v>
      </c>
      <c r="J43" s="730">
        <f>4738803/1000</f>
        <v>4738.803</v>
      </c>
      <c r="K43" s="771">
        <f>J43/I43</f>
        <v>0.24007549272135212</v>
      </c>
      <c r="L43" s="630" t="s">
        <v>1707</v>
      </c>
      <c r="M43" s="630" t="s">
        <v>2043</v>
      </c>
      <c r="N43" s="308"/>
      <c r="O43" s="305"/>
      <c r="P43" s="309"/>
      <c r="Q43" s="393"/>
      <c r="R43" s="309"/>
      <c r="S43" s="43"/>
    </row>
    <row r="44" spans="1:19" ht="137.25" customHeight="1">
      <c r="A44" s="663"/>
      <c r="B44" s="601"/>
      <c r="C44" s="601"/>
      <c r="D44" s="737"/>
      <c r="E44" s="739"/>
      <c r="F44" s="735"/>
      <c r="G44" s="601"/>
      <c r="H44" s="6" t="s">
        <v>1758</v>
      </c>
      <c r="I44" s="731"/>
      <c r="J44" s="731"/>
      <c r="K44" s="772"/>
      <c r="L44" s="601"/>
      <c r="M44" s="601"/>
      <c r="N44" s="171">
        <v>3</v>
      </c>
      <c r="O44" s="33">
        <f>6738803/1000</f>
        <v>6738.803</v>
      </c>
      <c r="P44" s="33">
        <f>J43</f>
        <v>4738.803</v>
      </c>
      <c r="Q44" s="399">
        <f>P44/O44</f>
        <v>0.7032113863545202</v>
      </c>
      <c r="R44" s="44" t="s">
        <v>1559</v>
      </c>
      <c r="S44" s="43" t="s">
        <v>929</v>
      </c>
    </row>
    <row r="45" spans="1:19" ht="66" customHeight="1">
      <c r="A45" s="662" t="s">
        <v>1603</v>
      </c>
      <c r="B45" s="630" t="s">
        <v>1602</v>
      </c>
      <c r="C45" s="630" t="s">
        <v>488</v>
      </c>
      <c r="D45" s="736">
        <v>1</v>
      </c>
      <c r="E45" s="738">
        <v>1</v>
      </c>
      <c r="F45" s="734">
        <f>E45/D45</f>
        <v>1</v>
      </c>
      <c r="G45" s="630" t="s">
        <v>938</v>
      </c>
      <c r="H45" s="6" t="s">
        <v>1760</v>
      </c>
      <c r="I45" s="730">
        <f>59700442.8/1000</f>
        <v>59700.4428</v>
      </c>
      <c r="J45" s="730">
        <f>55700002/1000</f>
        <v>55700.002</v>
      </c>
      <c r="K45" s="732">
        <f>J45/I45</f>
        <v>0.9329914383817602</v>
      </c>
      <c r="L45" s="630" t="s">
        <v>1708</v>
      </c>
      <c r="M45" s="630" t="s">
        <v>2044</v>
      </c>
      <c r="N45" s="745">
        <v>10</v>
      </c>
      <c r="O45" s="730">
        <f>56700002/1000</f>
        <v>56700.002</v>
      </c>
      <c r="P45" s="730">
        <f>J45</f>
        <v>55700.002</v>
      </c>
      <c r="Q45" s="773">
        <f>P45/O45</f>
        <v>0.9823633163187543</v>
      </c>
      <c r="R45" s="500" t="s">
        <v>1325</v>
      </c>
      <c r="S45" s="630" t="s">
        <v>929</v>
      </c>
    </row>
    <row r="46" spans="1:19" ht="162" customHeight="1">
      <c r="A46" s="795"/>
      <c r="B46" s="601"/>
      <c r="C46" s="601"/>
      <c r="D46" s="737"/>
      <c r="E46" s="739"/>
      <c r="F46" s="735"/>
      <c r="G46" s="601"/>
      <c r="H46" s="6" t="s">
        <v>1759</v>
      </c>
      <c r="I46" s="731"/>
      <c r="J46" s="731"/>
      <c r="K46" s="733"/>
      <c r="L46" s="601"/>
      <c r="M46" s="601"/>
      <c r="N46" s="747"/>
      <c r="O46" s="731"/>
      <c r="P46" s="731"/>
      <c r="Q46" s="774"/>
      <c r="R46" s="501"/>
      <c r="S46" s="601"/>
    </row>
    <row r="47" spans="1:19" ht="88.5" customHeight="1">
      <c r="A47" s="152" t="s">
        <v>1606</v>
      </c>
      <c r="B47" s="51" t="s">
        <v>1604</v>
      </c>
      <c r="C47" s="28" t="s">
        <v>489</v>
      </c>
      <c r="D47" s="150">
        <v>1</v>
      </c>
      <c r="E47" s="216">
        <v>1</v>
      </c>
      <c r="F47" s="176">
        <f>E47/D47</f>
        <v>1</v>
      </c>
      <c r="G47" s="515" t="s">
        <v>939</v>
      </c>
      <c r="H47" s="6" t="s">
        <v>1608</v>
      </c>
      <c r="I47" s="730">
        <f>58330579.4/1000</f>
        <v>58330.579399999995</v>
      </c>
      <c r="J47" s="730">
        <f>57700000/1000</f>
        <v>57700</v>
      </c>
      <c r="K47" s="732">
        <f>J47/I47</f>
        <v>0.9891895570644719</v>
      </c>
      <c r="L47" s="527" t="s">
        <v>1709</v>
      </c>
      <c r="M47" s="28" t="s">
        <v>2045</v>
      </c>
      <c r="N47" s="745">
        <v>9</v>
      </c>
      <c r="O47" s="730">
        <f>57700000/1000</f>
        <v>57700</v>
      </c>
      <c r="P47" s="730">
        <f>J47</f>
        <v>57700</v>
      </c>
      <c r="Q47" s="773">
        <f>P47/O47</f>
        <v>1</v>
      </c>
      <c r="R47" s="762" t="s">
        <v>461</v>
      </c>
      <c r="S47" s="515" t="s">
        <v>929</v>
      </c>
    </row>
    <row r="48" spans="1:19" ht="78" customHeight="1">
      <c r="A48" s="662" t="s">
        <v>1607</v>
      </c>
      <c r="B48" s="662" t="s">
        <v>1605</v>
      </c>
      <c r="C48" s="630" t="s">
        <v>472</v>
      </c>
      <c r="D48" s="788">
        <v>0.2</v>
      </c>
      <c r="E48" s="790">
        <v>0.2</v>
      </c>
      <c r="F48" s="734">
        <f>E48/D48</f>
        <v>1</v>
      </c>
      <c r="G48" s="515"/>
      <c r="H48" s="6" t="s">
        <v>1785</v>
      </c>
      <c r="I48" s="751"/>
      <c r="J48" s="751"/>
      <c r="K48" s="744"/>
      <c r="L48" s="538"/>
      <c r="M48" s="630" t="s">
        <v>2046</v>
      </c>
      <c r="N48" s="746"/>
      <c r="O48" s="751"/>
      <c r="P48" s="751"/>
      <c r="Q48" s="778"/>
      <c r="R48" s="762"/>
      <c r="S48" s="515"/>
    </row>
    <row r="49" spans="1:19" ht="98.25" customHeight="1">
      <c r="A49" s="663"/>
      <c r="B49" s="663"/>
      <c r="C49" s="688"/>
      <c r="D49" s="789"/>
      <c r="E49" s="791"/>
      <c r="F49" s="735"/>
      <c r="G49" s="515"/>
      <c r="H49" s="6" t="s">
        <v>1786</v>
      </c>
      <c r="I49" s="731"/>
      <c r="J49" s="731"/>
      <c r="K49" s="733"/>
      <c r="L49" s="528"/>
      <c r="M49" s="688"/>
      <c r="N49" s="747"/>
      <c r="O49" s="731"/>
      <c r="P49" s="731"/>
      <c r="Q49" s="774"/>
      <c r="R49" s="762"/>
      <c r="S49" s="515"/>
    </row>
    <row r="50" spans="1:19" ht="72.75" customHeight="1">
      <c r="A50" s="662" t="s">
        <v>1609</v>
      </c>
      <c r="B50" s="630" t="s">
        <v>1610</v>
      </c>
      <c r="C50" s="630" t="s">
        <v>490</v>
      </c>
      <c r="D50" s="736">
        <v>3</v>
      </c>
      <c r="E50" s="738">
        <v>5</v>
      </c>
      <c r="F50" s="792">
        <f>E50/D50</f>
        <v>1.6666666666666667</v>
      </c>
      <c r="G50" s="630" t="s">
        <v>940</v>
      </c>
      <c r="H50" s="334" t="s">
        <v>1787</v>
      </c>
      <c r="I50" s="730">
        <f>100319595/1000</f>
        <v>100319.595</v>
      </c>
      <c r="J50" s="730">
        <f>99119032/1000</f>
        <v>99119.032</v>
      </c>
      <c r="K50" s="732">
        <f>J50/I50</f>
        <v>0.9880326171571965</v>
      </c>
      <c r="L50" s="527" t="s">
        <v>1710</v>
      </c>
      <c r="M50" s="630" t="s">
        <v>2047</v>
      </c>
      <c r="N50" s="745">
        <v>8</v>
      </c>
      <c r="O50" s="730">
        <f>100119032/1000</f>
        <v>100119.032</v>
      </c>
      <c r="P50" s="730">
        <f>J50</f>
        <v>99119.032</v>
      </c>
      <c r="Q50" s="773">
        <f>P50/O50</f>
        <v>0.9900118890482281</v>
      </c>
      <c r="R50" s="500" t="s">
        <v>461</v>
      </c>
      <c r="S50" s="527" t="s">
        <v>929</v>
      </c>
    </row>
    <row r="51" spans="1:19" ht="98.25" customHeight="1">
      <c r="A51" s="703"/>
      <c r="B51" s="687"/>
      <c r="C51" s="687"/>
      <c r="D51" s="743"/>
      <c r="E51" s="796"/>
      <c r="F51" s="793"/>
      <c r="G51" s="687"/>
      <c r="H51" s="334" t="s">
        <v>1788</v>
      </c>
      <c r="I51" s="751"/>
      <c r="J51" s="751"/>
      <c r="K51" s="744"/>
      <c r="L51" s="538"/>
      <c r="M51" s="687"/>
      <c r="N51" s="746"/>
      <c r="O51" s="751"/>
      <c r="P51" s="751"/>
      <c r="Q51" s="778"/>
      <c r="R51" s="518"/>
      <c r="S51" s="538"/>
    </row>
    <row r="52" spans="1:19" ht="36.75" customHeight="1">
      <c r="A52" s="663"/>
      <c r="B52" s="688"/>
      <c r="C52" s="688"/>
      <c r="D52" s="737"/>
      <c r="E52" s="739"/>
      <c r="F52" s="794"/>
      <c r="G52" s="688"/>
      <c r="H52" s="51" t="s">
        <v>1557</v>
      </c>
      <c r="I52" s="731"/>
      <c r="J52" s="731"/>
      <c r="K52" s="733"/>
      <c r="L52" s="528"/>
      <c r="M52" s="688"/>
      <c r="N52" s="747"/>
      <c r="O52" s="731"/>
      <c r="P52" s="731"/>
      <c r="Q52" s="774"/>
      <c r="R52" s="501"/>
      <c r="S52" s="528"/>
    </row>
    <row r="53" spans="1:19" ht="85.5" customHeight="1">
      <c r="A53" s="152" t="s">
        <v>1613</v>
      </c>
      <c r="B53" s="51" t="s">
        <v>1611</v>
      </c>
      <c r="C53" s="28" t="s">
        <v>491</v>
      </c>
      <c r="D53" s="25">
        <v>2</v>
      </c>
      <c r="E53" s="220">
        <v>2</v>
      </c>
      <c r="F53" s="199">
        <f>E53/D53</f>
        <v>1</v>
      </c>
      <c r="G53" s="515" t="s">
        <v>1615</v>
      </c>
      <c r="H53" s="51" t="s">
        <v>1616</v>
      </c>
      <c r="I53" s="776">
        <f>79623721.2/1000</f>
        <v>79623.7212</v>
      </c>
      <c r="J53" s="606">
        <f>74123721.2/1000</f>
        <v>74123.7212</v>
      </c>
      <c r="K53" s="579">
        <f>J53/I53</f>
        <v>0.9309251072782064</v>
      </c>
      <c r="L53" s="527" t="s">
        <v>1712</v>
      </c>
      <c r="M53" s="28" t="s">
        <v>2048</v>
      </c>
      <c r="N53" s="745">
        <v>9</v>
      </c>
      <c r="O53" s="610">
        <f>74123721.2/1000</f>
        <v>74123.7212</v>
      </c>
      <c r="P53" s="610">
        <f>J53</f>
        <v>74123.7212</v>
      </c>
      <c r="Q53" s="773">
        <f>P53/O53</f>
        <v>1</v>
      </c>
      <c r="R53" s="762" t="s">
        <v>461</v>
      </c>
      <c r="S53" s="515" t="s">
        <v>929</v>
      </c>
    </row>
    <row r="54" spans="1:19" ht="78" customHeight="1">
      <c r="A54" s="152" t="s">
        <v>1614</v>
      </c>
      <c r="B54" s="51" t="s">
        <v>1612</v>
      </c>
      <c r="C54" s="28" t="s">
        <v>492</v>
      </c>
      <c r="D54" s="25">
        <v>1</v>
      </c>
      <c r="E54" s="220">
        <v>1</v>
      </c>
      <c r="F54" s="199">
        <f>E54/D54</f>
        <v>1</v>
      </c>
      <c r="G54" s="515"/>
      <c r="H54" s="51" t="s">
        <v>1557</v>
      </c>
      <c r="I54" s="777"/>
      <c r="J54" s="607"/>
      <c r="K54" s="580"/>
      <c r="L54" s="528"/>
      <c r="M54" s="28" t="s">
        <v>2049</v>
      </c>
      <c r="N54" s="747"/>
      <c r="O54" s="747"/>
      <c r="P54" s="747"/>
      <c r="Q54" s="774"/>
      <c r="R54" s="762"/>
      <c r="S54" s="515"/>
    </row>
    <row r="55" spans="1:19" ht="114" customHeight="1">
      <c r="A55" s="152" t="s">
        <v>1621</v>
      </c>
      <c r="B55" s="51" t="s">
        <v>1617</v>
      </c>
      <c r="C55" s="28" t="s">
        <v>493</v>
      </c>
      <c r="D55" s="427">
        <v>3.6</v>
      </c>
      <c r="E55" s="427">
        <v>3.6</v>
      </c>
      <c r="F55" s="221">
        <v>1</v>
      </c>
      <c r="G55" s="515" t="s">
        <v>1625</v>
      </c>
      <c r="H55" s="754" t="s">
        <v>1626</v>
      </c>
      <c r="I55" s="779">
        <f>20568940/1000</f>
        <v>20568.94</v>
      </c>
      <c r="J55" s="779">
        <f>2568062/1000</f>
        <v>2568.062</v>
      </c>
      <c r="K55" s="782">
        <f>J55/I55</f>
        <v>0.1248514507796707</v>
      </c>
      <c r="L55" s="527" t="s">
        <v>1711</v>
      </c>
      <c r="M55" s="28" t="s">
        <v>2050</v>
      </c>
      <c r="N55" s="745">
        <v>1</v>
      </c>
      <c r="O55" s="779">
        <f>2568062/1000</f>
        <v>2568.062</v>
      </c>
      <c r="P55" s="785">
        <f>J55</f>
        <v>2568.062</v>
      </c>
      <c r="Q55" s="782">
        <f>P55/O55</f>
        <v>1</v>
      </c>
      <c r="R55" s="762" t="s">
        <v>461</v>
      </c>
      <c r="S55" s="515" t="s">
        <v>929</v>
      </c>
    </row>
    <row r="56" spans="1:19" ht="258.75" customHeight="1">
      <c r="A56" s="152" t="s">
        <v>1622</v>
      </c>
      <c r="B56" s="51" t="s">
        <v>1618</v>
      </c>
      <c r="C56" s="28" t="s">
        <v>494</v>
      </c>
      <c r="D56" s="428">
        <v>0.3</v>
      </c>
      <c r="E56" s="429">
        <v>0.3</v>
      </c>
      <c r="F56" s="221">
        <v>1</v>
      </c>
      <c r="G56" s="515"/>
      <c r="H56" s="755"/>
      <c r="I56" s="780"/>
      <c r="J56" s="780"/>
      <c r="K56" s="783"/>
      <c r="L56" s="538"/>
      <c r="M56" s="28" t="s">
        <v>2054</v>
      </c>
      <c r="N56" s="746"/>
      <c r="O56" s="780"/>
      <c r="P56" s="786"/>
      <c r="Q56" s="783"/>
      <c r="R56" s="762"/>
      <c r="S56" s="515"/>
    </row>
    <row r="57" spans="1:19" ht="81.75" customHeight="1">
      <c r="A57" s="152" t="s">
        <v>1623</v>
      </c>
      <c r="B57" s="51" t="s">
        <v>1619</v>
      </c>
      <c r="C57" s="28" t="s">
        <v>495</v>
      </c>
      <c r="D57" s="429">
        <v>3.6</v>
      </c>
      <c r="E57" s="429">
        <v>3.6</v>
      </c>
      <c r="F57" s="221">
        <v>1</v>
      </c>
      <c r="G57" s="515"/>
      <c r="H57" s="754" t="s">
        <v>1627</v>
      </c>
      <c r="I57" s="780"/>
      <c r="J57" s="780"/>
      <c r="K57" s="783"/>
      <c r="L57" s="538"/>
      <c r="M57" s="630" t="s">
        <v>2055</v>
      </c>
      <c r="N57" s="746"/>
      <c r="O57" s="780"/>
      <c r="P57" s="786"/>
      <c r="Q57" s="783"/>
      <c r="R57" s="762"/>
      <c r="S57" s="515"/>
    </row>
    <row r="58" spans="1:19" ht="66" customHeight="1">
      <c r="A58" s="152" t="s">
        <v>1624</v>
      </c>
      <c r="B58" s="51" t="s">
        <v>1620</v>
      </c>
      <c r="C58" s="28" t="s">
        <v>496</v>
      </c>
      <c r="D58" s="402"/>
      <c r="E58" s="216"/>
      <c r="F58" s="221"/>
      <c r="G58" s="515"/>
      <c r="H58" s="755"/>
      <c r="I58" s="781"/>
      <c r="J58" s="781"/>
      <c r="K58" s="784"/>
      <c r="L58" s="528"/>
      <c r="M58" s="688"/>
      <c r="N58" s="747"/>
      <c r="O58" s="781"/>
      <c r="P58" s="787"/>
      <c r="Q58" s="784"/>
      <c r="R58" s="762"/>
      <c r="S58" s="515"/>
    </row>
    <row r="59" spans="1:19" ht="66" customHeight="1">
      <c r="A59" s="152" t="s">
        <v>2051</v>
      </c>
      <c r="B59" s="51" t="s">
        <v>2052</v>
      </c>
      <c r="C59" s="51" t="s">
        <v>404</v>
      </c>
      <c r="D59" s="387">
        <v>1</v>
      </c>
      <c r="E59" s="388">
        <v>1</v>
      </c>
      <c r="F59" s="389">
        <v>1</v>
      </c>
      <c r="G59" s="43"/>
      <c r="H59" s="343"/>
      <c r="I59" s="381"/>
      <c r="J59" s="381"/>
      <c r="K59" s="382"/>
      <c r="L59" s="48"/>
      <c r="M59" s="28" t="s">
        <v>2053</v>
      </c>
      <c r="N59" s="380"/>
      <c r="O59" s="381"/>
      <c r="P59" s="383"/>
      <c r="Q59" s="392"/>
      <c r="R59" s="44"/>
      <c r="S59" s="43"/>
    </row>
    <row r="60" spans="1:19" ht="20.25" customHeight="1">
      <c r="A60" s="519" t="s">
        <v>1093</v>
      </c>
      <c r="B60" s="521"/>
      <c r="C60" s="268"/>
      <c r="D60" s="146"/>
      <c r="E60" s="146"/>
      <c r="F60" s="312">
        <v>0.94</v>
      </c>
      <c r="G60" s="107">
        <v>16</v>
      </c>
      <c r="H60" s="28"/>
      <c r="I60" s="106">
        <f>SUM(I8:I58)</f>
        <v>2321119.0894700005</v>
      </c>
      <c r="J60" s="106">
        <f>SUM(J8:J58)</f>
        <v>2037077.247</v>
      </c>
      <c r="K60" s="311">
        <f>J60/I60</f>
        <v>0.8776271998457184</v>
      </c>
      <c r="L60" s="28"/>
      <c r="M60" s="23"/>
      <c r="N60" s="106">
        <f>SUM(N5:N58)</f>
        <v>177</v>
      </c>
      <c r="O60" s="106">
        <f>SUM(O5:O58)</f>
        <v>2053577.247</v>
      </c>
      <c r="P60" s="106">
        <f>SUM(P5:P58)</f>
        <v>2037077.247</v>
      </c>
      <c r="Q60" s="297">
        <f>P60/O60</f>
        <v>0.9919652401563641</v>
      </c>
      <c r="R60" s="167"/>
      <c r="S60" s="28"/>
    </row>
    <row r="61" spans="1:19" ht="20.25" customHeight="1">
      <c r="A61" s="519" t="s">
        <v>6</v>
      </c>
      <c r="B61" s="521"/>
      <c r="C61" s="269"/>
      <c r="D61" s="147"/>
      <c r="E61" s="147"/>
      <c r="F61" s="147"/>
      <c r="G61" s="55"/>
      <c r="H61" s="55"/>
      <c r="I61" s="90"/>
      <c r="J61" s="90"/>
      <c r="K61" s="314"/>
      <c r="L61" s="55"/>
      <c r="M61" s="55"/>
      <c r="N61" s="55"/>
      <c r="O61" s="55"/>
      <c r="P61" s="55"/>
      <c r="Q61" s="320"/>
      <c r="R61" s="167"/>
      <c r="S61" s="55"/>
    </row>
    <row r="62" spans="1:19" ht="22.5" customHeight="1">
      <c r="A62" s="549" t="s">
        <v>1713</v>
      </c>
      <c r="B62" s="550"/>
      <c r="C62" s="270"/>
      <c r="D62" s="255"/>
      <c r="E62" s="255"/>
      <c r="F62" s="255"/>
      <c r="G62" s="55"/>
      <c r="H62" s="55"/>
      <c r="I62" s="90"/>
      <c r="J62" s="90"/>
      <c r="K62" s="314"/>
      <c r="L62" s="55"/>
      <c r="M62" s="55"/>
      <c r="N62" s="55"/>
      <c r="O62" s="55"/>
      <c r="P62" s="55"/>
      <c r="Q62" s="320"/>
      <c r="R62" s="167"/>
      <c r="S62" s="55"/>
    </row>
    <row r="63" spans="1:19" ht="20.25" customHeight="1">
      <c r="A63" s="549"/>
      <c r="B63" s="614"/>
      <c r="C63" s="16"/>
      <c r="D63" s="16"/>
      <c r="E63" s="16"/>
      <c r="F63" s="16"/>
      <c r="G63" s="55"/>
      <c r="H63" s="55"/>
      <c r="I63" s="55"/>
      <c r="J63" s="55"/>
      <c r="K63" s="320"/>
      <c r="L63" s="55"/>
      <c r="M63" s="55"/>
      <c r="N63" s="55"/>
      <c r="O63" s="54"/>
      <c r="P63" s="54"/>
      <c r="Q63" s="400"/>
      <c r="R63" s="19"/>
      <c r="S63" s="55"/>
    </row>
    <row r="64" spans="1:19" ht="22.5" customHeight="1">
      <c r="A64" s="549" t="s">
        <v>7</v>
      </c>
      <c r="B64" s="614"/>
      <c r="C64" s="278" t="s">
        <v>1097</v>
      </c>
      <c r="D64" s="145"/>
      <c r="E64" s="145"/>
      <c r="F64" s="145"/>
      <c r="G64" s="151"/>
      <c r="H64" s="151"/>
      <c r="I64" s="151"/>
      <c r="J64" s="151"/>
      <c r="K64" s="352"/>
      <c r="L64" s="55"/>
      <c r="M64" s="55"/>
      <c r="N64" s="55"/>
      <c r="O64" s="54"/>
      <c r="P64" s="54"/>
      <c r="Q64" s="400"/>
      <c r="R64" s="19"/>
      <c r="S64" s="55"/>
    </row>
    <row r="66" ht="15">
      <c r="O66" s="254"/>
    </row>
  </sheetData>
  <sheetProtection/>
  <mergeCells count="278">
    <mergeCell ref="S55:S58"/>
    <mergeCell ref="J47:J49"/>
    <mergeCell ref="K47:K49"/>
    <mergeCell ref="L47:L49"/>
    <mergeCell ref="O47:O49"/>
    <mergeCell ref="Q55:Q58"/>
    <mergeCell ref="L55:L58"/>
    <mergeCell ref="N50:N52"/>
    <mergeCell ref="R50:R52"/>
    <mergeCell ref="Q50:Q52"/>
    <mergeCell ref="C45:C46"/>
    <mergeCell ref="A50:A52"/>
    <mergeCell ref="B50:B52"/>
    <mergeCell ref="C50:C52"/>
    <mergeCell ref="D50:D52"/>
    <mergeCell ref="E50:E52"/>
    <mergeCell ref="D45:D46"/>
    <mergeCell ref="E45:E46"/>
    <mergeCell ref="G50:G52"/>
    <mergeCell ref="H57:H58"/>
    <mergeCell ref="H55:H56"/>
    <mergeCell ref="G47:G49"/>
    <mergeCell ref="I47:I49"/>
    <mergeCell ref="A45:A46"/>
    <mergeCell ref="B45:B46"/>
    <mergeCell ref="A48:A49"/>
    <mergeCell ref="B48:B49"/>
    <mergeCell ref="C48:C49"/>
    <mergeCell ref="A60:B60"/>
    <mergeCell ref="A61:B61"/>
    <mergeCell ref="A62:B62"/>
    <mergeCell ref="A64:B64"/>
    <mergeCell ref="A63:B63"/>
    <mergeCell ref="F48:F49"/>
    <mergeCell ref="D48:D49"/>
    <mergeCell ref="E48:E49"/>
    <mergeCell ref="F50:F52"/>
    <mergeCell ref="A4:G4"/>
    <mergeCell ref="H4:L4"/>
    <mergeCell ref="P4:S4"/>
    <mergeCell ref="A3:S3"/>
    <mergeCell ref="I8:I14"/>
    <mergeCell ref="J8:J14"/>
    <mergeCell ref="K8:K14"/>
    <mergeCell ref="L8:L14"/>
    <mergeCell ref="N8:N14"/>
    <mergeCell ref="M6:M7"/>
    <mergeCell ref="O41:O42"/>
    <mergeCell ref="I41:I42"/>
    <mergeCell ref="O37:O38"/>
    <mergeCell ref="L37:L38"/>
    <mergeCell ref="J29:J31"/>
    <mergeCell ref="Q45:Q46"/>
    <mergeCell ref="K29:K31"/>
    <mergeCell ref="L41:L42"/>
    <mergeCell ref="K41:K42"/>
    <mergeCell ref="Q37:Q38"/>
    <mergeCell ref="K6:K7"/>
    <mergeCell ref="J39:J40"/>
    <mergeCell ref="M37:M38"/>
    <mergeCell ref="N5:R5"/>
    <mergeCell ref="P6:P7"/>
    <mergeCell ref="P34:P36"/>
    <mergeCell ref="Q34:Q36"/>
    <mergeCell ref="P8:P14"/>
    <mergeCell ref="R25:R28"/>
    <mergeCell ref="P37:P38"/>
    <mergeCell ref="G55:G58"/>
    <mergeCell ref="I55:I58"/>
    <mergeCell ref="J55:J58"/>
    <mergeCell ref="K55:K58"/>
    <mergeCell ref="P55:P58"/>
    <mergeCell ref="G53:G54"/>
    <mergeCell ref="K53:K54"/>
    <mergeCell ref="L53:L54"/>
    <mergeCell ref="N53:N54"/>
    <mergeCell ref="O53:O54"/>
    <mergeCell ref="I53:I54"/>
    <mergeCell ref="J53:J54"/>
    <mergeCell ref="N55:N58"/>
    <mergeCell ref="R47:R49"/>
    <mergeCell ref="Q47:Q49"/>
    <mergeCell ref="O55:O58"/>
    <mergeCell ref="R55:R58"/>
    <mergeCell ref="M50:M52"/>
    <mergeCell ref="M57:M58"/>
    <mergeCell ref="P53:P54"/>
    <mergeCell ref="Q53:Q54"/>
    <mergeCell ref="R53:R54"/>
    <mergeCell ref="P47:P49"/>
    <mergeCell ref="S47:S49"/>
    <mergeCell ref="S53:S54"/>
    <mergeCell ref="S29:S31"/>
    <mergeCell ref="R37:R38"/>
    <mergeCell ref="Q41:Q42"/>
    <mergeCell ref="R39:R40"/>
    <mergeCell ref="S39:S40"/>
    <mergeCell ref="S15:S20"/>
    <mergeCell ref="P29:P31"/>
    <mergeCell ref="Q25:Q28"/>
    <mergeCell ref="I50:I52"/>
    <mergeCell ref="S50:S52"/>
    <mergeCell ref="I15:I20"/>
    <mergeCell ref="J15:J20"/>
    <mergeCell ref="N22:N24"/>
    <mergeCell ref="R41:R42"/>
    <mergeCell ref="S41:S42"/>
    <mergeCell ref="S37:S38"/>
    <mergeCell ref="Q39:Q40"/>
    <mergeCell ref="P41:P42"/>
    <mergeCell ref="I45:I46"/>
    <mergeCell ref="J45:J46"/>
    <mergeCell ref="K45:K46"/>
    <mergeCell ref="L45:L46"/>
    <mergeCell ref="N45:N46"/>
    <mergeCell ref="J43:J44"/>
    <mergeCell ref="K43:K44"/>
    <mergeCell ref="R34:R36"/>
    <mergeCell ref="R29:R31"/>
    <mergeCell ref="B37:B38"/>
    <mergeCell ref="C37:C38"/>
    <mergeCell ref="G37:G38"/>
    <mergeCell ref="D37:D38"/>
    <mergeCell ref="P32:P33"/>
    <mergeCell ref="L29:L31"/>
    <mergeCell ref="G34:G36"/>
    <mergeCell ref="I37:I38"/>
    <mergeCell ref="O8:O14"/>
    <mergeCell ref="O22:O24"/>
    <mergeCell ref="L15:L20"/>
    <mergeCell ref="E37:E38"/>
    <mergeCell ref="F37:F38"/>
    <mergeCell ref="J37:J38"/>
    <mergeCell ref="L34:L36"/>
    <mergeCell ref="J34:J36"/>
    <mergeCell ref="K34:K36"/>
    <mergeCell ref="K15:K20"/>
    <mergeCell ref="J50:J52"/>
    <mergeCell ref="K50:K52"/>
    <mergeCell ref="L50:L52"/>
    <mergeCell ref="P50:P52"/>
    <mergeCell ref="L39:L40"/>
    <mergeCell ref="O50:O52"/>
    <mergeCell ref="N47:N49"/>
    <mergeCell ref="P39:P40"/>
    <mergeCell ref="L43:L44"/>
    <mergeCell ref="N41:N42"/>
    <mergeCell ref="S32:S33"/>
    <mergeCell ref="G32:G33"/>
    <mergeCell ref="R32:R33"/>
    <mergeCell ref="L32:L33"/>
    <mergeCell ref="I32:I33"/>
    <mergeCell ref="I34:I36"/>
    <mergeCell ref="M34:M36"/>
    <mergeCell ref="N34:N36"/>
    <mergeCell ref="O34:O36"/>
    <mergeCell ref="S34:S36"/>
    <mergeCell ref="A39:A40"/>
    <mergeCell ref="B39:B40"/>
    <mergeCell ref="C39:C40"/>
    <mergeCell ref="D39:D40"/>
    <mergeCell ref="E39:E40"/>
    <mergeCell ref="F39:F40"/>
    <mergeCell ref="A37:A38"/>
    <mergeCell ref="I6:I7"/>
    <mergeCell ref="J6:J7"/>
    <mergeCell ref="L6:L7"/>
    <mergeCell ref="S8:S14"/>
    <mergeCell ref="K32:K33"/>
    <mergeCell ref="G29:G31"/>
    <mergeCell ref="Q29:Q31"/>
    <mergeCell ref="I29:I31"/>
    <mergeCell ref="I25:I28"/>
    <mergeCell ref="S5:S7"/>
    <mergeCell ref="R6:R7"/>
    <mergeCell ref="Q6:Q7"/>
    <mergeCell ref="R8:R14"/>
    <mergeCell ref="P22:P24"/>
    <mergeCell ref="Q22:Q24"/>
    <mergeCell ref="R15:R20"/>
    <mergeCell ref="P15:P20"/>
    <mergeCell ref="Q15:Q20"/>
    <mergeCell ref="R22:R24"/>
    <mergeCell ref="O6:O7"/>
    <mergeCell ref="Q8:Q14"/>
    <mergeCell ref="S22:S24"/>
    <mergeCell ref="N15:N20"/>
    <mergeCell ref="A2:S2"/>
    <mergeCell ref="M4:O4"/>
    <mergeCell ref="A5:F5"/>
    <mergeCell ref="G5:M5"/>
    <mergeCell ref="C6:C7"/>
    <mergeCell ref="G6:G7"/>
    <mergeCell ref="N6:N7"/>
    <mergeCell ref="O15:O20"/>
    <mergeCell ref="B19:B20"/>
    <mergeCell ref="A21:A22"/>
    <mergeCell ref="E6:E7"/>
    <mergeCell ref="A6:A7"/>
    <mergeCell ref="B6:B7"/>
    <mergeCell ref="D6:D7"/>
    <mergeCell ref="H12:H13"/>
    <mergeCell ref="G8:G14"/>
    <mergeCell ref="G15:G20"/>
    <mergeCell ref="G21:G24"/>
    <mergeCell ref="F6:F7"/>
    <mergeCell ref="H6:H7"/>
    <mergeCell ref="A19:A20"/>
    <mergeCell ref="C19:C20"/>
    <mergeCell ref="D19:D20"/>
    <mergeCell ref="E19:E20"/>
    <mergeCell ref="F19:F20"/>
    <mergeCell ref="I21:I24"/>
    <mergeCell ref="J21:J24"/>
    <mergeCell ref="K21:K24"/>
    <mergeCell ref="L21:L24"/>
    <mergeCell ref="B21:B22"/>
    <mergeCell ref="C21:C22"/>
    <mergeCell ref="D21:D22"/>
    <mergeCell ref="E21:E22"/>
    <mergeCell ref="F21:F22"/>
    <mergeCell ref="Q32:Q33"/>
    <mergeCell ref="N32:N33"/>
    <mergeCell ref="O32:O33"/>
    <mergeCell ref="B25:B26"/>
    <mergeCell ref="P25:P28"/>
    <mergeCell ref="K25:K28"/>
    <mergeCell ref="L25:L28"/>
    <mergeCell ref="M25:M26"/>
    <mergeCell ref="A25:A26"/>
    <mergeCell ref="C25:C26"/>
    <mergeCell ref="D25:D26"/>
    <mergeCell ref="E25:E26"/>
    <mergeCell ref="F25:F26"/>
    <mergeCell ref="N29:N31"/>
    <mergeCell ref="G25:G28"/>
    <mergeCell ref="J25:J28"/>
    <mergeCell ref="S25:S28"/>
    <mergeCell ref="A34:A36"/>
    <mergeCell ref="B34:B36"/>
    <mergeCell ref="C34:C36"/>
    <mergeCell ref="D34:D36"/>
    <mergeCell ref="E34:E36"/>
    <mergeCell ref="F34:F36"/>
    <mergeCell ref="N25:N28"/>
    <mergeCell ref="O25:O28"/>
    <mergeCell ref="O29:O31"/>
    <mergeCell ref="A43:A44"/>
    <mergeCell ref="B43:B44"/>
    <mergeCell ref="C43:C44"/>
    <mergeCell ref="D43:D44"/>
    <mergeCell ref="E43:E44"/>
    <mergeCell ref="F43:F44"/>
    <mergeCell ref="F45:F46"/>
    <mergeCell ref="G45:G46"/>
    <mergeCell ref="G39:G40"/>
    <mergeCell ref="G41:G42"/>
    <mergeCell ref="I43:I44"/>
    <mergeCell ref="G43:G44"/>
    <mergeCell ref="I39:I40"/>
    <mergeCell ref="H37:H38"/>
    <mergeCell ref="R45:R46"/>
    <mergeCell ref="S45:S46"/>
    <mergeCell ref="O45:O46"/>
    <mergeCell ref="P45:P46"/>
    <mergeCell ref="M39:M40"/>
    <mergeCell ref="N39:N40"/>
    <mergeCell ref="O39:O40"/>
    <mergeCell ref="N37:N38"/>
    <mergeCell ref="K39:K40"/>
    <mergeCell ref="M19:M20"/>
    <mergeCell ref="M21:M22"/>
    <mergeCell ref="M43:M44"/>
    <mergeCell ref="M45:M46"/>
    <mergeCell ref="M48:M49"/>
    <mergeCell ref="J32:J33"/>
    <mergeCell ref="K37:K38"/>
    <mergeCell ref="J41:J42"/>
  </mergeCells>
  <printOptions/>
  <pageMargins left="1.299212598425197" right="0.31496062992125984" top="0.7480314960629921" bottom="0.7480314960629921" header="0.31496062992125984" footer="0.31496062992125984"/>
  <pageSetup horizontalDpi="600" verticalDpi="600" orientation="landscape" paperSize="5" scale="80" r:id="rId3"/>
  <headerFooter>
    <oddFooter>&amp;CPágina &amp;P</oddFooter>
  </headerFooter>
  <legacyDrawing r:id="rId2"/>
</worksheet>
</file>

<file path=xl/worksheets/sheet6.xml><?xml version="1.0" encoding="utf-8"?>
<worksheet xmlns="http://schemas.openxmlformats.org/spreadsheetml/2006/main" xmlns:r="http://schemas.openxmlformats.org/officeDocument/2006/relationships">
  <dimension ref="A1:S16"/>
  <sheetViews>
    <sheetView zoomScale="60" zoomScaleNormal="60" zoomScalePageLayoutView="0" workbookViewId="0" topLeftCell="A1">
      <selection activeCell="F8" sqref="F8:F11"/>
    </sheetView>
  </sheetViews>
  <sheetFormatPr defaultColWidth="10.7109375" defaultRowHeight="15"/>
  <cols>
    <col min="1" max="1" width="24.57421875" style="56" customWidth="1"/>
    <col min="2" max="2" width="29.7109375" style="56" customWidth="1"/>
    <col min="3" max="3" width="23.7109375" style="56" customWidth="1"/>
    <col min="4" max="4" width="19.28125" style="56" customWidth="1"/>
    <col min="5" max="5" width="19.00390625" style="56" customWidth="1"/>
    <col min="6" max="6" width="19.28125" style="56" customWidth="1"/>
    <col min="7" max="7" width="23.7109375" style="56" customWidth="1"/>
    <col min="8" max="8" width="29.00390625" style="56" customWidth="1"/>
    <col min="9" max="9" width="22.7109375" style="56" customWidth="1"/>
    <col min="10" max="10" width="22.57421875" style="56" customWidth="1"/>
    <col min="11" max="11" width="16.7109375" style="360" customWidth="1"/>
    <col min="12" max="12" width="35.421875" style="56" customWidth="1"/>
    <col min="13" max="13" width="29.421875" style="56" customWidth="1"/>
    <col min="14" max="14" width="18.421875" style="56" customWidth="1"/>
    <col min="15" max="16" width="21.28125" style="56" customWidth="1"/>
    <col min="17" max="17" width="17.7109375" style="364" customWidth="1"/>
    <col min="18" max="18" width="14.140625" style="56" customWidth="1"/>
    <col min="19" max="19" width="21.7109375" style="56" customWidth="1"/>
    <col min="20" max="16384" width="10.7109375" style="56" customWidth="1"/>
  </cols>
  <sheetData>
    <row r="1" spans="11:18" s="46" customFormat="1" ht="26.25" customHeight="1" thickBot="1">
      <c r="K1" s="313"/>
      <c r="Q1" s="361"/>
      <c r="R1" s="62"/>
    </row>
    <row r="2" spans="1:19" s="253" customFormat="1" ht="24" customHeight="1" thickBot="1">
      <c r="A2" s="505" t="s">
        <v>8</v>
      </c>
      <c r="B2" s="506"/>
      <c r="C2" s="506"/>
      <c r="D2" s="506"/>
      <c r="E2" s="506"/>
      <c r="F2" s="506"/>
      <c r="G2" s="506"/>
      <c r="H2" s="506"/>
      <c r="I2" s="506"/>
      <c r="J2" s="506"/>
      <c r="K2" s="506"/>
      <c r="L2" s="506"/>
      <c r="M2" s="506"/>
      <c r="N2" s="506"/>
      <c r="O2" s="506"/>
      <c r="P2" s="506"/>
      <c r="Q2" s="506"/>
      <c r="R2" s="506"/>
      <c r="S2" s="507"/>
    </row>
    <row r="3" spans="1:19" s="253" customFormat="1" ht="29.25" customHeight="1" thickBot="1">
      <c r="A3" s="508" t="s">
        <v>1683</v>
      </c>
      <c r="B3" s="509"/>
      <c r="C3" s="509"/>
      <c r="D3" s="509"/>
      <c r="E3" s="509"/>
      <c r="F3" s="509"/>
      <c r="G3" s="509"/>
      <c r="H3" s="509"/>
      <c r="I3" s="509"/>
      <c r="J3" s="509"/>
      <c r="K3" s="509"/>
      <c r="L3" s="509"/>
      <c r="M3" s="509"/>
      <c r="N3" s="509"/>
      <c r="O3" s="509"/>
      <c r="P3" s="509"/>
      <c r="Q3" s="509"/>
      <c r="R3" s="509"/>
      <c r="S3" s="510"/>
    </row>
    <row r="4" spans="1:19" ht="34.5" customHeight="1">
      <c r="A4" s="666" t="s">
        <v>925</v>
      </c>
      <c r="B4" s="667"/>
      <c r="C4" s="667"/>
      <c r="D4" s="667"/>
      <c r="E4" s="667"/>
      <c r="F4" s="667"/>
      <c r="G4" s="667"/>
      <c r="H4" s="684" t="s">
        <v>1721</v>
      </c>
      <c r="I4" s="684"/>
      <c r="J4" s="684"/>
      <c r="K4" s="684"/>
      <c r="L4" s="684"/>
      <c r="M4" s="666" t="s">
        <v>1183</v>
      </c>
      <c r="N4" s="667"/>
      <c r="O4" s="668"/>
      <c r="P4" s="666" t="s">
        <v>1517</v>
      </c>
      <c r="Q4" s="667"/>
      <c r="R4" s="667"/>
      <c r="S4" s="668"/>
    </row>
    <row r="5" spans="1:19" s="57" customFormat="1" ht="24.75" customHeight="1">
      <c r="A5" s="698" t="s">
        <v>0</v>
      </c>
      <c r="B5" s="699"/>
      <c r="C5" s="699"/>
      <c r="D5" s="699"/>
      <c r="E5" s="699"/>
      <c r="F5" s="700"/>
      <c r="G5" s="697" t="s">
        <v>1</v>
      </c>
      <c r="H5" s="697"/>
      <c r="I5" s="697"/>
      <c r="J5" s="697"/>
      <c r="K5" s="697"/>
      <c r="L5" s="697"/>
      <c r="M5" s="697"/>
      <c r="N5" s="697" t="s">
        <v>1187</v>
      </c>
      <c r="O5" s="697"/>
      <c r="P5" s="697"/>
      <c r="Q5" s="697"/>
      <c r="R5" s="697"/>
      <c r="S5" s="669" t="s">
        <v>1685</v>
      </c>
    </row>
    <row r="6" spans="1:19" s="57" customFormat="1" ht="22.5" customHeight="1">
      <c r="A6" s="669" t="s">
        <v>2</v>
      </c>
      <c r="B6" s="669" t="s">
        <v>4</v>
      </c>
      <c r="C6" s="669" t="s">
        <v>3</v>
      </c>
      <c r="D6" s="669" t="s">
        <v>1116</v>
      </c>
      <c r="E6" s="669" t="s">
        <v>1117</v>
      </c>
      <c r="F6" s="669" t="s">
        <v>1118</v>
      </c>
      <c r="G6" s="669" t="s">
        <v>1186</v>
      </c>
      <c r="H6" s="669" t="s">
        <v>9</v>
      </c>
      <c r="I6" s="693" t="s">
        <v>1180</v>
      </c>
      <c r="J6" s="693" t="s">
        <v>1181</v>
      </c>
      <c r="K6" s="695" t="s">
        <v>1103</v>
      </c>
      <c r="L6" s="682" t="s">
        <v>1637</v>
      </c>
      <c r="M6" s="669" t="s">
        <v>1914</v>
      </c>
      <c r="N6" s="669" t="s">
        <v>1115</v>
      </c>
      <c r="O6" s="669" t="s">
        <v>1119</v>
      </c>
      <c r="P6" s="669" t="s">
        <v>1120</v>
      </c>
      <c r="Q6" s="671" t="s">
        <v>1185</v>
      </c>
      <c r="R6" s="669" t="s">
        <v>924</v>
      </c>
      <c r="S6" s="761"/>
    </row>
    <row r="7" spans="1:19" s="57" customFormat="1" ht="33" customHeight="1">
      <c r="A7" s="670"/>
      <c r="B7" s="670"/>
      <c r="C7" s="670"/>
      <c r="D7" s="670"/>
      <c r="E7" s="670"/>
      <c r="F7" s="670"/>
      <c r="G7" s="670"/>
      <c r="H7" s="670"/>
      <c r="I7" s="694"/>
      <c r="J7" s="694"/>
      <c r="K7" s="696"/>
      <c r="L7" s="683"/>
      <c r="M7" s="670"/>
      <c r="N7" s="670"/>
      <c r="O7" s="670"/>
      <c r="P7" s="670"/>
      <c r="Q7" s="672"/>
      <c r="R7" s="670"/>
      <c r="S7" s="670"/>
    </row>
    <row r="8" spans="1:19" ht="71.25" customHeight="1">
      <c r="A8" s="61" t="s">
        <v>371</v>
      </c>
      <c r="B8" s="43" t="s">
        <v>372</v>
      </c>
      <c r="C8" s="43" t="s">
        <v>373</v>
      </c>
      <c r="D8" s="211">
        <v>1</v>
      </c>
      <c r="E8" s="211">
        <v>1</v>
      </c>
      <c r="F8" s="212">
        <f>E8/D8</f>
        <v>1</v>
      </c>
      <c r="G8" s="527" t="s">
        <v>945</v>
      </c>
      <c r="H8" s="43" t="s">
        <v>1518</v>
      </c>
      <c r="I8" s="797">
        <f>295186506.45/1000</f>
        <v>295186.50645</v>
      </c>
      <c r="J8" s="500">
        <f>295186506.45/1000</f>
        <v>295186.50645</v>
      </c>
      <c r="K8" s="771">
        <f>J8/I8</f>
        <v>1</v>
      </c>
      <c r="L8" s="43" t="s">
        <v>941</v>
      </c>
      <c r="M8" s="43" t="s">
        <v>2056</v>
      </c>
      <c r="N8" s="745">
        <v>71</v>
      </c>
      <c r="O8" s="500">
        <f>295186506.45/1000</f>
        <v>295186.50645</v>
      </c>
      <c r="P8" s="610">
        <f>J8</f>
        <v>295186.50645</v>
      </c>
      <c r="Q8" s="752">
        <f>P8/O8</f>
        <v>1</v>
      </c>
      <c r="R8" s="762" t="s">
        <v>1325</v>
      </c>
      <c r="S8" s="527" t="s">
        <v>383</v>
      </c>
    </row>
    <row r="9" spans="1:19" ht="102" customHeight="1">
      <c r="A9" s="61" t="s">
        <v>374</v>
      </c>
      <c r="B9" s="43" t="s">
        <v>375</v>
      </c>
      <c r="C9" s="43" t="s">
        <v>376</v>
      </c>
      <c r="D9" s="211">
        <v>1</v>
      </c>
      <c r="E9" s="211">
        <v>1</v>
      </c>
      <c r="F9" s="212">
        <f>E9/D9</f>
        <v>1</v>
      </c>
      <c r="G9" s="538"/>
      <c r="H9" s="43" t="s">
        <v>1519</v>
      </c>
      <c r="I9" s="798"/>
      <c r="J9" s="518"/>
      <c r="K9" s="802"/>
      <c r="L9" s="43" t="s">
        <v>942</v>
      </c>
      <c r="M9" s="43" t="s">
        <v>2057</v>
      </c>
      <c r="N9" s="746"/>
      <c r="O9" s="518"/>
      <c r="P9" s="746"/>
      <c r="Q9" s="760"/>
      <c r="R9" s="762"/>
      <c r="S9" s="538"/>
    </row>
    <row r="10" spans="1:19" ht="68.25" customHeight="1">
      <c r="A10" s="61" t="s">
        <v>377</v>
      </c>
      <c r="B10" s="43" t="s">
        <v>378</v>
      </c>
      <c r="C10" s="43" t="s">
        <v>379</v>
      </c>
      <c r="D10" s="211">
        <v>60</v>
      </c>
      <c r="E10" s="211">
        <v>180</v>
      </c>
      <c r="F10" s="212">
        <v>1</v>
      </c>
      <c r="G10" s="538"/>
      <c r="H10" s="43" t="s">
        <v>1520</v>
      </c>
      <c r="I10" s="798"/>
      <c r="J10" s="518"/>
      <c r="K10" s="802"/>
      <c r="L10" s="43" t="s">
        <v>943</v>
      </c>
      <c r="M10" s="43" t="s">
        <v>2058</v>
      </c>
      <c r="N10" s="746"/>
      <c r="O10" s="518"/>
      <c r="P10" s="746"/>
      <c r="Q10" s="760"/>
      <c r="R10" s="762"/>
      <c r="S10" s="538"/>
    </row>
    <row r="11" spans="1:19" ht="59.25" customHeight="1">
      <c r="A11" s="61" t="s">
        <v>380</v>
      </c>
      <c r="B11" s="43" t="s">
        <v>381</v>
      </c>
      <c r="C11" s="43" t="s">
        <v>382</v>
      </c>
      <c r="D11" s="211">
        <v>1</v>
      </c>
      <c r="E11" s="444">
        <v>0.9</v>
      </c>
      <c r="F11" s="212">
        <f>E11/D11</f>
        <v>0.9</v>
      </c>
      <c r="G11" s="528"/>
      <c r="H11" s="43" t="s">
        <v>1521</v>
      </c>
      <c r="I11" s="799"/>
      <c r="J11" s="501"/>
      <c r="K11" s="772"/>
      <c r="L11" s="43" t="s">
        <v>944</v>
      </c>
      <c r="M11" s="43" t="s">
        <v>2059</v>
      </c>
      <c r="N11" s="747"/>
      <c r="O11" s="501"/>
      <c r="P11" s="747"/>
      <c r="Q11" s="753"/>
      <c r="R11" s="762"/>
      <c r="S11" s="528"/>
    </row>
    <row r="12" spans="1:19" s="45" customFormat="1" ht="24" customHeight="1">
      <c r="A12" s="519" t="s">
        <v>1093</v>
      </c>
      <c r="B12" s="520"/>
      <c r="C12" s="268"/>
      <c r="D12" s="146"/>
      <c r="E12" s="146"/>
      <c r="F12" s="312">
        <v>0.98</v>
      </c>
      <c r="G12" s="107">
        <v>1</v>
      </c>
      <c r="H12" s="28"/>
      <c r="I12" s="251">
        <f>SUM(I8)</f>
        <v>295186.50645</v>
      </c>
      <c r="J12" s="251">
        <f>SUM(J8)</f>
        <v>295186.50645</v>
      </c>
      <c r="K12" s="311">
        <f>J12/I12</f>
        <v>1</v>
      </c>
      <c r="L12" s="28"/>
      <c r="M12" s="23"/>
      <c r="N12" s="252">
        <f>SUM(N8)</f>
        <v>71</v>
      </c>
      <c r="O12" s="251">
        <f>SUM(O8)</f>
        <v>295186.50645</v>
      </c>
      <c r="P12" s="251">
        <f>SUM(P8)</f>
        <v>295186.50645</v>
      </c>
      <c r="Q12" s="297">
        <f>P12/O12</f>
        <v>1</v>
      </c>
      <c r="R12" s="167"/>
      <c r="S12" s="28"/>
    </row>
    <row r="13" spans="1:19" s="45" customFormat="1" ht="24" customHeight="1">
      <c r="A13" s="522" t="s">
        <v>6</v>
      </c>
      <c r="B13" s="524"/>
      <c r="C13" s="269"/>
      <c r="D13" s="147"/>
      <c r="E13" s="147"/>
      <c r="F13" s="147"/>
      <c r="G13" s="55"/>
      <c r="H13" s="55"/>
      <c r="I13" s="90"/>
      <c r="J13" s="90"/>
      <c r="K13" s="314"/>
      <c r="L13" s="55"/>
      <c r="M13" s="55"/>
      <c r="N13" s="55"/>
      <c r="O13" s="55"/>
      <c r="P13" s="55"/>
      <c r="Q13" s="333"/>
      <c r="R13" s="167"/>
      <c r="S13" s="55"/>
    </row>
    <row r="14" spans="1:19" s="45" customFormat="1" ht="22.5" customHeight="1">
      <c r="A14" s="549" t="s">
        <v>1713</v>
      </c>
      <c r="B14" s="550"/>
      <c r="C14" s="270"/>
      <c r="D14" s="255"/>
      <c r="E14" s="255"/>
      <c r="F14" s="255"/>
      <c r="G14" s="55"/>
      <c r="H14" s="55"/>
      <c r="I14" s="90"/>
      <c r="J14" s="90"/>
      <c r="K14" s="314"/>
      <c r="L14" s="55"/>
      <c r="M14" s="55"/>
      <c r="N14" s="55"/>
      <c r="O14" s="55"/>
      <c r="P14" s="55"/>
      <c r="Q14" s="333"/>
      <c r="R14" s="167"/>
      <c r="S14" s="55"/>
    </row>
    <row r="15" spans="1:19" ht="24" customHeight="1">
      <c r="A15" s="546"/>
      <c r="B15" s="548"/>
      <c r="C15" s="16"/>
      <c r="D15" s="16"/>
      <c r="E15" s="16"/>
      <c r="F15" s="16"/>
      <c r="G15" s="60"/>
      <c r="H15" s="60"/>
      <c r="I15" s="60"/>
      <c r="J15" s="60"/>
      <c r="K15" s="359"/>
      <c r="L15" s="60"/>
      <c r="M15" s="60"/>
      <c r="N15" s="60"/>
      <c r="O15" s="60"/>
      <c r="P15" s="60"/>
      <c r="Q15" s="362"/>
      <c r="R15" s="60"/>
      <c r="S15" s="60"/>
    </row>
    <row r="16" spans="1:19" s="214" customFormat="1" ht="22.5" customHeight="1">
      <c r="A16" s="800" t="s">
        <v>7</v>
      </c>
      <c r="B16" s="801"/>
      <c r="C16" s="278" t="s">
        <v>1098</v>
      </c>
      <c r="D16" s="145"/>
      <c r="E16" s="145"/>
      <c r="F16" s="145"/>
      <c r="G16" s="101"/>
      <c r="H16" s="101"/>
      <c r="I16" s="101"/>
      <c r="J16" s="101"/>
      <c r="K16" s="346"/>
      <c r="L16" s="213"/>
      <c r="M16" s="213"/>
      <c r="N16" s="213"/>
      <c r="O16" s="213"/>
      <c r="P16" s="213"/>
      <c r="Q16" s="363"/>
      <c r="R16" s="213"/>
      <c r="S16" s="213"/>
    </row>
  </sheetData>
  <sheetProtection/>
  <mergeCells count="43">
    <mergeCell ref="A15:B15"/>
    <mergeCell ref="A16:B16"/>
    <mergeCell ref="B6:B7"/>
    <mergeCell ref="A3:S3"/>
    <mergeCell ref="J8:J11"/>
    <mergeCell ref="K8:K11"/>
    <mergeCell ref="N8:N11"/>
    <mergeCell ref="O8:O11"/>
    <mergeCell ref="P8:P11"/>
    <mergeCell ref="Q8:Q11"/>
    <mergeCell ref="P4:S4"/>
    <mergeCell ref="D6:D7"/>
    <mergeCell ref="E6:E7"/>
    <mergeCell ref="F6:F7"/>
    <mergeCell ref="J6:J7"/>
    <mergeCell ref="K6:K7"/>
    <mergeCell ref="N5:R5"/>
    <mergeCell ref="G6:G7"/>
    <mergeCell ref="I8:I11"/>
    <mergeCell ref="R8:R11"/>
    <mergeCell ref="A12:B12"/>
    <mergeCell ref="Q6:Q7"/>
    <mergeCell ref="G5:M5"/>
    <mergeCell ref="C6:C7"/>
    <mergeCell ref="H6:H7"/>
    <mergeCell ref="G8:G11"/>
    <mergeCell ref="A14:B14"/>
    <mergeCell ref="A13:B13"/>
    <mergeCell ref="A2:S2"/>
    <mergeCell ref="M4:O4"/>
    <mergeCell ref="A6:A7"/>
    <mergeCell ref="A5:F5"/>
    <mergeCell ref="A4:G4"/>
    <mergeCell ref="H4:L4"/>
    <mergeCell ref="I6:I7"/>
    <mergeCell ref="P6:P7"/>
    <mergeCell ref="S8:S11"/>
    <mergeCell ref="L6:L7"/>
    <mergeCell ref="M6:M7"/>
    <mergeCell ref="N6:N7"/>
    <mergeCell ref="O6:O7"/>
    <mergeCell ref="R6:R7"/>
    <mergeCell ref="S5:S7"/>
  </mergeCells>
  <printOptions/>
  <pageMargins left="1.299212598425197" right="0.11811023622047245" top="0.7480314960629921" bottom="0.7480314960629921" header="0.31496062992125984" footer="0.31496062992125984"/>
  <pageSetup horizontalDpi="600" verticalDpi="600" orientation="landscape" paperSize="5" scale="80" r:id="rId3"/>
  <headerFooter>
    <oddFooter>&amp;CPágina &amp;P</oddFooter>
  </headerFooter>
  <legacyDrawing r:id="rId2"/>
</worksheet>
</file>

<file path=xl/worksheets/sheet7.xml><?xml version="1.0" encoding="utf-8"?>
<worksheet xmlns="http://schemas.openxmlformats.org/spreadsheetml/2006/main" xmlns:r="http://schemas.openxmlformats.org/officeDocument/2006/relationships">
  <dimension ref="A1:S66"/>
  <sheetViews>
    <sheetView zoomScale="60" zoomScaleNormal="60" zoomScalePageLayoutView="0" workbookViewId="0" topLeftCell="A51">
      <selection activeCell="G56" sqref="G56:G57"/>
    </sheetView>
  </sheetViews>
  <sheetFormatPr defaultColWidth="11.421875" defaultRowHeight="15"/>
  <cols>
    <col min="1" max="1" width="24.140625" style="62" customWidth="1"/>
    <col min="2" max="2" width="34.28125" style="46" customWidth="1"/>
    <col min="3" max="3" width="33.7109375" style="46" customWidth="1"/>
    <col min="4" max="4" width="19.7109375" style="46" customWidth="1"/>
    <col min="5" max="5" width="19.28125" style="46" customWidth="1"/>
    <col min="6" max="6" width="18.28125" style="46" customWidth="1"/>
    <col min="7" max="7" width="37.57421875" style="46" customWidth="1"/>
    <col min="8" max="8" width="36.8515625" style="46" customWidth="1"/>
    <col min="9" max="10" width="19.00390625" style="46" customWidth="1"/>
    <col min="11" max="11" width="14.7109375" style="313" customWidth="1"/>
    <col min="12" max="12" width="38.140625" style="46" customWidth="1"/>
    <col min="13" max="13" width="34.28125" style="46" customWidth="1"/>
    <col min="14" max="14" width="19.8515625" style="46" customWidth="1"/>
    <col min="15" max="15" width="22.57421875" style="46" customWidth="1"/>
    <col min="16" max="16" width="22.28125" style="46" customWidth="1"/>
    <col min="17" max="17" width="18.140625" style="46" customWidth="1"/>
    <col min="18" max="18" width="16.421875" style="62" customWidth="1"/>
    <col min="19" max="19" width="28.140625" style="46" customWidth="1"/>
    <col min="20" max="16384" width="11.421875" style="46" customWidth="1"/>
  </cols>
  <sheetData>
    <row r="1" ht="26.25" customHeight="1" thickBot="1">
      <c r="A1" s="46"/>
    </row>
    <row r="2" spans="1:19" s="253" customFormat="1" ht="24" customHeight="1" thickBot="1">
      <c r="A2" s="803" t="s">
        <v>8</v>
      </c>
      <c r="B2" s="804"/>
      <c r="C2" s="804"/>
      <c r="D2" s="804"/>
      <c r="E2" s="804"/>
      <c r="F2" s="804"/>
      <c r="G2" s="804"/>
      <c r="H2" s="804"/>
      <c r="I2" s="804"/>
      <c r="J2" s="804"/>
      <c r="K2" s="804"/>
      <c r="L2" s="804"/>
      <c r="M2" s="804"/>
      <c r="N2" s="804"/>
      <c r="O2" s="804"/>
      <c r="P2" s="804"/>
      <c r="Q2" s="804"/>
      <c r="R2" s="804"/>
      <c r="S2" s="805"/>
    </row>
    <row r="3" spans="1:19" s="253" customFormat="1" ht="29.25" customHeight="1" thickBot="1">
      <c r="A3" s="803" t="s">
        <v>1683</v>
      </c>
      <c r="B3" s="804"/>
      <c r="C3" s="804"/>
      <c r="D3" s="804"/>
      <c r="E3" s="804"/>
      <c r="F3" s="804"/>
      <c r="G3" s="804"/>
      <c r="H3" s="804"/>
      <c r="I3" s="804"/>
      <c r="J3" s="804"/>
      <c r="K3" s="804"/>
      <c r="L3" s="804"/>
      <c r="M3" s="804"/>
      <c r="N3" s="804"/>
      <c r="O3" s="804"/>
      <c r="P3" s="804"/>
      <c r="Q3" s="804"/>
      <c r="R3" s="804"/>
      <c r="S3" s="805"/>
    </row>
    <row r="4" spans="1:19" s="62" customFormat="1" ht="33" customHeight="1">
      <c r="A4" s="807" t="s">
        <v>10</v>
      </c>
      <c r="B4" s="808"/>
      <c r="C4" s="808"/>
      <c r="D4" s="808"/>
      <c r="E4" s="808"/>
      <c r="F4" s="808"/>
      <c r="G4" s="809"/>
      <c r="H4" s="807" t="s">
        <v>1721</v>
      </c>
      <c r="I4" s="808"/>
      <c r="J4" s="808"/>
      <c r="K4" s="808"/>
      <c r="L4" s="809"/>
      <c r="M4" s="807" t="s">
        <v>1183</v>
      </c>
      <c r="N4" s="808"/>
      <c r="O4" s="809"/>
      <c r="P4" s="807" t="s">
        <v>1499</v>
      </c>
      <c r="Q4" s="808"/>
      <c r="R4" s="808"/>
      <c r="S4" s="809"/>
    </row>
    <row r="5" spans="1:19" s="42" customFormat="1" ht="23.25" customHeight="1">
      <c r="A5" s="806" t="s">
        <v>0</v>
      </c>
      <c r="B5" s="699"/>
      <c r="C5" s="700"/>
      <c r="D5" s="337"/>
      <c r="E5" s="337"/>
      <c r="F5" s="337"/>
      <c r="G5" s="698" t="s">
        <v>1</v>
      </c>
      <c r="H5" s="699"/>
      <c r="I5" s="699"/>
      <c r="J5" s="699"/>
      <c r="K5" s="699"/>
      <c r="L5" s="700"/>
      <c r="M5" s="698" t="s">
        <v>1689</v>
      </c>
      <c r="N5" s="699"/>
      <c r="O5" s="699"/>
      <c r="P5" s="699"/>
      <c r="Q5" s="699"/>
      <c r="R5" s="700"/>
      <c r="S5" s="810" t="s">
        <v>1685</v>
      </c>
    </row>
    <row r="6" spans="1:19" s="42" customFormat="1" ht="24.75" customHeight="1">
      <c r="A6" s="669" t="s">
        <v>2</v>
      </c>
      <c r="B6" s="669" t="s">
        <v>4</v>
      </c>
      <c r="C6" s="669" t="s">
        <v>3</v>
      </c>
      <c r="D6" s="669" t="s">
        <v>1116</v>
      </c>
      <c r="E6" s="669" t="s">
        <v>1117</v>
      </c>
      <c r="F6" s="669" t="s">
        <v>1118</v>
      </c>
      <c r="G6" s="669" t="s">
        <v>1186</v>
      </c>
      <c r="H6" s="669" t="s">
        <v>9</v>
      </c>
      <c r="I6" s="693" t="s">
        <v>1180</v>
      </c>
      <c r="J6" s="693" t="s">
        <v>1181</v>
      </c>
      <c r="K6" s="695" t="s">
        <v>1103</v>
      </c>
      <c r="L6" s="682" t="s">
        <v>1637</v>
      </c>
      <c r="M6" s="669" t="s">
        <v>1914</v>
      </c>
      <c r="N6" s="669" t="s">
        <v>1115</v>
      </c>
      <c r="O6" s="669" t="s">
        <v>1119</v>
      </c>
      <c r="P6" s="669" t="s">
        <v>1120</v>
      </c>
      <c r="Q6" s="669" t="s">
        <v>1185</v>
      </c>
      <c r="R6" s="669" t="s">
        <v>924</v>
      </c>
      <c r="S6" s="811"/>
    </row>
    <row r="7" spans="1:19" s="42" customFormat="1" ht="36.75" customHeight="1">
      <c r="A7" s="670"/>
      <c r="B7" s="670"/>
      <c r="C7" s="670"/>
      <c r="D7" s="670"/>
      <c r="E7" s="670"/>
      <c r="F7" s="670"/>
      <c r="G7" s="670"/>
      <c r="H7" s="670"/>
      <c r="I7" s="694"/>
      <c r="J7" s="694"/>
      <c r="K7" s="696"/>
      <c r="L7" s="683"/>
      <c r="M7" s="670"/>
      <c r="N7" s="670"/>
      <c r="O7" s="670"/>
      <c r="P7" s="670"/>
      <c r="Q7" s="670"/>
      <c r="R7" s="670"/>
      <c r="S7" s="812"/>
    </row>
    <row r="8" spans="1:19" ht="69" customHeight="1">
      <c r="A8" s="64" t="s">
        <v>11</v>
      </c>
      <c r="B8" s="43" t="s">
        <v>12</v>
      </c>
      <c r="C8" s="28" t="s">
        <v>13</v>
      </c>
      <c r="D8" s="195">
        <v>0.08</v>
      </c>
      <c r="E8" s="292">
        <v>0.08</v>
      </c>
      <c r="F8" s="196">
        <f aca="true" t="shared" si="0" ref="F8:F15">E8/D8</f>
        <v>1</v>
      </c>
      <c r="G8" s="527" t="s">
        <v>949</v>
      </c>
      <c r="H8" s="28" t="s">
        <v>1264</v>
      </c>
      <c r="I8" s="500">
        <f>346550000/1000</f>
        <v>346550</v>
      </c>
      <c r="J8" s="500">
        <f>325240000/1000</f>
        <v>325240</v>
      </c>
      <c r="K8" s="533">
        <f>J8/I8</f>
        <v>0.9385081517818497</v>
      </c>
      <c r="L8" s="340" t="s">
        <v>946</v>
      </c>
      <c r="M8" s="28" t="s">
        <v>2060</v>
      </c>
      <c r="N8" s="745">
        <v>8</v>
      </c>
      <c r="O8" s="610">
        <f>325240000/1000</f>
        <v>325240</v>
      </c>
      <c r="P8" s="610">
        <f>J8</f>
        <v>325240</v>
      </c>
      <c r="Q8" s="752">
        <f>P8/O8</f>
        <v>1</v>
      </c>
      <c r="R8" s="500" t="s">
        <v>1325</v>
      </c>
      <c r="S8" s="527" t="s">
        <v>1500</v>
      </c>
    </row>
    <row r="9" spans="1:19" ht="66.75" customHeight="1">
      <c r="A9" s="64" t="s">
        <v>14</v>
      </c>
      <c r="B9" s="43" t="s">
        <v>15</v>
      </c>
      <c r="C9" s="28" t="s">
        <v>16</v>
      </c>
      <c r="D9" s="423">
        <v>0.2</v>
      </c>
      <c r="E9" s="294">
        <v>0.2</v>
      </c>
      <c r="F9" s="196">
        <f t="shared" si="0"/>
        <v>1</v>
      </c>
      <c r="G9" s="538"/>
      <c r="H9" s="754" t="s">
        <v>1501</v>
      </c>
      <c r="I9" s="518"/>
      <c r="J9" s="518"/>
      <c r="K9" s="535"/>
      <c r="L9" s="340" t="s">
        <v>947</v>
      </c>
      <c r="M9" s="28" t="s">
        <v>2061</v>
      </c>
      <c r="N9" s="746"/>
      <c r="O9" s="613"/>
      <c r="P9" s="613"/>
      <c r="Q9" s="760"/>
      <c r="R9" s="518"/>
      <c r="S9" s="538"/>
    </row>
    <row r="10" spans="1:19" ht="57.75" customHeight="1">
      <c r="A10" s="64" t="s">
        <v>17</v>
      </c>
      <c r="B10" s="43" t="s">
        <v>18</v>
      </c>
      <c r="C10" s="28" t="s">
        <v>19</v>
      </c>
      <c r="D10" s="195">
        <v>1</v>
      </c>
      <c r="E10" s="44">
        <v>1</v>
      </c>
      <c r="F10" s="196">
        <f t="shared" si="0"/>
        <v>1</v>
      </c>
      <c r="G10" s="538"/>
      <c r="H10" s="755"/>
      <c r="I10" s="518"/>
      <c r="J10" s="518"/>
      <c r="K10" s="535"/>
      <c r="L10" s="527" t="s">
        <v>948</v>
      </c>
      <c r="M10" s="28" t="s">
        <v>2062</v>
      </c>
      <c r="N10" s="746"/>
      <c r="O10" s="613"/>
      <c r="P10" s="613"/>
      <c r="Q10" s="760"/>
      <c r="R10" s="518"/>
      <c r="S10" s="538"/>
    </row>
    <row r="11" spans="1:19" ht="157.5" customHeight="1">
      <c r="A11" s="64" t="s">
        <v>20</v>
      </c>
      <c r="B11" s="43" t="s">
        <v>21</v>
      </c>
      <c r="C11" s="28" t="s">
        <v>22</v>
      </c>
      <c r="D11" s="423">
        <v>0.5</v>
      </c>
      <c r="E11" s="431">
        <v>0.4</v>
      </c>
      <c r="F11" s="196">
        <f t="shared" si="0"/>
        <v>0.8</v>
      </c>
      <c r="G11" s="538"/>
      <c r="H11" s="754" t="s">
        <v>1502</v>
      </c>
      <c r="I11" s="518"/>
      <c r="J11" s="518"/>
      <c r="K11" s="535"/>
      <c r="L11" s="538"/>
      <c r="M11" s="28" t="s">
        <v>2063</v>
      </c>
      <c r="N11" s="746"/>
      <c r="O11" s="613"/>
      <c r="P11" s="613"/>
      <c r="Q11" s="760"/>
      <c r="R11" s="518"/>
      <c r="S11" s="538"/>
    </row>
    <row r="12" spans="1:19" ht="151.5" customHeight="1">
      <c r="A12" s="61" t="s">
        <v>23</v>
      </c>
      <c r="B12" s="28" t="s">
        <v>24</v>
      </c>
      <c r="C12" s="28" t="s">
        <v>25</v>
      </c>
      <c r="D12" s="430">
        <v>0.5</v>
      </c>
      <c r="E12" s="198">
        <v>0</v>
      </c>
      <c r="F12" s="196">
        <f t="shared" si="0"/>
        <v>0</v>
      </c>
      <c r="G12" s="528"/>
      <c r="H12" s="755"/>
      <c r="I12" s="501"/>
      <c r="J12" s="501"/>
      <c r="K12" s="534"/>
      <c r="L12" s="528"/>
      <c r="M12" s="28" t="s">
        <v>2064</v>
      </c>
      <c r="N12" s="747"/>
      <c r="O12" s="611"/>
      <c r="P12" s="611"/>
      <c r="Q12" s="753"/>
      <c r="R12" s="501"/>
      <c r="S12" s="528"/>
    </row>
    <row r="13" spans="1:19" ht="55.5" customHeight="1">
      <c r="A13" s="828" t="s">
        <v>27</v>
      </c>
      <c r="B13" s="527" t="s">
        <v>1790</v>
      </c>
      <c r="C13" s="527" t="s">
        <v>28</v>
      </c>
      <c r="D13" s="830">
        <v>8</v>
      </c>
      <c r="E13" s="832">
        <v>3</v>
      </c>
      <c r="F13" s="628">
        <f>E13/D13</f>
        <v>0.375</v>
      </c>
      <c r="G13" s="527" t="s">
        <v>950</v>
      </c>
      <c r="H13" s="343" t="s">
        <v>1264</v>
      </c>
      <c r="I13" s="606">
        <f>29054781/1000</f>
        <v>29054.781</v>
      </c>
      <c r="J13" s="500">
        <f>5000000/1000</f>
        <v>5000</v>
      </c>
      <c r="K13" s="579">
        <f>J13/I13</f>
        <v>0.17208871751606045</v>
      </c>
      <c r="L13" s="527" t="s">
        <v>497</v>
      </c>
      <c r="M13" s="527" t="s">
        <v>2065</v>
      </c>
      <c r="N13" s="745">
        <v>1</v>
      </c>
      <c r="O13" s="610">
        <f>5000000/1000</f>
        <v>5000</v>
      </c>
      <c r="P13" s="745">
        <f>5000000/1000</f>
        <v>5000</v>
      </c>
      <c r="Q13" s="533">
        <f>P13/O13</f>
        <v>1</v>
      </c>
      <c r="R13" s="500" t="s">
        <v>1325</v>
      </c>
      <c r="S13" s="527" t="s">
        <v>1500</v>
      </c>
    </row>
    <row r="14" spans="1:19" ht="66" customHeight="1">
      <c r="A14" s="829"/>
      <c r="B14" s="528"/>
      <c r="C14" s="528"/>
      <c r="D14" s="831"/>
      <c r="E14" s="833"/>
      <c r="F14" s="629"/>
      <c r="G14" s="528"/>
      <c r="H14" s="43" t="s">
        <v>1789</v>
      </c>
      <c r="I14" s="607"/>
      <c r="J14" s="501"/>
      <c r="K14" s="580"/>
      <c r="L14" s="528"/>
      <c r="M14" s="528"/>
      <c r="N14" s="747"/>
      <c r="O14" s="611"/>
      <c r="P14" s="747"/>
      <c r="Q14" s="534"/>
      <c r="R14" s="501"/>
      <c r="S14" s="528"/>
    </row>
    <row r="15" spans="1:19" ht="210" customHeight="1">
      <c r="A15" s="64" t="s">
        <v>29</v>
      </c>
      <c r="B15" s="43" t="s">
        <v>30</v>
      </c>
      <c r="C15" s="28" t="s">
        <v>31</v>
      </c>
      <c r="D15" s="423">
        <v>0.9</v>
      </c>
      <c r="E15" s="423">
        <v>0.3</v>
      </c>
      <c r="F15" s="202">
        <f t="shared" si="0"/>
        <v>0.3333333333333333</v>
      </c>
      <c r="G15" s="43" t="s">
        <v>951</v>
      </c>
      <c r="H15" s="43" t="s">
        <v>1503</v>
      </c>
      <c r="I15" s="44">
        <f>25467429/1000</f>
        <v>25467.429</v>
      </c>
      <c r="J15" s="44">
        <f>8921779/1000</f>
        <v>8921.779</v>
      </c>
      <c r="K15" s="291">
        <f>J15/I15</f>
        <v>0.35032114941794873</v>
      </c>
      <c r="L15" s="63" t="s">
        <v>966</v>
      </c>
      <c r="M15" s="28" t="s">
        <v>2066</v>
      </c>
      <c r="N15" s="201">
        <v>3</v>
      </c>
      <c r="O15" s="203">
        <f>8921779/1000</f>
        <v>8921.779</v>
      </c>
      <c r="P15" s="203">
        <f>J15</f>
        <v>8921.779</v>
      </c>
      <c r="Q15" s="291">
        <f>P15/O15</f>
        <v>1</v>
      </c>
      <c r="R15" s="44" t="s">
        <v>1325</v>
      </c>
      <c r="S15" s="43" t="s">
        <v>1500</v>
      </c>
    </row>
    <row r="16" spans="1:19" ht="50.25" customHeight="1">
      <c r="A16" s="64" t="s">
        <v>32</v>
      </c>
      <c r="B16" s="43" t="s">
        <v>33</v>
      </c>
      <c r="C16" s="28" t="s">
        <v>34</v>
      </c>
      <c r="D16" s="195">
        <v>150</v>
      </c>
      <c r="E16" s="200">
        <v>250</v>
      </c>
      <c r="F16" s="196">
        <v>1</v>
      </c>
      <c r="G16" s="527" t="s">
        <v>952</v>
      </c>
      <c r="H16" s="834" t="s">
        <v>1264</v>
      </c>
      <c r="I16" s="500">
        <f>354250000/1000</f>
        <v>354250</v>
      </c>
      <c r="J16" s="500">
        <f>354250000/1000</f>
        <v>354250</v>
      </c>
      <c r="K16" s="533">
        <f>J16/I16</f>
        <v>1</v>
      </c>
      <c r="L16" s="527" t="s">
        <v>967</v>
      </c>
      <c r="M16" s="28" t="s">
        <v>2067</v>
      </c>
      <c r="N16" s="745">
        <v>17</v>
      </c>
      <c r="O16" s="610">
        <f>354250000/1000</f>
        <v>354250</v>
      </c>
      <c r="P16" s="610">
        <f>J16</f>
        <v>354250</v>
      </c>
      <c r="Q16" s="752">
        <f>P16/O16</f>
        <v>1</v>
      </c>
      <c r="R16" s="745" t="s">
        <v>1325</v>
      </c>
      <c r="S16" s="527" t="s">
        <v>1500</v>
      </c>
    </row>
    <row r="17" spans="1:19" ht="87" customHeight="1">
      <c r="A17" s="64" t="s">
        <v>35</v>
      </c>
      <c r="B17" s="43" t="s">
        <v>36</v>
      </c>
      <c r="C17" s="28" t="s">
        <v>37</v>
      </c>
      <c r="D17" s="195">
        <v>1</v>
      </c>
      <c r="E17" s="200">
        <v>0.8</v>
      </c>
      <c r="F17" s="196">
        <f aca="true" t="shared" si="1" ref="F17:F32">E17/D17</f>
        <v>0.8</v>
      </c>
      <c r="G17" s="538"/>
      <c r="H17" s="835"/>
      <c r="I17" s="518"/>
      <c r="J17" s="518"/>
      <c r="K17" s="535"/>
      <c r="L17" s="528"/>
      <c r="M17" s="28" t="s">
        <v>2073</v>
      </c>
      <c r="N17" s="746"/>
      <c r="O17" s="613"/>
      <c r="P17" s="613"/>
      <c r="Q17" s="760"/>
      <c r="R17" s="746"/>
      <c r="S17" s="538"/>
    </row>
    <row r="18" spans="1:19" ht="68.25" customHeight="1">
      <c r="A18" s="64" t="s">
        <v>38</v>
      </c>
      <c r="B18" s="43" t="s">
        <v>39</v>
      </c>
      <c r="C18" s="28" t="s">
        <v>40</v>
      </c>
      <c r="D18" s="195">
        <v>10</v>
      </c>
      <c r="E18" s="207">
        <v>5</v>
      </c>
      <c r="F18" s="196">
        <f t="shared" si="1"/>
        <v>0.5</v>
      </c>
      <c r="G18" s="538"/>
      <c r="H18" s="836"/>
      <c r="I18" s="518"/>
      <c r="J18" s="518"/>
      <c r="K18" s="535"/>
      <c r="L18" s="527" t="s">
        <v>498</v>
      </c>
      <c r="M18" s="28" t="s">
        <v>2068</v>
      </c>
      <c r="N18" s="746"/>
      <c r="O18" s="613"/>
      <c r="P18" s="613"/>
      <c r="Q18" s="760"/>
      <c r="R18" s="746"/>
      <c r="S18" s="538"/>
    </row>
    <row r="19" spans="1:19" ht="63" customHeight="1">
      <c r="A19" s="61" t="s">
        <v>41</v>
      </c>
      <c r="B19" s="28" t="s">
        <v>42</v>
      </c>
      <c r="C19" s="28" t="s">
        <v>43</v>
      </c>
      <c r="D19" s="197">
        <v>50</v>
      </c>
      <c r="E19" s="200">
        <v>100</v>
      </c>
      <c r="F19" s="196">
        <v>1</v>
      </c>
      <c r="G19" s="538"/>
      <c r="H19" s="834" t="s">
        <v>1502</v>
      </c>
      <c r="I19" s="518"/>
      <c r="J19" s="518"/>
      <c r="K19" s="535"/>
      <c r="L19" s="538"/>
      <c r="M19" s="28" t="s">
        <v>2069</v>
      </c>
      <c r="N19" s="746"/>
      <c r="O19" s="613"/>
      <c r="P19" s="613"/>
      <c r="Q19" s="760"/>
      <c r="R19" s="746"/>
      <c r="S19" s="538"/>
    </row>
    <row r="20" spans="1:19" ht="43.5" customHeight="1">
      <c r="A20" s="61" t="s">
        <v>44</v>
      </c>
      <c r="B20" s="28" t="s">
        <v>45</v>
      </c>
      <c r="C20" s="28" t="s">
        <v>46</v>
      </c>
      <c r="D20" s="197">
        <v>3</v>
      </c>
      <c r="E20" s="200">
        <v>7</v>
      </c>
      <c r="F20" s="196">
        <v>1</v>
      </c>
      <c r="G20" s="538"/>
      <c r="H20" s="835"/>
      <c r="I20" s="518"/>
      <c r="J20" s="518"/>
      <c r="K20" s="535"/>
      <c r="L20" s="528"/>
      <c r="M20" s="28" t="s">
        <v>2070</v>
      </c>
      <c r="N20" s="746"/>
      <c r="O20" s="613"/>
      <c r="P20" s="613"/>
      <c r="Q20" s="760"/>
      <c r="R20" s="746"/>
      <c r="S20" s="538"/>
    </row>
    <row r="21" spans="1:19" ht="43.5" customHeight="1">
      <c r="A21" s="61" t="s">
        <v>47</v>
      </c>
      <c r="B21" s="28" t="s">
        <v>48</v>
      </c>
      <c r="C21" s="28" t="s">
        <v>49</v>
      </c>
      <c r="D21" s="197">
        <v>1</v>
      </c>
      <c r="E21" s="200">
        <v>1</v>
      </c>
      <c r="F21" s="196">
        <f t="shared" si="1"/>
        <v>1</v>
      </c>
      <c r="G21" s="538"/>
      <c r="H21" s="835"/>
      <c r="I21" s="518"/>
      <c r="J21" s="518"/>
      <c r="K21" s="535"/>
      <c r="L21" s="527" t="s">
        <v>499</v>
      </c>
      <c r="M21" s="28" t="s">
        <v>2071</v>
      </c>
      <c r="N21" s="746"/>
      <c r="O21" s="613"/>
      <c r="P21" s="613"/>
      <c r="Q21" s="760"/>
      <c r="R21" s="746"/>
      <c r="S21" s="538"/>
    </row>
    <row r="22" spans="1:19" ht="43.5" customHeight="1">
      <c r="A22" s="61" t="s">
        <v>50</v>
      </c>
      <c r="B22" s="28" t="s">
        <v>51</v>
      </c>
      <c r="C22" s="28" t="s">
        <v>52</v>
      </c>
      <c r="D22" s="197">
        <v>1</v>
      </c>
      <c r="E22" s="200">
        <v>2</v>
      </c>
      <c r="F22" s="196">
        <v>1</v>
      </c>
      <c r="G22" s="538"/>
      <c r="H22" s="835"/>
      <c r="I22" s="518"/>
      <c r="J22" s="518"/>
      <c r="K22" s="535"/>
      <c r="L22" s="538"/>
      <c r="M22" s="28" t="s">
        <v>2072</v>
      </c>
      <c r="N22" s="746"/>
      <c r="O22" s="613"/>
      <c r="P22" s="613"/>
      <c r="Q22" s="760"/>
      <c r="R22" s="746"/>
      <c r="S22" s="538"/>
    </row>
    <row r="23" spans="1:19" ht="80.25" customHeight="1">
      <c r="A23" s="61" t="s">
        <v>53</v>
      </c>
      <c r="B23" s="28" t="s">
        <v>54</v>
      </c>
      <c r="C23" s="28" t="s">
        <v>55</v>
      </c>
      <c r="D23" s="197">
        <v>3</v>
      </c>
      <c r="E23" s="197">
        <v>3</v>
      </c>
      <c r="F23" s="196">
        <f t="shared" si="1"/>
        <v>1</v>
      </c>
      <c r="G23" s="528"/>
      <c r="H23" s="836"/>
      <c r="I23" s="501"/>
      <c r="J23" s="501"/>
      <c r="K23" s="534"/>
      <c r="L23" s="528"/>
      <c r="M23" s="28" t="s">
        <v>2074</v>
      </c>
      <c r="N23" s="747"/>
      <c r="O23" s="611"/>
      <c r="P23" s="611"/>
      <c r="Q23" s="753"/>
      <c r="R23" s="747"/>
      <c r="S23" s="528"/>
    </row>
    <row r="24" spans="1:19" ht="52.5" customHeight="1">
      <c r="A24" s="64" t="s">
        <v>56</v>
      </c>
      <c r="B24" s="28" t="s">
        <v>57</v>
      </c>
      <c r="C24" s="28" t="s">
        <v>58</v>
      </c>
      <c r="D24" s="195">
        <v>1</v>
      </c>
      <c r="E24" s="204">
        <v>1</v>
      </c>
      <c r="F24" s="196">
        <f t="shared" si="1"/>
        <v>1</v>
      </c>
      <c r="G24" s="527" t="s">
        <v>953</v>
      </c>
      <c r="H24" s="834" t="s">
        <v>1504</v>
      </c>
      <c r="I24" s="500">
        <f>33657513/1000</f>
        <v>33657.513</v>
      </c>
      <c r="J24" s="500">
        <f>24276000/1000</f>
        <v>24276</v>
      </c>
      <c r="K24" s="533">
        <f>J24/I24</f>
        <v>0.7212654125692531</v>
      </c>
      <c r="L24" s="527" t="s">
        <v>968</v>
      </c>
      <c r="M24" s="28" t="s">
        <v>2075</v>
      </c>
      <c r="N24" s="745">
        <v>6</v>
      </c>
      <c r="O24" s="610">
        <f>24276000/1000</f>
        <v>24276</v>
      </c>
      <c r="P24" s="610">
        <f>J24</f>
        <v>24276</v>
      </c>
      <c r="Q24" s="752">
        <f>P24/O24</f>
        <v>1</v>
      </c>
      <c r="R24" s="745" t="s">
        <v>1325</v>
      </c>
      <c r="S24" s="527" t="s">
        <v>1500</v>
      </c>
    </row>
    <row r="25" spans="1:19" ht="162" customHeight="1">
      <c r="A25" s="64" t="s">
        <v>59</v>
      </c>
      <c r="B25" s="28" t="s">
        <v>60</v>
      </c>
      <c r="C25" s="28" t="s">
        <v>61</v>
      </c>
      <c r="D25" s="195">
        <v>1</v>
      </c>
      <c r="E25" s="205">
        <v>0.5</v>
      </c>
      <c r="F25" s="196">
        <f t="shared" si="1"/>
        <v>0.5</v>
      </c>
      <c r="G25" s="538"/>
      <c r="H25" s="836"/>
      <c r="I25" s="518"/>
      <c r="J25" s="518"/>
      <c r="K25" s="535"/>
      <c r="L25" s="528"/>
      <c r="M25" s="28" t="s">
        <v>2076</v>
      </c>
      <c r="N25" s="746"/>
      <c r="O25" s="613"/>
      <c r="P25" s="613"/>
      <c r="Q25" s="760"/>
      <c r="R25" s="746" t="s">
        <v>1325</v>
      </c>
      <c r="S25" s="538"/>
    </row>
    <row r="26" spans="1:19" ht="99.75" customHeight="1">
      <c r="A26" s="64" t="s">
        <v>62</v>
      </c>
      <c r="B26" s="28" t="s">
        <v>63</v>
      </c>
      <c r="C26" s="28" t="s">
        <v>64</v>
      </c>
      <c r="D26" s="195">
        <v>1</v>
      </c>
      <c r="E26" s="200">
        <v>0</v>
      </c>
      <c r="F26" s="196">
        <f t="shared" si="1"/>
        <v>0</v>
      </c>
      <c r="G26" s="538"/>
      <c r="H26" s="834" t="s">
        <v>1264</v>
      </c>
      <c r="I26" s="518"/>
      <c r="J26" s="518"/>
      <c r="K26" s="535"/>
      <c r="L26" s="340" t="s">
        <v>969</v>
      </c>
      <c r="M26" s="28" t="s">
        <v>2077</v>
      </c>
      <c r="N26" s="746"/>
      <c r="O26" s="613"/>
      <c r="P26" s="613"/>
      <c r="Q26" s="760"/>
      <c r="R26" s="746"/>
      <c r="S26" s="538"/>
    </row>
    <row r="27" spans="1:19" ht="66.75" customHeight="1">
      <c r="A27" s="64" t="s">
        <v>65</v>
      </c>
      <c r="B27" s="28" t="s">
        <v>66</v>
      </c>
      <c r="C27" s="28" t="s">
        <v>67</v>
      </c>
      <c r="D27" s="195">
        <v>1</v>
      </c>
      <c r="E27" s="200">
        <v>1</v>
      </c>
      <c r="F27" s="196">
        <f t="shared" si="1"/>
        <v>1</v>
      </c>
      <c r="G27" s="528"/>
      <c r="H27" s="836"/>
      <c r="I27" s="501"/>
      <c r="J27" s="501"/>
      <c r="K27" s="534"/>
      <c r="L27" s="340" t="s">
        <v>970</v>
      </c>
      <c r="M27" s="28" t="s">
        <v>2078</v>
      </c>
      <c r="N27" s="747"/>
      <c r="O27" s="611"/>
      <c r="P27" s="611"/>
      <c r="Q27" s="753"/>
      <c r="R27" s="747"/>
      <c r="S27" s="528"/>
    </row>
    <row r="28" spans="1:19" ht="146.25" customHeight="1">
      <c r="A28" s="64" t="s">
        <v>68</v>
      </c>
      <c r="B28" s="49" t="s">
        <v>69</v>
      </c>
      <c r="C28" s="28" t="s">
        <v>70</v>
      </c>
      <c r="D28" s="423">
        <v>0.6</v>
      </c>
      <c r="E28" s="294">
        <v>0.2</v>
      </c>
      <c r="F28" s="196">
        <f t="shared" si="1"/>
        <v>0.33333333333333337</v>
      </c>
      <c r="G28" s="527" t="s">
        <v>954</v>
      </c>
      <c r="H28" s="43" t="s">
        <v>1264</v>
      </c>
      <c r="I28" s="500">
        <f>38716666/1000</f>
        <v>38716.666</v>
      </c>
      <c r="J28" s="500">
        <f>38716666/1000</f>
        <v>38716.666</v>
      </c>
      <c r="K28" s="818">
        <f>J28/I28</f>
        <v>1</v>
      </c>
      <c r="L28" s="340" t="s">
        <v>971</v>
      </c>
      <c r="M28" s="386" t="s">
        <v>2079</v>
      </c>
      <c r="N28" s="608">
        <v>4</v>
      </c>
      <c r="O28" s="500">
        <f>38716666/1000</f>
        <v>38716.666</v>
      </c>
      <c r="P28" s="610">
        <f>J28</f>
        <v>38716.666</v>
      </c>
      <c r="Q28" s="752">
        <f>P28/O28</f>
        <v>1</v>
      </c>
      <c r="R28" s="604" t="s">
        <v>1325</v>
      </c>
      <c r="S28" s="527" t="s">
        <v>1500</v>
      </c>
    </row>
    <row r="29" spans="1:19" ht="81" customHeight="1">
      <c r="A29" s="64" t="s">
        <v>71</v>
      </c>
      <c r="B29" s="43" t="s">
        <v>72</v>
      </c>
      <c r="C29" s="28" t="s">
        <v>73</v>
      </c>
      <c r="D29" s="195">
        <v>40</v>
      </c>
      <c r="E29" s="200">
        <v>51</v>
      </c>
      <c r="F29" s="196">
        <v>1</v>
      </c>
      <c r="G29" s="538"/>
      <c r="H29" s="834" t="s">
        <v>1502</v>
      </c>
      <c r="I29" s="518"/>
      <c r="J29" s="518"/>
      <c r="K29" s="819"/>
      <c r="L29" s="340" t="s">
        <v>972</v>
      </c>
      <c r="M29" s="28" t="s">
        <v>2080</v>
      </c>
      <c r="N29" s="636"/>
      <c r="O29" s="518"/>
      <c r="P29" s="613"/>
      <c r="Q29" s="760"/>
      <c r="R29" s="634"/>
      <c r="S29" s="538"/>
    </row>
    <row r="30" spans="1:19" ht="42.75" customHeight="1">
      <c r="A30" s="64" t="s">
        <v>74</v>
      </c>
      <c r="B30" s="43" t="s">
        <v>75</v>
      </c>
      <c r="C30" s="28" t="s">
        <v>76</v>
      </c>
      <c r="D30" s="195">
        <v>3</v>
      </c>
      <c r="E30" s="200">
        <v>3</v>
      </c>
      <c r="F30" s="196">
        <f t="shared" si="1"/>
        <v>1</v>
      </c>
      <c r="G30" s="528"/>
      <c r="H30" s="836"/>
      <c r="I30" s="501"/>
      <c r="J30" s="501"/>
      <c r="K30" s="820"/>
      <c r="L30" s="340" t="s">
        <v>973</v>
      </c>
      <c r="M30" s="28" t="s">
        <v>2081</v>
      </c>
      <c r="N30" s="609"/>
      <c r="O30" s="501"/>
      <c r="P30" s="611"/>
      <c r="Q30" s="753"/>
      <c r="R30" s="605"/>
      <c r="S30" s="528"/>
    </row>
    <row r="31" spans="1:19" ht="189" customHeight="1">
      <c r="A31" s="64" t="s">
        <v>77</v>
      </c>
      <c r="B31" s="7" t="s">
        <v>78</v>
      </c>
      <c r="C31" s="28" t="s">
        <v>79</v>
      </c>
      <c r="D31" s="423">
        <v>0.5</v>
      </c>
      <c r="E31" s="205">
        <v>0.5</v>
      </c>
      <c r="F31" s="196">
        <f t="shared" si="1"/>
        <v>1</v>
      </c>
      <c r="G31" s="527" t="s">
        <v>955</v>
      </c>
      <c r="H31" s="43" t="s">
        <v>1264</v>
      </c>
      <c r="I31" s="500">
        <f>24500000/1000</f>
        <v>24500</v>
      </c>
      <c r="J31" s="500">
        <f>24500000/1000</f>
        <v>24500</v>
      </c>
      <c r="K31" s="533">
        <f>J31/I31</f>
        <v>1</v>
      </c>
      <c r="L31" s="604"/>
      <c r="M31" s="28" t="s">
        <v>2082</v>
      </c>
      <c r="N31" s="608">
        <v>3</v>
      </c>
      <c r="O31" s="500">
        <f>24500000/1000</f>
        <v>24500</v>
      </c>
      <c r="P31" s="500">
        <f>24500000/1000</f>
        <v>24500</v>
      </c>
      <c r="Q31" s="752">
        <f>P31/O31</f>
        <v>1</v>
      </c>
      <c r="R31" s="604" t="s">
        <v>1325</v>
      </c>
      <c r="S31" s="527" t="s">
        <v>1500</v>
      </c>
    </row>
    <row r="32" spans="1:19" ht="63.75" customHeight="1">
      <c r="A32" s="64" t="s">
        <v>80</v>
      </c>
      <c r="B32" s="7" t="s">
        <v>81</v>
      </c>
      <c r="C32" s="28" t="s">
        <v>82</v>
      </c>
      <c r="D32" s="195">
        <v>2</v>
      </c>
      <c r="E32" s="200">
        <v>2</v>
      </c>
      <c r="F32" s="196">
        <f t="shared" si="1"/>
        <v>1</v>
      </c>
      <c r="G32" s="528"/>
      <c r="H32" s="43" t="s">
        <v>1502</v>
      </c>
      <c r="I32" s="501"/>
      <c r="J32" s="501"/>
      <c r="K32" s="534"/>
      <c r="L32" s="605"/>
      <c r="M32" s="28" t="s">
        <v>2083</v>
      </c>
      <c r="N32" s="609"/>
      <c r="O32" s="501"/>
      <c r="P32" s="501"/>
      <c r="Q32" s="753"/>
      <c r="R32" s="605"/>
      <c r="S32" s="528"/>
    </row>
    <row r="33" spans="1:19" ht="63" customHeight="1">
      <c r="A33" s="64" t="s">
        <v>83</v>
      </c>
      <c r="B33" s="28" t="s">
        <v>84</v>
      </c>
      <c r="C33" s="28" t="s">
        <v>85</v>
      </c>
      <c r="D33" s="430">
        <v>0.5</v>
      </c>
      <c r="E33" s="294">
        <v>0.5</v>
      </c>
      <c r="F33" s="199">
        <v>1</v>
      </c>
      <c r="G33" s="527" t="s">
        <v>956</v>
      </c>
      <c r="H33" s="43" t="s">
        <v>1505</v>
      </c>
      <c r="I33" s="606">
        <f>1000000000/1000</f>
        <v>1000000</v>
      </c>
      <c r="J33" s="606">
        <f>1000000000/1000</f>
        <v>1000000</v>
      </c>
      <c r="K33" s="533">
        <f>J33/I33</f>
        <v>1</v>
      </c>
      <c r="L33" s="43" t="s">
        <v>500</v>
      </c>
      <c r="M33" s="28" t="s">
        <v>2084</v>
      </c>
      <c r="N33" s="608">
        <v>1</v>
      </c>
      <c r="O33" s="610">
        <f>1000000000/1000</f>
        <v>1000000</v>
      </c>
      <c r="P33" s="610">
        <f>J33</f>
        <v>1000000</v>
      </c>
      <c r="Q33" s="752">
        <f>P33/O33</f>
        <v>1</v>
      </c>
      <c r="R33" s="604" t="s">
        <v>1325</v>
      </c>
      <c r="S33" s="527" t="s">
        <v>1500</v>
      </c>
    </row>
    <row r="34" spans="1:19" ht="66" customHeight="1">
      <c r="A34" s="64" t="s">
        <v>86</v>
      </c>
      <c r="B34" s="28" t="s">
        <v>87</v>
      </c>
      <c r="C34" s="28" t="s">
        <v>88</v>
      </c>
      <c r="D34" s="206">
        <v>1</v>
      </c>
      <c r="E34" s="207">
        <v>0</v>
      </c>
      <c r="F34" s="188">
        <f aca="true" t="shared" si="2" ref="F34:F45">E34/D34</f>
        <v>0</v>
      </c>
      <c r="G34" s="528"/>
      <c r="H34" s="43" t="s">
        <v>1506</v>
      </c>
      <c r="I34" s="607"/>
      <c r="J34" s="607"/>
      <c r="K34" s="534"/>
      <c r="L34" s="43" t="s">
        <v>501</v>
      </c>
      <c r="M34" s="28" t="s">
        <v>2085</v>
      </c>
      <c r="N34" s="609"/>
      <c r="O34" s="611"/>
      <c r="P34" s="611"/>
      <c r="Q34" s="753"/>
      <c r="R34" s="605"/>
      <c r="S34" s="528"/>
    </row>
    <row r="35" spans="1:19" ht="51.75" customHeight="1">
      <c r="A35" s="64" t="s">
        <v>89</v>
      </c>
      <c r="B35" s="43" t="s">
        <v>90</v>
      </c>
      <c r="C35" s="28" t="s">
        <v>91</v>
      </c>
      <c r="D35" s="195">
        <v>10</v>
      </c>
      <c r="E35" s="200">
        <v>9</v>
      </c>
      <c r="F35" s="199">
        <f t="shared" si="2"/>
        <v>0.9</v>
      </c>
      <c r="G35" s="527" t="s">
        <v>957</v>
      </c>
      <c r="H35" s="527" t="s">
        <v>1507</v>
      </c>
      <c r="I35" s="500">
        <f>170223392.18/1000</f>
        <v>170223.39218</v>
      </c>
      <c r="J35" s="500">
        <f>170000000/1000</f>
        <v>170000</v>
      </c>
      <c r="K35" s="533">
        <f>J35/I35</f>
        <v>0.9986876528710944</v>
      </c>
      <c r="L35" s="527" t="s">
        <v>502</v>
      </c>
      <c r="M35" s="28" t="s">
        <v>2086</v>
      </c>
      <c r="N35" s="608">
        <v>2</v>
      </c>
      <c r="O35" s="610">
        <f>J35</f>
        <v>170000</v>
      </c>
      <c r="P35" s="610">
        <f>J35</f>
        <v>170000</v>
      </c>
      <c r="Q35" s="813">
        <f>P35/O35</f>
        <v>1</v>
      </c>
      <c r="R35" s="604" t="s">
        <v>1325</v>
      </c>
      <c r="S35" s="527" t="s">
        <v>1500</v>
      </c>
    </row>
    <row r="36" spans="1:19" ht="80.25" customHeight="1">
      <c r="A36" s="64" t="s">
        <v>92</v>
      </c>
      <c r="B36" s="43" t="s">
        <v>93</v>
      </c>
      <c r="C36" s="28" t="s">
        <v>94</v>
      </c>
      <c r="D36" s="195">
        <v>10</v>
      </c>
      <c r="E36" s="200">
        <v>9</v>
      </c>
      <c r="F36" s="199">
        <f t="shared" si="2"/>
        <v>0.9</v>
      </c>
      <c r="G36" s="538"/>
      <c r="H36" s="528"/>
      <c r="I36" s="518"/>
      <c r="J36" s="518"/>
      <c r="K36" s="535"/>
      <c r="L36" s="528"/>
      <c r="M36" s="28" t="s">
        <v>2087</v>
      </c>
      <c r="N36" s="636"/>
      <c r="O36" s="613"/>
      <c r="P36" s="613"/>
      <c r="Q36" s="814"/>
      <c r="R36" s="634"/>
      <c r="S36" s="538"/>
    </row>
    <row r="37" spans="1:19" ht="50.25" customHeight="1">
      <c r="A37" s="64" t="s">
        <v>95</v>
      </c>
      <c r="B37" s="43" t="s">
        <v>96</v>
      </c>
      <c r="C37" s="28" t="s">
        <v>97</v>
      </c>
      <c r="D37" s="195">
        <v>10</v>
      </c>
      <c r="E37" s="200">
        <v>9</v>
      </c>
      <c r="F37" s="199">
        <f t="shared" si="2"/>
        <v>0.9</v>
      </c>
      <c r="G37" s="538"/>
      <c r="H37" s="527" t="s">
        <v>1508</v>
      </c>
      <c r="I37" s="518"/>
      <c r="J37" s="518"/>
      <c r="K37" s="535"/>
      <c r="L37" s="527" t="s">
        <v>503</v>
      </c>
      <c r="M37" s="28" t="s">
        <v>2088</v>
      </c>
      <c r="N37" s="636"/>
      <c r="O37" s="613"/>
      <c r="P37" s="613"/>
      <c r="Q37" s="814"/>
      <c r="R37" s="634"/>
      <c r="S37" s="538"/>
    </row>
    <row r="38" spans="1:19" ht="48.75" customHeight="1">
      <c r="A38" s="64" t="s">
        <v>98</v>
      </c>
      <c r="B38" s="43" t="s">
        <v>99</v>
      </c>
      <c r="C38" s="28" t="s">
        <v>100</v>
      </c>
      <c r="D38" s="195">
        <v>1</v>
      </c>
      <c r="E38" s="200">
        <v>1</v>
      </c>
      <c r="F38" s="199">
        <f t="shared" si="2"/>
        <v>1</v>
      </c>
      <c r="G38" s="538"/>
      <c r="H38" s="538"/>
      <c r="I38" s="518"/>
      <c r="J38" s="518"/>
      <c r="K38" s="535"/>
      <c r="L38" s="528"/>
      <c r="M38" s="28" t="s">
        <v>2089</v>
      </c>
      <c r="N38" s="636"/>
      <c r="O38" s="613"/>
      <c r="P38" s="613"/>
      <c r="Q38" s="814"/>
      <c r="R38" s="634"/>
      <c r="S38" s="538"/>
    </row>
    <row r="39" spans="1:19" ht="66" customHeight="1">
      <c r="A39" s="65" t="s">
        <v>101</v>
      </c>
      <c r="B39" s="47" t="s">
        <v>102</v>
      </c>
      <c r="C39" s="51" t="s">
        <v>103</v>
      </c>
      <c r="D39" s="195">
        <v>10</v>
      </c>
      <c r="E39" s="200">
        <v>9</v>
      </c>
      <c r="F39" s="199">
        <f t="shared" si="2"/>
        <v>0.9</v>
      </c>
      <c r="G39" s="528"/>
      <c r="H39" s="528"/>
      <c r="I39" s="501"/>
      <c r="J39" s="501"/>
      <c r="K39" s="534"/>
      <c r="L39" s="47" t="s">
        <v>504</v>
      </c>
      <c r="M39" s="51" t="s">
        <v>2090</v>
      </c>
      <c r="N39" s="609"/>
      <c r="O39" s="611"/>
      <c r="P39" s="611"/>
      <c r="Q39" s="815"/>
      <c r="R39" s="605"/>
      <c r="S39" s="528"/>
    </row>
    <row r="40" spans="1:19" ht="44.25" customHeight="1">
      <c r="A40" s="709" t="s">
        <v>104</v>
      </c>
      <c r="B40" s="630" t="s">
        <v>105</v>
      </c>
      <c r="C40" s="630" t="s">
        <v>106</v>
      </c>
      <c r="D40" s="837">
        <v>0.4</v>
      </c>
      <c r="E40" s="840">
        <v>0.4</v>
      </c>
      <c r="F40" s="628">
        <f>E40/D40</f>
        <v>1</v>
      </c>
      <c r="G40" s="630" t="s">
        <v>958</v>
      </c>
      <c r="H40" s="48" t="s">
        <v>1791</v>
      </c>
      <c r="I40" s="606">
        <f>866702704.47/1000</f>
        <v>866702.70447</v>
      </c>
      <c r="J40" s="606">
        <f>549928974/1000</f>
        <v>549928.974</v>
      </c>
      <c r="K40" s="579">
        <f>J40/I40</f>
        <v>0.6345070474151673</v>
      </c>
      <c r="L40" s="843" t="s">
        <v>974</v>
      </c>
      <c r="M40" s="630" t="s">
        <v>2091</v>
      </c>
      <c r="N40" s="608">
        <v>23</v>
      </c>
      <c r="O40" s="606">
        <f>591428974/1000</f>
        <v>591428.974</v>
      </c>
      <c r="P40" s="606">
        <f>J40</f>
        <v>549928.974</v>
      </c>
      <c r="Q40" s="825">
        <f>P40/O40</f>
        <v>0.9298309656367968</v>
      </c>
      <c r="R40" s="500" t="s">
        <v>1325</v>
      </c>
      <c r="S40" s="527" t="s">
        <v>1500</v>
      </c>
    </row>
    <row r="41" spans="1:19" ht="81" customHeight="1">
      <c r="A41" s="710"/>
      <c r="B41" s="687"/>
      <c r="C41" s="687"/>
      <c r="D41" s="838"/>
      <c r="E41" s="841"/>
      <c r="F41" s="633"/>
      <c r="G41" s="687"/>
      <c r="H41" s="48" t="s">
        <v>1792</v>
      </c>
      <c r="I41" s="612"/>
      <c r="J41" s="612"/>
      <c r="K41" s="635"/>
      <c r="L41" s="844"/>
      <c r="M41" s="687"/>
      <c r="N41" s="636"/>
      <c r="O41" s="612"/>
      <c r="P41" s="612"/>
      <c r="Q41" s="827"/>
      <c r="R41" s="518"/>
      <c r="S41" s="538"/>
    </row>
    <row r="42" spans="1:19" ht="81" customHeight="1">
      <c r="A42" s="711"/>
      <c r="B42" s="688"/>
      <c r="C42" s="688"/>
      <c r="D42" s="839"/>
      <c r="E42" s="842"/>
      <c r="F42" s="629"/>
      <c r="G42" s="688"/>
      <c r="H42" s="43" t="s">
        <v>1793</v>
      </c>
      <c r="I42" s="607"/>
      <c r="J42" s="607"/>
      <c r="K42" s="580"/>
      <c r="L42" s="845"/>
      <c r="M42" s="688"/>
      <c r="N42" s="609"/>
      <c r="O42" s="607"/>
      <c r="P42" s="607"/>
      <c r="Q42" s="826"/>
      <c r="R42" s="501"/>
      <c r="S42" s="538"/>
    </row>
    <row r="43" spans="1:19" ht="59.25" customHeight="1">
      <c r="A43" s="709" t="s">
        <v>107</v>
      </c>
      <c r="B43" s="630" t="s">
        <v>108</v>
      </c>
      <c r="C43" s="630" t="s">
        <v>109</v>
      </c>
      <c r="D43" s="830">
        <v>5</v>
      </c>
      <c r="E43" s="832">
        <v>5</v>
      </c>
      <c r="F43" s="628">
        <f>E43/D43</f>
        <v>1</v>
      </c>
      <c r="G43" s="630" t="s">
        <v>959</v>
      </c>
      <c r="H43" s="43" t="s">
        <v>1794</v>
      </c>
      <c r="I43" s="606">
        <f>96375695/1000</f>
        <v>96375.695</v>
      </c>
      <c r="J43" s="606">
        <f>90892361.8/1000</f>
        <v>90892.3618</v>
      </c>
      <c r="K43" s="579">
        <f>J43/I43</f>
        <v>0.9431046053675669</v>
      </c>
      <c r="L43" s="630" t="s">
        <v>975</v>
      </c>
      <c r="M43" s="630" t="s">
        <v>2092</v>
      </c>
      <c r="N43" s="330"/>
      <c r="O43" s="331"/>
      <c r="P43" s="331"/>
      <c r="Q43" s="283"/>
      <c r="R43" s="282"/>
      <c r="S43" s="538"/>
    </row>
    <row r="44" spans="1:19" ht="78" customHeight="1">
      <c r="A44" s="711"/>
      <c r="B44" s="688"/>
      <c r="C44" s="688"/>
      <c r="D44" s="831"/>
      <c r="E44" s="833"/>
      <c r="F44" s="629"/>
      <c r="G44" s="688"/>
      <c r="H44" s="43" t="s">
        <v>1795</v>
      </c>
      <c r="I44" s="607"/>
      <c r="J44" s="607"/>
      <c r="K44" s="580"/>
      <c r="L44" s="688"/>
      <c r="M44" s="688"/>
      <c r="N44" s="179">
        <v>6</v>
      </c>
      <c r="O44" s="30">
        <f>90892361.8/1000</f>
        <v>90892.3618</v>
      </c>
      <c r="P44" s="30">
        <f>J43</f>
        <v>90892.3618</v>
      </c>
      <c r="Q44" s="290">
        <f>P44/O44</f>
        <v>1</v>
      </c>
      <c r="R44" s="44" t="s">
        <v>1325</v>
      </c>
      <c r="S44" s="528"/>
    </row>
    <row r="45" spans="1:19" ht="88.5" customHeight="1">
      <c r="A45" s="61" t="s">
        <v>110</v>
      </c>
      <c r="B45" s="43" t="s">
        <v>1509</v>
      </c>
      <c r="C45" s="43" t="s">
        <v>111</v>
      </c>
      <c r="D45" s="423">
        <v>0.3</v>
      </c>
      <c r="E45" s="432">
        <v>0.3</v>
      </c>
      <c r="F45" s="199">
        <f t="shared" si="2"/>
        <v>1</v>
      </c>
      <c r="G45" s="527" t="s">
        <v>960</v>
      </c>
      <c r="H45" s="43" t="s">
        <v>1510</v>
      </c>
      <c r="I45" s="821">
        <f>12452049/1000</f>
        <v>12452.049</v>
      </c>
      <c r="J45" s="821">
        <v>0</v>
      </c>
      <c r="K45" s="823">
        <f>J45/I45</f>
        <v>0</v>
      </c>
      <c r="L45" s="340" t="s">
        <v>976</v>
      </c>
      <c r="M45" s="43" t="s">
        <v>2093</v>
      </c>
      <c r="N45" s="608"/>
      <c r="O45" s="608"/>
      <c r="P45" s="608"/>
      <c r="Q45" s="825"/>
      <c r="R45" s="604"/>
      <c r="S45" s="527" t="s">
        <v>1500</v>
      </c>
    </row>
    <row r="46" spans="1:19" ht="93" customHeight="1">
      <c r="A46" s="61" t="s">
        <v>112</v>
      </c>
      <c r="B46" s="43" t="s">
        <v>113</v>
      </c>
      <c r="C46" s="43" t="s">
        <v>114</v>
      </c>
      <c r="D46" s="195">
        <v>15</v>
      </c>
      <c r="E46" s="200">
        <v>29</v>
      </c>
      <c r="F46" s="199">
        <v>1</v>
      </c>
      <c r="G46" s="528"/>
      <c r="H46" s="43" t="s">
        <v>1511</v>
      </c>
      <c r="I46" s="822"/>
      <c r="J46" s="822"/>
      <c r="K46" s="824"/>
      <c r="L46" s="340" t="s">
        <v>977</v>
      </c>
      <c r="M46" s="43" t="s">
        <v>2094</v>
      </c>
      <c r="N46" s="609"/>
      <c r="O46" s="609"/>
      <c r="P46" s="609"/>
      <c r="Q46" s="826"/>
      <c r="R46" s="605"/>
      <c r="S46" s="528"/>
    </row>
    <row r="47" spans="1:19" ht="107.25" customHeight="1">
      <c r="A47" s="709" t="s">
        <v>115</v>
      </c>
      <c r="B47" s="527" t="s">
        <v>116</v>
      </c>
      <c r="C47" s="527" t="s">
        <v>117</v>
      </c>
      <c r="D47" s="846">
        <v>1</v>
      </c>
      <c r="E47" s="848">
        <v>2</v>
      </c>
      <c r="F47" s="628">
        <v>1</v>
      </c>
      <c r="G47" s="527" t="s">
        <v>961</v>
      </c>
      <c r="H47" s="43" t="s">
        <v>1796</v>
      </c>
      <c r="I47" s="500">
        <f>30082944.64/1000</f>
        <v>30082.94464</v>
      </c>
      <c r="J47" s="500">
        <f>30082944.64/1000</f>
        <v>30082.94464</v>
      </c>
      <c r="K47" s="533">
        <f>J47/I47</f>
        <v>1</v>
      </c>
      <c r="L47" s="527" t="s">
        <v>978</v>
      </c>
      <c r="M47" s="527" t="s">
        <v>2095</v>
      </c>
      <c r="N47" s="608">
        <v>2</v>
      </c>
      <c r="O47" s="500">
        <f>30082944.64/1000</f>
        <v>30082.94464</v>
      </c>
      <c r="P47" s="500">
        <f>J47</f>
        <v>30082.94464</v>
      </c>
      <c r="Q47" s="533">
        <f>P47/O47</f>
        <v>1</v>
      </c>
      <c r="R47" s="500" t="s">
        <v>1325</v>
      </c>
      <c r="S47" s="527" t="s">
        <v>1500</v>
      </c>
    </row>
    <row r="48" spans="1:19" ht="114" customHeight="1">
      <c r="A48" s="711"/>
      <c r="B48" s="528"/>
      <c r="C48" s="528"/>
      <c r="D48" s="847"/>
      <c r="E48" s="849"/>
      <c r="F48" s="629"/>
      <c r="G48" s="528"/>
      <c r="H48" s="43" t="s">
        <v>1797</v>
      </c>
      <c r="I48" s="501"/>
      <c r="J48" s="501"/>
      <c r="K48" s="534"/>
      <c r="L48" s="528"/>
      <c r="M48" s="528"/>
      <c r="N48" s="609"/>
      <c r="O48" s="501"/>
      <c r="P48" s="501"/>
      <c r="Q48" s="534"/>
      <c r="R48" s="501"/>
      <c r="S48" s="528"/>
    </row>
    <row r="49" spans="1:19" ht="119.25" customHeight="1">
      <c r="A49" s="61" t="s">
        <v>118</v>
      </c>
      <c r="B49" s="43" t="s">
        <v>119</v>
      </c>
      <c r="C49" s="43" t="s">
        <v>120</v>
      </c>
      <c r="D49" s="195">
        <v>9</v>
      </c>
      <c r="E49" s="204">
        <v>9</v>
      </c>
      <c r="F49" s="196">
        <f>E49/D49</f>
        <v>1</v>
      </c>
      <c r="G49" s="43" t="s">
        <v>962</v>
      </c>
      <c r="H49" s="43" t="s">
        <v>1512</v>
      </c>
      <c r="I49" s="44">
        <f>49808196/1000</f>
        <v>49808.196</v>
      </c>
      <c r="J49" s="44">
        <f>49805464/1000</f>
        <v>49805.464</v>
      </c>
      <c r="K49" s="291">
        <f>J49/I49</f>
        <v>0.9999451495894369</v>
      </c>
      <c r="L49" s="340" t="s">
        <v>979</v>
      </c>
      <c r="M49" s="43" t="s">
        <v>2096</v>
      </c>
      <c r="N49" s="208">
        <v>2</v>
      </c>
      <c r="O49" s="44">
        <f>49805464/1000</f>
        <v>49805.464</v>
      </c>
      <c r="P49" s="44">
        <f>J49</f>
        <v>49805.464</v>
      </c>
      <c r="Q49" s="291">
        <f>P49/O49</f>
        <v>1</v>
      </c>
      <c r="R49" s="44" t="s">
        <v>1325</v>
      </c>
      <c r="S49" s="43" t="s">
        <v>1500</v>
      </c>
    </row>
    <row r="50" spans="1:19" ht="84" customHeight="1">
      <c r="A50" s="709" t="s">
        <v>121</v>
      </c>
      <c r="B50" s="843" t="s">
        <v>122</v>
      </c>
      <c r="C50" s="843" t="s">
        <v>123</v>
      </c>
      <c r="D50" s="850">
        <v>0.3</v>
      </c>
      <c r="E50" s="852">
        <v>0.3</v>
      </c>
      <c r="F50" s="854">
        <f>E50/D50</f>
        <v>1</v>
      </c>
      <c r="G50" s="843" t="s">
        <v>963</v>
      </c>
      <c r="H50" s="43" t="s">
        <v>1798</v>
      </c>
      <c r="I50" s="500">
        <f>35306831/1000</f>
        <v>35306.831</v>
      </c>
      <c r="J50" s="500">
        <f>35306831/1000</f>
        <v>35306.831</v>
      </c>
      <c r="K50" s="533">
        <f>J50/I50</f>
        <v>1</v>
      </c>
      <c r="L50" s="843" t="s">
        <v>980</v>
      </c>
      <c r="M50" s="843" t="s">
        <v>2097</v>
      </c>
      <c r="N50" s="608">
        <v>6</v>
      </c>
      <c r="O50" s="500">
        <f>35306831/1000</f>
        <v>35306.831</v>
      </c>
      <c r="P50" s="610">
        <f>J50</f>
        <v>35306.831</v>
      </c>
      <c r="Q50" s="533">
        <f>P50/O50</f>
        <v>1</v>
      </c>
      <c r="R50" s="500" t="s">
        <v>1325</v>
      </c>
      <c r="S50" s="527" t="s">
        <v>1500</v>
      </c>
    </row>
    <row r="51" spans="1:19" ht="81" customHeight="1">
      <c r="A51" s="711"/>
      <c r="B51" s="845"/>
      <c r="C51" s="845"/>
      <c r="D51" s="851"/>
      <c r="E51" s="853"/>
      <c r="F51" s="855"/>
      <c r="G51" s="845"/>
      <c r="H51" s="43" t="s">
        <v>1514</v>
      </c>
      <c r="I51" s="501"/>
      <c r="J51" s="501"/>
      <c r="K51" s="534"/>
      <c r="L51" s="845"/>
      <c r="M51" s="845"/>
      <c r="N51" s="609"/>
      <c r="O51" s="501"/>
      <c r="P51" s="611"/>
      <c r="Q51" s="534"/>
      <c r="R51" s="501"/>
      <c r="S51" s="528"/>
    </row>
    <row r="52" spans="1:19" ht="141.75" customHeight="1">
      <c r="A52" s="61" t="s">
        <v>124</v>
      </c>
      <c r="B52" s="43" t="s">
        <v>125</v>
      </c>
      <c r="C52" s="43" t="s">
        <v>126</v>
      </c>
      <c r="D52" s="157">
        <v>0.85</v>
      </c>
      <c r="E52" s="58">
        <v>0.85</v>
      </c>
      <c r="F52" s="196">
        <f>E52/D52</f>
        <v>1</v>
      </c>
      <c r="G52" s="527" t="s">
        <v>964</v>
      </c>
      <c r="H52" s="43" t="s">
        <v>1513</v>
      </c>
      <c r="I52" s="500">
        <f>46205464/1000</f>
        <v>46205.464</v>
      </c>
      <c r="J52" s="500">
        <f>46204998/1000</f>
        <v>46204.998</v>
      </c>
      <c r="K52" s="533">
        <f>J52/I52</f>
        <v>0.999989914612696</v>
      </c>
      <c r="L52" s="340" t="s">
        <v>981</v>
      </c>
      <c r="M52" s="43" t="s">
        <v>2098</v>
      </c>
      <c r="N52" s="608">
        <v>7</v>
      </c>
      <c r="O52" s="610">
        <f>46204998/1000</f>
        <v>46204.998</v>
      </c>
      <c r="P52" s="610">
        <f>J52</f>
        <v>46204.998</v>
      </c>
      <c r="Q52" s="752">
        <f>P52/O52</f>
        <v>1</v>
      </c>
      <c r="R52" s="604" t="s">
        <v>1325</v>
      </c>
      <c r="S52" s="527" t="s">
        <v>1500</v>
      </c>
    </row>
    <row r="53" spans="1:19" ht="66.75" customHeight="1">
      <c r="A53" s="61" t="s">
        <v>127</v>
      </c>
      <c r="B53" s="28" t="s">
        <v>128</v>
      </c>
      <c r="C53" s="28" t="s">
        <v>129</v>
      </c>
      <c r="D53" s="157">
        <v>7</v>
      </c>
      <c r="E53" s="58">
        <v>1</v>
      </c>
      <c r="F53" s="196">
        <f>E53/D53</f>
        <v>0.14285714285714285</v>
      </c>
      <c r="G53" s="538"/>
      <c r="H53" s="43" t="s">
        <v>1514</v>
      </c>
      <c r="I53" s="518"/>
      <c r="J53" s="518"/>
      <c r="K53" s="535"/>
      <c r="L53" s="340" t="s">
        <v>982</v>
      </c>
      <c r="M53" s="28" t="s">
        <v>2099</v>
      </c>
      <c r="N53" s="636"/>
      <c r="O53" s="613"/>
      <c r="P53" s="613"/>
      <c r="Q53" s="760"/>
      <c r="R53" s="634"/>
      <c r="S53" s="538"/>
    </row>
    <row r="54" spans="1:19" ht="85.5" customHeight="1">
      <c r="A54" s="61" t="s">
        <v>130</v>
      </c>
      <c r="B54" s="43" t="s">
        <v>131</v>
      </c>
      <c r="C54" s="43" t="s">
        <v>132</v>
      </c>
      <c r="D54" s="157">
        <v>3</v>
      </c>
      <c r="E54" s="58">
        <v>3</v>
      </c>
      <c r="F54" s="196">
        <f>E54/D54</f>
        <v>1</v>
      </c>
      <c r="G54" s="538"/>
      <c r="H54" s="527" t="s">
        <v>1515</v>
      </c>
      <c r="I54" s="518"/>
      <c r="J54" s="518"/>
      <c r="K54" s="535"/>
      <c r="L54" s="340" t="s">
        <v>983</v>
      </c>
      <c r="M54" s="43" t="s">
        <v>2100</v>
      </c>
      <c r="N54" s="636"/>
      <c r="O54" s="613"/>
      <c r="P54" s="613"/>
      <c r="Q54" s="760"/>
      <c r="R54" s="634"/>
      <c r="S54" s="538"/>
    </row>
    <row r="55" spans="1:19" ht="51" customHeight="1">
      <c r="A55" s="61" t="s">
        <v>133</v>
      </c>
      <c r="B55" s="43" t="s">
        <v>134</v>
      </c>
      <c r="C55" s="43" t="s">
        <v>135</v>
      </c>
      <c r="D55" s="157"/>
      <c r="E55" s="58"/>
      <c r="F55" s="196"/>
      <c r="G55" s="528"/>
      <c r="H55" s="528"/>
      <c r="I55" s="501"/>
      <c r="J55" s="501"/>
      <c r="K55" s="534"/>
      <c r="L55" s="340" t="s">
        <v>984</v>
      </c>
      <c r="M55" s="43" t="s">
        <v>2101</v>
      </c>
      <c r="N55" s="609"/>
      <c r="O55" s="611"/>
      <c r="P55" s="611"/>
      <c r="Q55" s="753"/>
      <c r="R55" s="605"/>
      <c r="S55" s="528"/>
    </row>
    <row r="56" spans="1:19" ht="154.5" customHeight="1">
      <c r="A56" s="61" t="s">
        <v>136</v>
      </c>
      <c r="B56" s="43" t="s">
        <v>137</v>
      </c>
      <c r="C56" s="43" t="s">
        <v>138</v>
      </c>
      <c r="D56" s="157">
        <v>5</v>
      </c>
      <c r="E56" s="58">
        <v>7</v>
      </c>
      <c r="F56" s="209">
        <v>1</v>
      </c>
      <c r="G56" s="527" t="s">
        <v>965</v>
      </c>
      <c r="H56" s="43" t="s">
        <v>1514</v>
      </c>
      <c r="I56" s="500">
        <f>165559588.8/1000</f>
        <v>165559.5888</v>
      </c>
      <c r="J56" s="500">
        <f>158109309/1000</f>
        <v>158109.309</v>
      </c>
      <c r="K56" s="533">
        <f>J56/I56</f>
        <v>0.954999406231915</v>
      </c>
      <c r="L56" s="340" t="s">
        <v>985</v>
      </c>
      <c r="M56" s="43" t="s">
        <v>2102</v>
      </c>
      <c r="N56" s="608">
        <v>13</v>
      </c>
      <c r="O56" s="610">
        <f>158109309/1000</f>
        <v>158109.309</v>
      </c>
      <c r="P56" s="610">
        <f>J56</f>
        <v>158109.309</v>
      </c>
      <c r="Q56" s="816">
        <f>P56/O56</f>
        <v>1</v>
      </c>
      <c r="R56" s="604" t="s">
        <v>1325</v>
      </c>
      <c r="S56" s="527" t="s">
        <v>1500</v>
      </c>
    </row>
    <row r="57" spans="1:19" ht="74.25" customHeight="1">
      <c r="A57" s="61" t="s">
        <v>139</v>
      </c>
      <c r="B57" s="43" t="s">
        <v>140</v>
      </c>
      <c r="C57" s="43" t="s">
        <v>141</v>
      </c>
      <c r="D57" s="157">
        <v>0.85</v>
      </c>
      <c r="E57" s="58">
        <v>2</v>
      </c>
      <c r="F57" s="209">
        <v>1</v>
      </c>
      <c r="G57" s="528"/>
      <c r="H57" s="43" t="s">
        <v>1516</v>
      </c>
      <c r="I57" s="501"/>
      <c r="J57" s="501"/>
      <c r="K57" s="534"/>
      <c r="L57" s="340" t="s">
        <v>986</v>
      </c>
      <c r="M57" s="43" t="s">
        <v>2103</v>
      </c>
      <c r="N57" s="609"/>
      <c r="O57" s="611"/>
      <c r="P57" s="611"/>
      <c r="Q57" s="817"/>
      <c r="R57" s="605"/>
      <c r="S57" s="528"/>
    </row>
    <row r="58" spans="1:19" s="45" customFormat="1" ht="22.5" customHeight="1">
      <c r="A58" s="519" t="s">
        <v>1093</v>
      </c>
      <c r="B58" s="521"/>
      <c r="C58" s="268"/>
      <c r="D58" s="329"/>
      <c r="E58" s="329"/>
      <c r="F58" s="312">
        <v>0.82</v>
      </c>
      <c r="G58" s="107">
        <v>17</v>
      </c>
      <c r="H58" s="28"/>
      <c r="I58" s="106">
        <f>SUM(I8:I57)</f>
        <v>3324913.25409</v>
      </c>
      <c r="J58" s="106">
        <f>SUM(J8:J57)</f>
        <v>2911235.3274399997</v>
      </c>
      <c r="K58" s="311">
        <f>J58/I58</f>
        <v>0.8755823400381553</v>
      </c>
      <c r="L58" s="28"/>
      <c r="M58" s="342"/>
      <c r="N58" s="106">
        <f>SUM(N8:N57)</f>
        <v>104</v>
      </c>
      <c r="O58" s="106">
        <f>SUM(O8:O57)</f>
        <v>2952735.3274399997</v>
      </c>
      <c r="P58" s="106">
        <f>SUM(P8:P57)</f>
        <v>2911235.3274399997</v>
      </c>
      <c r="Q58" s="297">
        <f>P58/O58</f>
        <v>0.985945235384175</v>
      </c>
      <c r="R58" s="167"/>
      <c r="S58" s="28"/>
    </row>
    <row r="59" spans="1:19" s="45" customFormat="1" ht="22.5" customHeight="1">
      <c r="A59" s="519" t="s">
        <v>6</v>
      </c>
      <c r="B59" s="521"/>
      <c r="C59" s="269"/>
      <c r="D59" s="147"/>
      <c r="E59" s="147"/>
      <c r="F59" s="147"/>
      <c r="G59" s="55"/>
      <c r="H59" s="55"/>
      <c r="I59" s="90"/>
      <c r="J59" s="90"/>
      <c r="K59" s="314"/>
      <c r="L59" s="55"/>
      <c r="M59" s="55"/>
      <c r="N59" s="55"/>
      <c r="O59" s="55"/>
      <c r="P59" s="55"/>
      <c r="Q59" s="55"/>
      <c r="R59" s="167"/>
      <c r="S59" s="55"/>
    </row>
    <row r="60" spans="1:19" s="45" customFormat="1" ht="22.5" customHeight="1">
      <c r="A60" s="549" t="s">
        <v>1713</v>
      </c>
      <c r="B60" s="614"/>
      <c r="C60" s="270"/>
      <c r="D60" s="336"/>
      <c r="E60" s="336"/>
      <c r="F60" s="336"/>
      <c r="G60" s="55"/>
      <c r="H60" s="55"/>
      <c r="I60" s="90"/>
      <c r="J60" s="90"/>
      <c r="K60" s="314"/>
      <c r="L60" s="55"/>
      <c r="M60" s="55"/>
      <c r="N60" s="55"/>
      <c r="O60" s="55"/>
      <c r="P60" s="55"/>
      <c r="Q60" s="55"/>
      <c r="R60" s="167"/>
      <c r="S60" s="55"/>
    </row>
    <row r="61" spans="1:19" ht="22.5" customHeight="1">
      <c r="A61" s="549"/>
      <c r="B61" s="614"/>
      <c r="C61" s="16"/>
      <c r="D61" s="16"/>
      <c r="E61" s="16"/>
      <c r="F61" s="16"/>
      <c r="G61" s="66"/>
      <c r="H61" s="66"/>
      <c r="I61" s="66"/>
      <c r="J61" s="66"/>
      <c r="K61" s="345"/>
      <c r="L61" s="66"/>
      <c r="M61" s="66"/>
      <c r="N61" s="66"/>
      <c r="O61" s="66"/>
      <c r="P61" s="66"/>
      <c r="Q61" s="66"/>
      <c r="R61" s="58"/>
      <c r="S61" s="66"/>
    </row>
    <row r="62" spans="1:19" ht="22.5" customHeight="1">
      <c r="A62" s="549" t="s">
        <v>7</v>
      </c>
      <c r="B62" s="614"/>
      <c r="C62" s="278" t="s">
        <v>1500</v>
      </c>
      <c r="D62" s="335"/>
      <c r="E62" s="335"/>
      <c r="F62" s="335"/>
      <c r="G62" s="101"/>
      <c r="H62" s="101"/>
      <c r="I62" s="101"/>
      <c r="J62" s="101"/>
      <c r="K62" s="346"/>
      <c r="L62" s="66"/>
      <c r="M62" s="66"/>
      <c r="N62" s="66"/>
      <c r="O62" s="66"/>
      <c r="P62" s="66"/>
      <c r="Q62" s="66"/>
      <c r="R62" s="58"/>
      <c r="S62" s="66"/>
    </row>
    <row r="66" ht="13.5" customHeight="1">
      <c r="P66" s="210"/>
    </row>
  </sheetData>
  <sheetProtection/>
  <mergeCells count="235">
    <mergeCell ref="Q50:Q51"/>
    <mergeCell ref="R50:R51"/>
    <mergeCell ref="S50:S51"/>
    <mergeCell ref="I50:I51"/>
    <mergeCell ref="J50:J51"/>
    <mergeCell ref="K50:K51"/>
    <mergeCell ref="L50:L51"/>
    <mergeCell ref="M50:M51"/>
    <mergeCell ref="R47:R48"/>
    <mergeCell ref="S47:S48"/>
    <mergeCell ref="A50:A51"/>
    <mergeCell ref="B50:B51"/>
    <mergeCell ref="C50:C51"/>
    <mergeCell ref="D50:D51"/>
    <mergeCell ref="E50:E51"/>
    <mergeCell ref="F50:F51"/>
    <mergeCell ref="O50:O51"/>
    <mergeCell ref="P50:P51"/>
    <mergeCell ref="G50:G51"/>
    <mergeCell ref="G47:G48"/>
    <mergeCell ref="I47:I48"/>
    <mergeCell ref="J47:J48"/>
    <mergeCell ref="K47:K48"/>
    <mergeCell ref="L47:L48"/>
    <mergeCell ref="M47:M48"/>
    <mergeCell ref="A47:A48"/>
    <mergeCell ref="B47:B48"/>
    <mergeCell ref="C47:C48"/>
    <mergeCell ref="D47:D48"/>
    <mergeCell ref="E47:E48"/>
    <mergeCell ref="F47:F48"/>
    <mergeCell ref="M40:M42"/>
    <mergeCell ref="R40:R42"/>
    <mergeCell ref="S40:S44"/>
    <mergeCell ref="A43:A44"/>
    <mergeCell ref="B43:B44"/>
    <mergeCell ref="C43:C44"/>
    <mergeCell ref="D43:D44"/>
    <mergeCell ref="E43:E44"/>
    <mergeCell ref="F43:F44"/>
    <mergeCell ref="G43:G44"/>
    <mergeCell ref="I40:I42"/>
    <mergeCell ref="J40:J42"/>
    <mergeCell ref="K40:K42"/>
    <mergeCell ref="L40:L42"/>
    <mergeCell ref="I43:I44"/>
    <mergeCell ref="J43:J44"/>
    <mergeCell ref="K43:K44"/>
    <mergeCell ref="L43:L44"/>
    <mergeCell ref="H37:H39"/>
    <mergeCell ref="H35:H36"/>
    <mergeCell ref="A40:A42"/>
    <mergeCell ref="B40:B42"/>
    <mergeCell ref="C40:C42"/>
    <mergeCell ref="D40:D42"/>
    <mergeCell ref="E40:E42"/>
    <mergeCell ref="F40:F42"/>
    <mergeCell ref="G40:G42"/>
    <mergeCell ref="S8:S12"/>
    <mergeCell ref="H19:H23"/>
    <mergeCell ref="H16:H18"/>
    <mergeCell ref="H26:H27"/>
    <mergeCell ref="H24:H25"/>
    <mergeCell ref="H29:H30"/>
    <mergeCell ref="N13:N14"/>
    <mergeCell ref="O13:O14"/>
    <mergeCell ref="P13:P14"/>
    <mergeCell ref="Q13:Q14"/>
    <mergeCell ref="R13:R14"/>
    <mergeCell ref="S13:S14"/>
    <mergeCell ref="G8:G12"/>
    <mergeCell ref="I13:I14"/>
    <mergeCell ref="J13:J14"/>
    <mergeCell ref="K13:K14"/>
    <mergeCell ref="L13:L14"/>
    <mergeCell ref="M13:M14"/>
    <mergeCell ref="L10:L12"/>
    <mergeCell ref="G13:G14"/>
    <mergeCell ref="A61:B61"/>
    <mergeCell ref="H54:H55"/>
    <mergeCell ref="H9:H10"/>
    <mergeCell ref="H11:H12"/>
    <mergeCell ref="A13:A14"/>
    <mergeCell ref="B13:B14"/>
    <mergeCell ref="C13:C14"/>
    <mergeCell ref="D13:D14"/>
    <mergeCell ref="E13:E14"/>
    <mergeCell ref="F13:F14"/>
    <mergeCell ref="K56:K57"/>
    <mergeCell ref="N56:N57"/>
    <mergeCell ref="O56:O57"/>
    <mergeCell ref="P56:P57"/>
    <mergeCell ref="A62:B62"/>
    <mergeCell ref="I52:I55"/>
    <mergeCell ref="J52:J55"/>
    <mergeCell ref="A58:B58"/>
    <mergeCell ref="A59:B59"/>
    <mergeCell ref="A60:B60"/>
    <mergeCell ref="Q45:Q46"/>
    <mergeCell ref="Q52:Q55"/>
    <mergeCell ref="N40:N42"/>
    <mergeCell ref="O40:O42"/>
    <mergeCell ref="Q40:Q42"/>
    <mergeCell ref="N47:N48"/>
    <mergeCell ref="O47:O48"/>
    <mergeCell ref="P47:P48"/>
    <mergeCell ref="N50:N51"/>
    <mergeCell ref="Q47:Q48"/>
    <mergeCell ref="I45:I46"/>
    <mergeCell ref="J45:J46"/>
    <mergeCell ref="K45:K46"/>
    <mergeCell ref="N45:N46"/>
    <mergeCell ref="O45:O46"/>
    <mergeCell ref="P45:P46"/>
    <mergeCell ref="R28:R30"/>
    <mergeCell ref="I31:I32"/>
    <mergeCell ref="J31:J32"/>
    <mergeCell ref="K31:K32"/>
    <mergeCell ref="L31:L32"/>
    <mergeCell ref="N31:N32"/>
    <mergeCell ref="O31:O32"/>
    <mergeCell ref="P31:P32"/>
    <mergeCell ref="Q31:Q32"/>
    <mergeCell ref="K28:K30"/>
    <mergeCell ref="Q24:Q27"/>
    <mergeCell ref="R24:R27"/>
    <mergeCell ref="O28:O30"/>
    <mergeCell ref="P28:P30"/>
    <mergeCell ref="Q28:Q30"/>
    <mergeCell ref="I33:I34"/>
    <mergeCell ref="J33:J34"/>
    <mergeCell ref="K33:K34"/>
    <mergeCell ref="N33:N34"/>
    <mergeCell ref="O33:O34"/>
    <mergeCell ref="I28:I30"/>
    <mergeCell ref="J28:J30"/>
    <mergeCell ref="K24:K27"/>
    <mergeCell ref="N24:N27"/>
    <mergeCell ref="O24:O27"/>
    <mergeCell ref="P24:P27"/>
    <mergeCell ref="G56:G57"/>
    <mergeCell ref="R56:R57"/>
    <mergeCell ref="G52:G55"/>
    <mergeCell ref="K52:K55"/>
    <mergeCell ref="N52:N55"/>
    <mergeCell ref="O52:O55"/>
    <mergeCell ref="P52:P55"/>
    <mergeCell ref="Q56:Q57"/>
    <mergeCell ref="I56:I57"/>
    <mergeCell ref="J56:J57"/>
    <mergeCell ref="R16:R23"/>
    <mergeCell ref="G24:G27"/>
    <mergeCell ref="L16:L17"/>
    <mergeCell ref="L18:L20"/>
    <mergeCell ref="N16:N23"/>
    <mergeCell ref="R52:R55"/>
    <mergeCell ref="I16:I23"/>
    <mergeCell ref="J16:J23"/>
    <mergeCell ref="I24:I27"/>
    <mergeCell ref="J24:J27"/>
    <mergeCell ref="R33:R34"/>
    <mergeCell ref="P33:P34"/>
    <mergeCell ref="Q33:Q34"/>
    <mergeCell ref="I35:I39"/>
    <mergeCell ref="J35:J39"/>
    <mergeCell ref="L35:L36"/>
    <mergeCell ref="P35:P39"/>
    <mergeCell ref="Q35:Q39"/>
    <mergeCell ref="N35:N39"/>
    <mergeCell ref="O35:O39"/>
    <mergeCell ref="G45:G46"/>
    <mergeCell ref="G28:G30"/>
    <mergeCell ref="O16:O23"/>
    <mergeCell ref="P16:P23"/>
    <mergeCell ref="L24:L25"/>
    <mergeCell ref="G33:G34"/>
    <mergeCell ref="K16:K23"/>
    <mergeCell ref="G16:G23"/>
    <mergeCell ref="G31:G32"/>
    <mergeCell ref="G35:G39"/>
    <mergeCell ref="A6:A7"/>
    <mergeCell ref="B6:B7"/>
    <mergeCell ref="C6:C7"/>
    <mergeCell ref="G6:G7"/>
    <mergeCell ref="D6:D7"/>
    <mergeCell ref="E6:E7"/>
    <mergeCell ref="F6:F7"/>
    <mergeCell ref="A2:S2"/>
    <mergeCell ref="A5:C5"/>
    <mergeCell ref="G5:L5"/>
    <mergeCell ref="A3:S3"/>
    <mergeCell ref="A4:G4"/>
    <mergeCell ref="H4:L4"/>
    <mergeCell ref="M4:O4"/>
    <mergeCell ref="P4:S4"/>
    <mergeCell ref="M5:R5"/>
    <mergeCell ref="S5:S7"/>
    <mergeCell ref="S56:S57"/>
    <mergeCell ref="S16:S23"/>
    <mergeCell ref="S24:S27"/>
    <mergeCell ref="S28:S30"/>
    <mergeCell ref="S31:S32"/>
    <mergeCell ref="S33:S34"/>
    <mergeCell ref="S35:S39"/>
    <mergeCell ref="S45:S46"/>
    <mergeCell ref="S52:S55"/>
    <mergeCell ref="R45:R46"/>
    <mergeCell ref="R35:R39"/>
    <mergeCell ref="R8:R12"/>
    <mergeCell ref="L21:L23"/>
    <mergeCell ref="L37:L38"/>
    <mergeCell ref="Q16:Q23"/>
    <mergeCell ref="Q8:Q12"/>
    <mergeCell ref="R31:R32"/>
    <mergeCell ref="N28:N30"/>
    <mergeCell ref="P40:P42"/>
    <mergeCell ref="H6:H7"/>
    <mergeCell ref="I6:I7"/>
    <mergeCell ref="J6:J7"/>
    <mergeCell ref="K6:K7"/>
    <mergeCell ref="O6:O7"/>
    <mergeCell ref="P6:P7"/>
    <mergeCell ref="L6:L7"/>
    <mergeCell ref="M6:M7"/>
    <mergeCell ref="N6:N7"/>
    <mergeCell ref="M43:M44"/>
    <mergeCell ref="Q6:Q7"/>
    <mergeCell ref="R6:R7"/>
    <mergeCell ref="I8:I12"/>
    <mergeCell ref="J8:J12"/>
    <mergeCell ref="K8:K12"/>
    <mergeCell ref="N8:N12"/>
    <mergeCell ref="O8:O12"/>
    <mergeCell ref="P8:P12"/>
    <mergeCell ref="K35:K39"/>
  </mergeCells>
  <printOptions/>
  <pageMargins left="1.299212598425197" right="0.31496062992125984" top="0.7480314960629921" bottom="0.7480314960629921" header="0.31496062992125984" footer="0.31496062992125984"/>
  <pageSetup horizontalDpi="600" verticalDpi="600" orientation="landscape" paperSize="5" scale="65" r:id="rId3"/>
  <headerFooter>
    <oddFooter>&amp;CPágina &amp;P</oddFooter>
  </headerFooter>
  <legacyDrawing r:id="rId2"/>
</worksheet>
</file>

<file path=xl/worksheets/sheet8.xml><?xml version="1.0" encoding="utf-8"?>
<worksheet xmlns="http://schemas.openxmlformats.org/spreadsheetml/2006/main" xmlns:r="http://schemas.openxmlformats.org/officeDocument/2006/relationships">
  <dimension ref="A1:S104"/>
  <sheetViews>
    <sheetView zoomScale="60" zoomScaleNormal="60" zoomScalePageLayoutView="0" workbookViewId="0" topLeftCell="A89">
      <selection activeCell="F99" sqref="F99"/>
    </sheetView>
  </sheetViews>
  <sheetFormatPr defaultColWidth="10.7109375" defaultRowHeight="15"/>
  <cols>
    <col min="1" max="1" width="24.28125" style="45" customWidth="1"/>
    <col min="2" max="2" width="45.140625" style="45" customWidth="1"/>
    <col min="3" max="3" width="28.28125" style="45" customWidth="1"/>
    <col min="4" max="4" width="17.7109375" style="45" customWidth="1"/>
    <col min="5" max="5" width="17.00390625" style="45" customWidth="1"/>
    <col min="6" max="6" width="19.00390625" style="45" customWidth="1"/>
    <col min="7" max="7" width="31.421875" style="45" customWidth="1"/>
    <col min="8" max="8" width="35.57421875" style="45" customWidth="1"/>
    <col min="9" max="9" width="20.140625" style="45" customWidth="1"/>
    <col min="10" max="10" width="17.28125" style="45" customWidth="1"/>
    <col min="11" max="11" width="17.7109375" style="321" customWidth="1"/>
    <col min="12" max="13" width="34.7109375" style="45" customWidth="1"/>
    <col min="14" max="14" width="18.28125" style="45" customWidth="1"/>
    <col min="15" max="15" width="20.7109375" style="45" customWidth="1"/>
    <col min="16" max="16" width="19.57421875" style="45" customWidth="1"/>
    <col min="17" max="17" width="16.7109375" style="321" customWidth="1"/>
    <col min="18" max="18" width="17.00390625" style="11" customWidth="1"/>
    <col min="19" max="19" width="27.140625" style="45" customWidth="1"/>
    <col min="20" max="16384" width="10.7109375" style="45" customWidth="1"/>
  </cols>
  <sheetData>
    <row r="1" spans="11:18" s="46" customFormat="1" ht="26.25" customHeight="1" thickBot="1">
      <c r="K1" s="313"/>
      <c r="Q1" s="313"/>
      <c r="R1" s="62"/>
    </row>
    <row r="2" spans="1:19" s="253" customFormat="1" ht="24" customHeight="1" thickBot="1">
      <c r="A2" s="505" t="s">
        <v>8</v>
      </c>
      <c r="B2" s="506"/>
      <c r="C2" s="506"/>
      <c r="D2" s="506"/>
      <c r="E2" s="506"/>
      <c r="F2" s="506"/>
      <c r="G2" s="506"/>
      <c r="H2" s="506"/>
      <c r="I2" s="506"/>
      <c r="J2" s="506"/>
      <c r="K2" s="506"/>
      <c r="L2" s="506"/>
      <c r="M2" s="506"/>
      <c r="N2" s="506"/>
      <c r="O2" s="506"/>
      <c r="P2" s="506"/>
      <c r="Q2" s="506"/>
      <c r="R2" s="506"/>
      <c r="S2" s="507"/>
    </row>
    <row r="3" spans="1:19" s="253" customFormat="1" ht="29.25" customHeight="1" thickBot="1">
      <c r="A3" s="508" t="s">
        <v>1683</v>
      </c>
      <c r="B3" s="509"/>
      <c r="C3" s="509"/>
      <c r="D3" s="509"/>
      <c r="E3" s="509"/>
      <c r="F3" s="509"/>
      <c r="G3" s="509"/>
      <c r="H3" s="509"/>
      <c r="I3" s="509"/>
      <c r="J3" s="509"/>
      <c r="K3" s="509"/>
      <c r="L3" s="509"/>
      <c r="M3" s="509"/>
      <c r="N3" s="509"/>
      <c r="O3" s="509"/>
      <c r="P3" s="509"/>
      <c r="Q3" s="509"/>
      <c r="R3" s="509"/>
      <c r="S3" s="510"/>
    </row>
    <row r="4" spans="1:19" s="26" customFormat="1" ht="21" customHeight="1">
      <c r="A4" s="880" t="s">
        <v>505</v>
      </c>
      <c r="B4" s="881"/>
      <c r="C4" s="881"/>
      <c r="D4" s="881"/>
      <c r="E4" s="881"/>
      <c r="F4" s="881"/>
      <c r="G4" s="881"/>
      <c r="H4" s="684" t="s">
        <v>1721</v>
      </c>
      <c r="I4" s="684"/>
      <c r="J4" s="684"/>
      <c r="K4" s="684"/>
      <c r="L4" s="684"/>
      <c r="M4" s="666" t="s">
        <v>1183</v>
      </c>
      <c r="N4" s="667"/>
      <c r="O4" s="668"/>
      <c r="P4" s="666" t="s">
        <v>1497</v>
      </c>
      <c r="Q4" s="667"/>
      <c r="R4" s="667"/>
      <c r="S4" s="668"/>
    </row>
    <row r="5" spans="1:19" s="26" customFormat="1" ht="21" customHeight="1">
      <c r="A5" s="880" t="s">
        <v>0</v>
      </c>
      <c r="B5" s="881"/>
      <c r="C5" s="881"/>
      <c r="D5" s="881"/>
      <c r="E5" s="881"/>
      <c r="F5" s="882"/>
      <c r="G5" s="883" t="s">
        <v>1</v>
      </c>
      <c r="H5" s="883"/>
      <c r="I5" s="883"/>
      <c r="J5" s="883"/>
      <c r="K5" s="883"/>
      <c r="L5" s="883"/>
      <c r="M5" s="883"/>
      <c r="N5" s="883" t="s">
        <v>1187</v>
      </c>
      <c r="O5" s="883"/>
      <c r="P5" s="883"/>
      <c r="Q5" s="883"/>
      <c r="R5" s="883"/>
      <c r="S5" s="877" t="s">
        <v>1685</v>
      </c>
    </row>
    <row r="6" spans="1:19" s="26" customFormat="1" ht="28.5" customHeight="1">
      <c r="A6" s="669" t="s">
        <v>2</v>
      </c>
      <c r="B6" s="669" t="s">
        <v>4</v>
      </c>
      <c r="C6" s="669" t="s">
        <v>3</v>
      </c>
      <c r="D6" s="669" t="s">
        <v>1116</v>
      </c>
      <c r="E6" s="669" t="s">
        <v>1117</v>
      </c>
      <c r="F6" s="669" t="s">
        <v>1118</v>
      </c>
      <c r="G6" s="669" t="s">
        <v>1186</v>
      </c>
      <c r="H6" s="669" t="s">
        <v>9</v>
      </c>
      <c r="I6" s="693" t="s">
        <v>1180</v>
      </c>
      <c r="J6" s="693" t="s">
        <v>1181</v>
      </c>
      <c r="K6" s="695" t="s">
        <v>1103</v>
      </c>
      <c r="L6" s="682" t="s">
        <v>1637</v>
      </c>
      <c r="M6" s="669" t="s">
        <v>1914</v>
      </c>
      <c r="N6" s="669" t="s">
        <v>1115</v>
      </c>
      <c r="O6" s="669" t="s">
        <v>1119</v>
      </c>
      <c r="P6" s="669" t="s">
        <v>1120</v>
      </c>
      <c r="Q6" s="671" t="s">
        <v>1185</v>
      </c>
      <c r="R6" s="669" t="s">
        <v>924</v>
      </c>
      <c r="S6" s="878"/>
    </row>
    <row r="7" spans="1:19" s="26" customFormat="1" ht="30" customHeight="1">
      <c r="A7" s="670"/>
      <c r="B7" s="670"/>
      <c r="C7" s="670"/>
      <c r="D7" s="670"/>
      <c r="E7" s="670"/>
      <c r="F7" s="670"/>
      <c r="G7" s="670"/>
      <c r="H7" s="670"/>
      <c r="I7" s="694"/>
      <c r="J7" s="694"/>
      <c r="K7" s="696"/>
      <c r="L7" s="683"/>
      <c r="M7" s="670"/>
      <c r="N7" s="670"/>
      <c r="O7" s="670"/>
      <c r="P7" s="670"/>
      <c r="Q7" s="672"/>
      <c r="R7" s="670"/>
      <c r="S7" s="879"/>
    </row>
    <row r="8" spans="1:19" s="26" customFormat="1" ht="60" customHeight="1">
      <c r="A8" s="709" t="s">
        <v>1352</v>
      </c>
      <c r="B8" s="884" t="s">
        <v>1350</v>
      </c>
      <c r="C8" s="884" t="s">
        <v>1351</v>
      </c>
      <c r="D8" s="909">
        <v>0.3</v>
      </c>
      <c r="E8" s="909">
        <v>0.3</v>
      </c>
      <c r="F8" s="866">
        <v>1</v>
      </c>
      <c r="G8" s="884" t="s">
        <v>1353</v>
      </c>
      <c r="H8" s="324" t="s">
        <v>1264</v>
      </c>
      <c r="I8" s="912">
        <f>238002423/1000</f>
        <v>238002.423</v>
      </c>
      <c r="J8" s="511">
        <f>201626423/1000</f>
        <v>201626.423</v>
      </c>
      <c r="K8" s="871">
        <f>J8/I8</f>
        <v>0.8471612198670767</v>
      </c>
      <c r="L8" s="884" t="s">
        <v>506</v>
      </c>
      <c r="M8" s="884" t="s">
        <v>2104</v>
      </c>
      <c r="N8" s="736">
        <v>16</v>
      </c>
      <c r="O8" s="511">
        <f>214002423/1000</f>
        <v>214002.423</v>
      </c>
      <c r="P8" s="730">
        <f>J8</f>
        <v>201626.423</v>
      </c>
      <c r="Q8" s="732">
        <f>P8/O8</f>
        <v>0.9421688790878784</v>
      </c>
      <c r="R8" s="862" t="s">
        <v>1325</v>
      </c>
      <c r="S8" s="567" t="s">
        <v>2231</v>
      </c>
    </row>
    <row r="9" spans="1:19" s="26" customFormat="1" ht="48.75" customHeight="1">
      <c r="A9" s="710"/>
      <c r="B9" s="885"/>
      <c r="C9" s="885"/>
      <c r="D9" s="910">
        <v>0.3</v>
      </c>
      <c r="E9" s="910">
        <v>0.3</v>
      </c>
      <c r="F9" s="891">
        <v>1</v>
      </c>
      <c r="G9" s="885"/>
      <c r="H9" s="324" t="s">
        <v>1726</v>
      </c>
      <c r="I9" s="913"/>
      <c r="J9" s="915"/>
      <c r="K9" s="872"/>
      <c r="L9" s="885"/>
      <c r="M9" s="885"/>
      <c r="N9" s="743"/>
      <c r="O9" s="915"/>
      <c r="P9" s="751"/>
      <c r="Q9" s="744"/>
      <c r="R9" s="863"/>
      <c r="S9" s="908"/>
    </row>
    <row r="10" spans="1:19" s="26" customFormat="1" ht="66.75" customHeight="1">
      <c r="A10" s="710"/>
      <c r="B10" s="885"/>
      <c r="C10" s="885"/>
      <c r="D10" s="910">
        <v>0.3</v>
      </c>
      <c r="E10" s="910">
        <v>0.3</v>
      </c>
      <c r="F10" s="891">
        <v>1</v>
      </c>
      <c r="G10" s="885"/>
      <c r="H10" s="324" t="s">
        <v>1354</v>
      </c>
      <c r="I10" s="913"/>
      <c r="J10" s="915"/>
      <c r="K10" s="872"/>
      <c r="L10" s="885"/>
      <c r="M10" s="885"/>
      <c r="N10" s="743"/>
      <c r="O10" s="915"/>
      <c r="P10" s="751"/>
      <c r="Q10" s="744"/>
      <c r="R10" s="863"/>
      <c r="S10" s="908"/>
    </row>
    <row r="11" spans="1:19" s="32" customFormat="1" ht="48" customHeight="1">
      <c r="A11" s="711"/>
      <c r="B11" s="886"/>
      <c r="C11" s="886"/>
      <c r="D11" s="911">
        <v>0.3</v>
      </c>
      <c r="E11" s="911">
        <v>0.3</v>
      </c>
      <c r="F11" s="867">
        <v>1</v>
      </c>
      <c r="G11" s="886"/>
      <c r="H11" s="299" t="s">
        <v>1727</v>
      </c>
      <c r="I11" s="914"/>
      <c r="J11" s="512"/>
      <c r="K11" s="873"/>
      <c r="L11" s="886"/>
      <c r="M11" s="886"/>
      <c r="N11" s="737"/>
      <c r="O11" s="512"/>
      <c r="P11" s="731"/>
      <c r="Q11" s="733"/>
      <c r="R11" s="864"/>
      <c r="S11" s="568"/>
    </row>
    <row r="12" spans="1:19" s="32" customFormat="1" ht="39" customHeight="1">
      <c r="A12" s="709" t="s">
        <v>1360</v>
      </c>
      <c r="B12" s="884" t="s">
        <v>385</v>
      </c>
      <c r="C12" s="884" t="s">
        <v>1359</v>
      </c>
      <c r="D12" s="909">
        <v>0.4</v>
      </c>
      <c r="E12" s="909">
        <v>0.4</v>
      </c>
      <c r="F12" s="866">
        <v>1</v>
      </c>
      <c r="G12" s="884" t="s">
        <v>1357</v>
      </c>
      <c r="H12" s="299" t="s">
        <v>1728</v>
      </c>
      <c r="I12" s="912">
        <f>65429913/1000</f>
        <v>65429.913</v>
      </c>
      <c r="J12" s="511">
        <f>65429913/1000</f>
        <v>65429.913</v>
      </c>
      <c r="K12" s="871">
        <f>J12/I12</f>
        <v>1</v>
      </c>
      <c r="L12" s="709"/>
      <c r="M12" s="884" t="s">
        <v>2105</v>
      </c>
      <c r="N12" s="736">
        <v>11</v>
      </c>
      <c r="O12" s="730">
        <f>65429913/1000</f>
        <v>65429.913</v>
      </c>
      <c r="P12" s="730">
        <f>J12</f>
        <v>65429.913</v>
      </c>
      <c r="Q12" s="732">
        <f>P12/O12</f>
        <v>1</v>
      </c>
      <c r="R12" s="862" t="s">
        <v>1325</v>
      </c>
      <c r="S12" s="567" t="s">
        <v>2231</v>
      </c>
    </row>
    <row r="13" spans="1:19" s="32" customFormat="1" ht="49.5" customHeight="1">
      <c r="A13" s="710"/>
      <c r="B13" s="885"/>
      <c r="C13" s="885"/>
      <c r="D13" s="910">
        <v>0.4</v>
      </c>
      <c r="E13" s="910">
        <v>0.4</v>
      </c>
      <c r="F13" s="891">
        <v>1</v>
      </c>
      <c r="G13" s="885"/>
      <c r="H13" s="299" t="s">
        <v>1729</v>
      </c>
      <c r="I13" s="913"/>
      <c r="J13" s="915"/>
      <c r="K13" s="872"/>
      <c r="L13" s="710"/>
      <c r="M13" s="885"/>
      <c r="N13" s="743"/>
      <c r="O13" s="751"/>
      <c r="P13" s="751"/>
      <c r="Q13" s="744"/>
      <c r="R13" s="863"/>
      <c r="S13" s="908"/>
    </row>
    <row r="14" spans="1:19" s="32" customFormat="1" ht="45" customHeight="1">
      <c r="A14" s="711"/>
      <c r="B14" s="886"/>
      <c r="C14" s="886"/>
      <c r="D14" s="911">
        <v>0.4</v>
      </c>
      <c r="E14" s="911">
        <v>0.4</v>
      </c>
      <c r="F14" s="867">
        <v>1</v>
      </c>
      <c r="G14" s="886"/>
      <c r="H14" s="142" t="s">
        <v>1730</v>
      </c>
      <c r="I14" s="914"/>
      <c r="J14" s="512"/>
      <c r="K14" s="873"/>
      <c r="L14" s="711"/>
      <c r="M14" s="886"/>
      <c r="N14" s="737"/>
      <c r="O14" s="731"/>
      <c r="P14" s="731"/>
      <c r="Q14" s="733"/>
      <c r="R14" s="864"/>
      <c r="S14" s="568"/>
    </row>
    <row r="15" spans="1:19" s="32" customFormat="1" ht="45" customHeight="1">
      <c r="A15" s="709" t="s">
        <v>1355</v>
      </c>
      <c r="B15" s="884" t="s">
        <v>386</v>
      </c>
      <c r="C15" s="884" t="s">
        <v>387</v>
      </c>
      <c r="D15" s="916">
        <v>2</v>
      </c>
      <c r="E15" s="916">
        <v>2</v>
      </c>
      <c r="F15" s="866">
        <f>E15/D15</f>
        <v>1</v>
      </c>
      <c r="G15" s="884" t="s">
        <v>1361</v>
      </c>
      <c r="H15" s="299" t="s">
        <v>1731</v>
      </c>
      <c r="I15" s="730">
        <f>60597421/1000</f>
        <v>60597.421</v>
      </c>
      <c r="J15" s="730">
        <f>60577421/1000</f>
        <v>60577.421</v>
      </c>
      <c r="K15" s="922">
        <f>J15/I15</f>
        <v>0.999669952950638</v>
      </c>
      <c r="L15" s="884" t="s">
        <v>507</v>
      </c>
      <c r="M15" s="884" t="s">
        <v>2106</v>
      </c>
      <c r="N15" s="736">
        <v>9</v>
      </c>
      <c r="O15" s="730">
        <f>60577421/1000</f>
        <v>60577.421</v>
      </c>
      <c r="P15" s="730">
        <f>J15</f>
        <v>60577.421</v>
      </c>
      <c r="Q15" s="732">
        <f>P15/O15</f>
        <v>1</v>
      </c>
      <c r="R15" s="736" t="s">
        <v>1325</v>
      </c>
      <c r="S15" s="567" t="s">
        <v>2231</v>
      </c>
    </row>
    <row r="16" spans="1:19" s="32" customFormat="1" ht="53.25" customHeight="1">
      <c r="A16" s="710"/>
      <c r="B16" s="885"/>
      <c r="C16" s="885"/>
      <c r="D16" s="917"/>
      <c r="E16" s="917"/>
      <c r="F16" s="891"/>
      <c r="G16" s="885"/>
      <c r="H16" s="7" t="s">
        <v>1733</v>
      </c>
      <c r="I16" s="751"/>
      <c r="J16" s="751"/>
      <c r="K16" s="923"/>
      <c r="L16" s="885"/>
      <c r="M16" s="885"/>
      <c r="N16" s="743"/>
      <c r="O16" s="751"/>
      <c r="P16" s="751"/>
      <c r="Q16" s="744"/>
      <c r="R16" s="743"/>
      <c r="S16" s="908"/>
    </row>
    <row r="17" spans="1:19" s="32" customFormat="1" ht="40.5" customHeight="1">
      <c r="A17" s="711"/>
      <c r="B17" s="886"/>
      <c r="C17" s="886"/>
      <c r="D17" s="918"/>
      <c r="E17" s="918"/>
      <c r="F17" s="867"/>
      <c r="G17" s="885"/>
      <c r="H17" s="299" t="s">
        <v>1358</v>
      </c>
      <c r="I17" s="751"/>
      <c r="J17" s="751"/>
      <c r="K17" s="923"/>
      <c r="L17" s="885"/>
      <c r="M17" s="886"/>
      <c r="N17" s="743"/>
      <c r="O17" s="751"/>
      <c r="P17" s="751"/>
      <c r="Q17" s="744"/>
      <c r="R17" s="743"/>
      <c r="S17" s="908"/>
    </row>
    <row r="18" spans="1:19" s="32" customFormat="1" ht="87" customHeight="1">
      <c r="A18" s="61" t="s">
        <v>1356</v>
      </c>
      <c r="B18" s="7" t="s">
        <v>388</v>
      </c>
      <c r="C18" s="183" t="s">
        <v>188</v>
      </c>
      <c r="D18" s="184">
        <v>2</v>
      </c>
      <c r="E18" s="189">
        <v>1</v>
      </c>
      <c r="F18" s="185">
        <f>E18/D18</f>
        <v>0.5</v>
      </c>
      <c r="G18" s="886"/>
      <c r="H18" s="142" t="s">
        <v>1732</v>
      </c>
      <c r="I18" s="731"/>
      <c r="J18" s="731"/>
      <c r="K18" s="924"/>
      <c r="L18" s="886"/>
      <c r="M18" s="7" t="s">
        <v>2107</v>
      </c>
      <c r="N18" s="737"/>
      <c r="O18" s="731"/>
      <c r="P18" s="731"/>
      <c r="Q18" s="733"/>
      <c r="R18" s="737"/>
      <c r="S18" s="568"/>
    </row>
    <row r="19" spans="1:19" s="32" customFormat="1" ht="83.25" customHeight="1">
      <c r="A19" s="61" t="s">
        <v>1363</v>
      </c>
      <c r="B19" s="67" t="s">
        <v>389</v>
      </c>
      <c r="C19" s="67" t="s">
        <v>390</v>
      </c>
      <c r="D19" s="186">
        <v>1</v>
      </c>
      <c r="E19" s="186">
        <v>1</v>
      </c>
      <c r="F19" s="185">
        <f>E19/D19</f>
        <v>1</v>
      </c>
      <c r="G19" s="895" t="s">
        <v>1362</v>
      </c>
      <c r="H19" s="142" t="s">
        <v>1365</v>
      </c>
      <c r="I19" s="874">
        <f>80728667/1000</f>
        <v>80728.667</v>
      </c>
      <c r="J19" s="887">
        <f>76728667/1000</f>
        <v>76728.667</v>
      </c>
      <c r="K19" s="871">
        <f>J19/I19</f>
        <v>0.9504513062255816</v>
      </c>
      <c r="L19" s="857" t="s">
        <v>508</v>
      </c>
      <c r="M19" s="67" t="s">
        <v>389</v>
      </c>
      <c r="N19" s="736">
        <v>13</v>
      </c>
      <c r="O19" s="730">
        <f>80728667/1000</f>
        <v>80728.667</v>
      </c>
      <c r="P19" s="730">
        <f>J19</f>
        <v>76728.667</v>
      </c>
      <c r="Q19" s="732">
        <f>P19/O19</f>
        <v>0.9504513062255816</v>
      </c>
      <c r="R19" s="736" t="s">
        <v>1325</v>
      </c>
      <c r="S19" s="567" t="s">
        <v>2231</v>
      </c>
    </row>
    <row r="20" spans="1:19" s="32" customFormat="1" ht="30" customHeight="1">
      <c r="A20" s="709" t="s">
        <v>1364</v>
      </c>
      <c r="B20" s="857" t="s">
        <v>509</v>
      </c>
      <c r="C20" s="857" t="s">
        <v>391</v>
      </c>
      <c r="D20" s="928">
        <v>12</v>
      </c>
      <c r="E20" s="931">
        <v>12</v>
      </c>
      <c r="F20" s="866">
        <v>1</v>
      </c>
      <c r="G20" s="897"/>
      <c r="H20" s="341" t="s">
        <v>1761</v>
      </c>
      <c r="I20" s="875"/>
      <c r="J20" s="888"/>
      <c r="K20" s="872"/>
      <c r="L20" s="865"/>
      <c r="M20" s="857" t="s">
        <v>2108</v>
      </c>
      <c r="N20" s="743"/>
      <c r="O20" s="751"/>
      <c r="P20" s="751"/>
      <c r="Q20" s="744"/>
      <c r="R20" s="743"/>
      <c r="S20" s="908"/>
    </row>
    <row r="21" spans="1:19" s="32" customFormat="1" ht="69" customHeight="1">
      <c r="A21" s="711"/>
      <c r="B21" s="858"/>
      <c r="C21" s="858"/>
      <c r="D21" s="929"/>
      <c r="E21" s="932"/>
      <c r="F21" s="867"/>
      <c r="G21" s="898"/>
      <c r="H21" s="142" t="s">
        <v>1762</v>
      </c>
      <c r="I21" s="876"/>
      <c r="J21" s="889"/>
      <c r="K21" s="873"/>
      <c r="L21" s="858"/>
      <c r="M21" s="858"/>
      <c r="N21" s="737"/>
      <c r="O21" s="731"/>
      <c r="P21" s="731"/>
      <c r="Q21" s="733"/>
      <c r="R21" s="737"/>
      <c r="S21" s="568"/>
    </row>
    <row r="22" spans="1:19" s="32" customFormat="1" ht="29.25" customHeight="1">
      <c r="A22" s="709" t="s">
        <v>1367</v>
      </c>
      <c r="B22" s="857" t="s">
        <v>392</v>
      </c>
      <c r="C22" s="857" t="s">
        <v>393</v>
      </c>
      <c r="D22" s="862">
        <v>12</v>
      </c>
      <c r="E22" s="862">
        <v>12</v>
      </c>
      <c r="F22" s="866">
        <f>E22/D22</f>
        <v>1</v>
      </c>
      <c r="G22" s="857" t="s">
        <v>1366</v>
      </c>
      <c r="H22" s="341" t="s">
        <v>1358</v>
      </c>
      <c r="I22" s="874">
        <f>42583472/1000</f>
        <v>42583.472</v>
      </c>
      <c r="J22" s="887">
        <f>37583472/1000</f>
        <v>37583.472</v>
      </c>
      <c r="K22" s="871">
        <f>J22/I22</f>
        <v>0.882583552604635</v>
      </c>
      <c r="L22" s="857" t="s">
        <v>510</v>
      </c>
      <c r="M22" s="857" t="s">
        <v>2109</v>
      </c>
      <c r="N22" s="736">
        <v>12</v>
      </c>
      <c r="O22" s="730">
        <f>42583472/1000</f>
        <v>42583.472</v>
      </c>
      <c r="P22" s="730">
        <f>J22</f>
        <v>37583.472</v>
      </c>
      <c r="Q22" s="732">
        <f>P22/O22</f>
        <v>0.882583552604635</v>
      </c>
      <c r="R22" s="736" t="s">
        <v>1325</v>
      </c>
      <c r="S22" s="933" t="s">
        <v>2231</v>
      </c>
    </row>
    <row r="23" spans="1:19" s="32" customFormat="1" ht="54.75" customHeight="1">
      <c r="A23" s="711"/>
      <c r="B23" s="858"/>
      <c r="C23" s="858"/>
      <c r="D23" s="930">
        <v>0.3</v>
      </c>
      <c r="E23" s="930">
        <v>0.3</v>
      </c>
      <c r="F23" s="867"/>
      <c r="G23" s="865"/>
      <c r="H23" s="142" t="s">
        <v>1763</v>
      </c>
      <c r="I23" s="875"/>
      <c r="J23" s="888"/>
      <c r="K23" s="872"/>
      <c r="L23" s="865"/>
      <c r="M23" s="858"/>
      <c r="N23" s="743"/>
      <c r="O23" s="751"/>
      <c r="P23" s="751"/>
      <c r="Q23" s="744"/>
      <c r="R23" s="743"/>
      <c r="S23" s="934"/>
    </row>
    <row r="24" spans="1:19" s="32" customFormat="1" ht="27" customHeight="1">
      <c r="A24" s="709" t="s">
        <v>1368</v>
      </c>
      <c r="B24" s="857" t="s">
        <v>394</v>
      </c>
      <c r="C24" s="857" t="s">
        <v>395</v>
      </c>
      <c r="D24" s="909">
        <v>0.3</v>
      </c>
      <c r="E24" s="909">
        <v>0.3</v>
      </c>
      <c r="F24" s="866">
        <v>1</v>
      </c>
      <c r="G24" s="865"/>
      <c r="H24" s="341" t="s">
        <v>1354</v>
      </c>
      <c r="I24" s="875"/>
      <c r="J24" s="888"/>
      <c r="K24" s="872"/>
      <c r="L24" s="865"/>
      <c r="M24" s="857" t="s">
        <v>2110</v>
      </c>
      <c r="N24" s="743"/>
      <c r="O24" s="751"/>
      <c r="P24" s="751"/>
      <c r="Q24" s="744"/>
      <c r="R24" s="743"/>
      <c r="S24" s="934"/>
    </row>
    <row r="25" spans="1:19" s="32" customFormat="1" ht="154.5" customHeight="1">
      <c r="A25" s="711"/>
      <c r="B25" s="858"/>
      <c r="C25" s="858"/>
      <c r="D25" s="911">
        <v>0.3</v>
      </c>
      <c r="E25" s="911">
        <v>0.3</v>
      </c>
      <c r="F25" s="867">
        <v>1</v>
      </c>
      <c r="G25" s="858"/>
      <c r="H25" s="142" t="s">
        <v>1764</v>
      </c>
      <c r="I25" s="876"/>
      <c r="J25" s="889"/>
      <c r="K25" s="873"/>
      <c r="L25" s="858"/>
      <c r="M25" s="858"/>
      <c r="N25" s="737"/>
      <c r="O25" s="731"/>
      <c r="P25" s="731"/>
      <c r="Q25" s="733"/>
      <c r="R25" s="737"/>
      <c r="S25" s="935"/>
    </row>
    <row r="26" spans="1:19" s="32" customFormat="1" ht="122.25" customHeight="1">
      <c r="A26" s="61" t="s">
        <v>1371</v>
      </c>
      <c r="B26" s="67" t="s">
        <v>396</v>
      </c>
      <c r="C26" s="67" t="s">
        <v>397</v>
      </c>
      <c r="D26" s="192">
        <v>1</v>
      </c>
      <c r="E26" s="187">
        <v>0.3</v>
      </c>
      <c r="F26" s="188">
        <v>0.3</v>
      </c>
      <c r="G26" s="134" t="s">
        <v>1369</v>
      </c>
      <c r="H26" s="142" t="s">
        <v>1370</v>
      </c>
      <c r="I26" s="191">
        <f>30681055.2/1000</f>
        <v>30681.0552</v>
      </c>
      <c r="J26" s="191">
        <f>30681055.2/1000</f>
        <v>30681.0552</v>
      </c>
      <c r="K26" s="285">
        <f>J26/I26</f>
        <v>1</v>
      </c>
      <c r="L26" s="67" t="s">
        <v>511</v>
      </c>
      <c r="M26" s="67" t="s">
        <v>2111</v>
      </c>
      <c r="N26" s="190">
        <v>2</v>
      </c>
      <c r="O26" s="191">
        <f>30681055.2/1000</f>
        <v>30681.0552</v>
      </c>
      <c r="P26" s="191">
        <f>30681055.2/1000</f>
        <v>30681.0552</v>
      </c>
      <c r="Q26" s="295">
        <f>P26/O26</f>
        <v>1</v>
      </c>
      <c r="R26" s="284" t="s">
        <v>1325</v>
      </c>
      <c r="S26" s="390" t="s">
        <v>2231</v>
      </c>
    </row>
    <row r="27" spans="1:19" s="32" customFormat="1" ht="96" customHeight="1">
      <c r="A27" s="61" t="s">
        <v>1373</v>
      </c>
      <c r="B27" s="67" t="s">
        <v>398</v>
      </c>
      <c r="C27" s="67" t="s">
        <v>399</v>
      </c>
      <c r="D27" s="186">
        <v>0.25</v>
      </c>
      <c r="E27" s="187">
        <v>0.3</v>
      </c>
      <c r="F27" s="188">
        <v>1</v>
      </c>
      <c r="G27" s="895" t="s">
        <v>1372</v>
      </c>
      <c r="H27" s="142" t="s">
        <v>1375</v>
      </c>
      <c r="I27" s="874">
        <f>83448177/1000</f>
        <v>83448.177</v>
      </c>
      <c r="J27" s="887">
        <v>78401</v>
      </c>
      <c r="K27" s="871">
        <f>J27/I27</f>
        <v>0.9395172287586343</v>
      </c>
      <c r="L27" s="857" t="s">
        <v>512</v>
      </c>
      <c r="M27" s="67" t="s">
        <v>2112</v>
      </c>
      <c r="N27" s="862">
        <v>4</v>
      </c>
      <c r="O27" s="868">
        <f>83448177/1000</f>
        <v>83448.177</v>
      </c>
      <c r="P27" s="868">
        <v>78401</v>
      </c>
      <c r="Q27" s="859">
        <f>P27/O27</f>
        <v>0.9395172287586343</v>
      </c>
      <c r="R27" s="736" t="s">
        <v>1325</v>
      </c>
      <c r="S27" s="567" t="s">
        <v>2231</v>
      </c>
    </row>
    <row r="28" spans="1:19" s="32" customFormat="1" ht="76.5" customHeight="1">
      <c r="A28" s="709" t="s">
        <v>1374</v>
      </c>
      <c r="B28" s="857" t="s">
        <v>400</v>
      </c>
      <c r="C28" s="857" t="s">
        <v>401</v>
      </c>
      <c r="D28" s="928">
        <v>0.25</v>
      </c>
      <c r="E28" s="909">
        <v>0.25</v>
      </c>
      <c r="F28" s="866">
        <f>E28/D28</f>
        <v>1</v>
      </c>
      <c r="G28" s="897"/>
      <c r="H28" s="341" t="s">
        <v>1765</v>
      </c>
      <c r="I28" s="875"/>
      <c r="J28" s="888"/>
      <c r="K28" s="872"/>
      <c r="L28" s="865"/>
      <c r="M28" s="857" t="s">
        <v>2210</v>
      </c>
      <c r="N28" s="863"/>
      <c r="O28" s="869"/>
      <c r="P28" s="869"/>
      <c r="Q28" s="860"/>
      <c r="R28" s="743"/>
      <c r="S28" s="908"/>
    </row>
    <row r="29" spans="1:19" s="32" customFormat="1" ht="63" customHeight="1">
      <c r="A29" s="711"/>
      <c r="B29" s="858"/>
      <c r="C29" s="858"/>
      <c r="D29" s="929"/>
      <c r="E29" s="911"/>
      <c r="F29" s="867"/>
      <c r="G29" s="898"/>
      <c r="H29" s="142" t="s">
        <v>1766</v>
      </c>
      <c r="I29" s="876"/>
      <c r="J29" s="889"/>
      <c r="K29" s="873"/>
      <c r="L29" s="858"/>
      <c r="M29" s="858"/>
      <c r="N29" s="864"/>
      <c r="O29" s="864"/>
      <c r="P29" s="864"/>
      <c r="Q29" s="861"/>
      <c r="R29" s="737"/>
      <c r="S29" s="568"/>
    </row>
    <row r="30" spans="1:19" s="32" customFormat="1" ht="141.75" customHeight="1">
      <c r="A30" s="61" t="s">
        <v>1376</v>
      </c>
      <c r="B30" s="67" t="s">
        <v>513</v>
      </c>
      <c r="C30" s="67" t="s">
        <v>514</v>
      </c>
      <c r="D30" s="186">
        <v>0.25</v>
      </c>
      <c r="E30" s="186">
        <v>0.25</v>
      </c>
      <c r="F30" s="188">
        <v>1</v>
      </c>
      <c r="G30" s="895" t="s">
        <v>1378</v>
      </c>
      <c r="H30" s="899" t="s">
        <v>1379</v>
      </c>
      <c r="I30" s="874">
        <f>31142242.2/1000</f>
        <v>31142.2422</v>
      </c>
      <c r="J30" s="887">
        <f>31142000/1000</f>
        <v>31142</v>
      </c>
      <c r="K30" s="871">
        <f>J30/I30</f>
        <v>0.9999922227822119</v>
      </c>
      <c r="L30" s="857" t="s">
        <v>515</v>
      </c>
      <c r="M30" s="67" t="s">
        <v>2113</v>
      </c>
      <c r="N30" s="736">
        <v>2</v>
      </c>
      <c r="O30" s="730">
        <f>'[3]F3 INV. MPIOS X PTO. ENTREGADO'!$F$74/1000</f>
        <v>31142</v>
      </c>
      <c r="P30" s="730">
        <f>J30</f>
        <v>31142</v>
      </c>
      <c r="Q30" s="732">
        <f>P30/O30</f>
        <v>1</v>
      </c>
      <c r="R30" s="736" t="s">
        <v>1325</v>
      </c>
      <c r="S30" s="567" t="s">
        <v>2231</v>
      </c>
    </row>
    <row r="31" spans="1:19" s="32" customFormat="1" ht="59.25" customHeight="1">
      <c r="A31" s="61" t="s">
        <v>1377</v>
      </c>
      <c r="B31" s="67" t="s">
        <v>516</v>
      </c>
      <c r="C31" s="67" t="s">
        <v>517</v>
      </c>
      <c r="D31" s="186">
        <v>0.25</v>
      </c>
      <c r="E31" s="186">
        <v>0.25</v>
      </c>
      <c r="F31" s="188">
        <v>1</v>
      </c>
      <c r="G31" s="898"/>
      <c r="H31" s="899"/>
      <c r="I31" s="876"/>
      <c r="J31" s="889"/>
      <c r="K31" s="873"/>
      <c r="L31" s="858"/>
      <c r="M31" s="67" t="s">
        <v>2114</v>
      </c>
      <c r="N31" s="737"/>
      <c r="O31" s="737"/>
      <c r="P31" s="737"/>
      <c r="Q31" s="733"/>
      <c r="R31" s="737"/>
      <c r="S31" s="568"/>
    </row>
    <row r="32" spans="1:19" s="32" customFormat="1" ht="82.5" customHeight="1">
      <c r="A32" s="61" t="s">
        <v>1381</v>
      </c>
      <c r="B32" s="67" t="s">
        <v>518</v>
      </c>
      <c r="C32" s="67" t="s">
        <v>402</v>
      </c>
      <c r="D32" s="186">
        <v>3</v>
      </c>
      <c r="E32" s="186">
        <v>3</v>
      </c>
      <c r="F32" s="188">
        <v>1</v>
      </c>
      <c r="G32" s="857" t="s">
        <v>1380</v>
      </c>
      <c r="H32" s="900" t="s">
        <v>1385</v>
      </c>
      <c r="I32" s="874">
        <f>54233500/1000</f>
        <v>54233.5</v>
      </c>
      <c r="J32" s="887">
        <f>51833500/1000</f>
        <v>51833.5</v>
      </c>
      <c r="K32" s="871">
        <f>J32/I32</f>
        <v>0.9557469091981893</v>
      </c>
      <c r="L32" s="857" t="s">
        <v>519</v>
      </c>
      <c r="M32" s="67" t="s">
        <v>2115</v>
      </c>
      <c r="N32" s="736">
        <v>6</v>
      </c>
      <c r="O32" s="730">
        <f>54233500/1000</f>
        <v>54233.5</v>
      </c>
      <c r="P32" s="730">
        <f>J32</f>
        <v>51833.5</v>
      </c>
      <c r="Q32" s="732">
        <f>P32/O32</f>
        <v>0.9557469091981893</v>
      </c>
      <c r="R32" s="736" t="s">
        <v>1325</v>
      </c>
      <c r="S32" s="567" t="s">
        <v>2231</v>
      </c>
    </row>
    <row r="33" spans="1:19" s="32" customFormat="1" ht="88.5" customHeight="1">
      <c r="A33" s="61" t="s">
        <v>1382</v>
      </c>
      <c r="B33" s="67" t="s">
        <v>520</v>
      </c>
      <c r="C33" s="67" t="s">
        <v>403</v>
      </c>
      <c r="D33" s="186">
        <v>1</v>
      </c>
      <c r="E33" s="186">
        <v>1</v>
      </c>
      <c r="F33" s="188">
        <v>1</v>
      </c>
      <c r="G33" s="865"/>
      <c r="H33" s="901"/>
      <c r="I33" s="875"/>
      <c r="J33" s="888"/>
      <c r="K33" s="872"/>
      <c r="L33" s="865"/>
      <c r="M33" s="67" t="s">
        <v>2116</v>
      </c>
      <c r="N33" s="743"/>
      <c r="O33" s="743"/>
      <c r="P33" s="743"/>
      <c r="Q33" s="744"/>
      <c r="R33" s="743"/>
      <c r="S33" s="908"/>
    </row>
    <row r="34" spans="1:19" s="32" customFormat="1" ht="82.5" customHeight="1">
      <c r="A34" s="61" t="s">
        <v>1383</v>
      </c>
      <c r="B34" s="67" t="s">
        <v>521</v>
      </c>
      <c r="C34" s="67" t="s">
        <v>404</v>
      </c>
      <c r="D34" s="186">
        <v>1</v>
      </c>
      <c r="E34" s="186">
        <v>1</v>
      </c>
      <c r="F34" s="188">
        <v>1</v>
      </c>
      <c r="G34" s="865"/>
      <c r="H34" s="901"/>
      <c r="I34" s="875"/>
      <c r="J34" s="888"/>
      <c r="K34" s="872"/>
      <c r="L34" s="865"/>
      <c r="M34" s="67" t="s">
        <v>2117</v>
      </c>
      <c r="N34" s="743"/>
      <c r="O34" s="743"/>
      <c r="P34" s="743"/>
      <c r="Q34" s="744"/>
      <c r="R34" s="743"/>
      <c r="S34" s="908"/>
    </row>
    <row r="35" spans="1:19" s="32" customFormat="1" ht="111" customHeight="1">
      <c r="A35" s="61" t="s">
        <v>1384</v>
      </c>
      <c r="B35" s="67" t="s">
        <v>522</v>
      </c>
      <c r="C35" s="67" t="s">
        <v>405</v>
      </c>
      <c r="D35" s="186">
        <v>1</v>
      </c>
      <c r="E35" s="186">
        <v>1</v>
      </c>
      <c r="F35" s="188">
        <v>1</v>
      </c>
      <c r="G35" s="858"/>
      <c r="H35" s="902"/>
      <c r="I35" s="876"/>
      <c r="J35" s="889"/>
      <c r="K35" s="873"/>
      <c r="L35" s="858"/>
      <c r="M35" s="67" t="s">
        <v>2118</v>
      </c>
      <c r="N35" s="737"/>
      <c r="O35" s="737"/>
      <c r="P35" s="737"/>
      <c r="Q35" s="733"/>
      <c r="R35" s="737"/>
      <c r="S35" s="568"/>
    </row>
    <row r="36" spans="1:19" s="32" customFormat="1" ht="57" customHeight="1">
      <c r="A36" s="709" t="s">
        <v>1386</v>
      </c>
      <c r="B36" s="857" t="s">
        <v>1390</v>
      </c>
      <c r="C36" s="857" t="s">
        <v>406</v>
      </c>
      <c r="D36" s="909">
        <v>0.3</v>
      </c>
      <c r="E36" s="909">
        <v>0.3</v>
      </c>
      <c r="F36" s="866">
        <v>1</v>
      </c>
      <c r="G36" s="857" t="s">
        <v>1397</v>
      </c>
      <c r="H36" s="338" t="s">
        <v>1358</v>
      </c>
      <c r="I36" s="874">
        <f>66669486/1000</f>
        <v>66669.486</v>
      </c>
      <c r="J36" s="887">
        <f>66669486/1000</f>
        <v>66669.486</v>
      </c>
      <c r="K36" s="871">
        <f>J36/I36</f>
        <v>1</v>
      </c>
      <c r="L36" s="857" t="s">
        <v>523</v>
      </c>
      <c r="M36" s="857" t="s">
        <v>2119</v>
      </c>
      <c r="N36" s="736">
        <v>12</v>
      </c>
      <c r="O36" s="730">
        <f>66669486/1000</f>
        <v>66669.486</v>
      </c>
      <c r="P36" s="730">
        <f>J36</f>
        <v>66669.486</v>
      </c>
      <c r="Q36" s="732">
        <f>P36/O36</f>
        <v>1</v>
      </c>
      <c r="R36" s="736" t="s">
        <v>1325</v>
      </c>
      <c r="S36" s="567" t="s">
        <v>2231</v>
      </c>
    </row>
    <row r="37" spans="1:19" s="32" customFormat="1" ht="38.25" customHeight="1">
      <c r="A37" s="711"/>
      <c r="B37" s="858"/>
      <c r="C37" s="858"/>
      <c r="D37" s="911">
        <v>0.3</v>
      </c>
      <c r="E37" s="911">
        <v>0.3</v>
      </c>
      <c r="F37" s="867">
        <v>1</v>
      </c>
      <c r="G37" s="865"/>
      <c r="H37" s="67" t="s">
        <v>1264</v>
      </c>
      <c r="I37" s="875"/>
      <c r="J37" s="888"/>
      <c r="K37" s="872"/>
      <c r="L37" s="865"/>
      <c r="M37" s="858"/>
      <c r="N37" s="743"/>
      <c r="O37" s="751"/>
      <c r="P37" s="751"/>
      <c r="Q37" s="744"/>
      <c r="R37" s="743"/>
      <c r="S37" s="908"/>
    </row>
    <row r="38" spans="1:19" s="32" customFormat="1" ht="235.5" customHeight="1">
      <c r="A38" s="61" t="s">
        <v>1387</v>
      </c>
      <c r="B38" s="67" t="s">
        <v>1391</v>
      </c>
      <c r="C38" s="67" t="s">
        <v>407</v>
      </c>
      <c r="D38" s="187">
        <v>0.3</v>
      </c>
      <c r="E38" s="187">
        <v>0.3</v>
      </c>
      <c r="F38" s="188">
        <v>1</v>
      </c>
      <c r="G38" s="865"/>
      <c r="H38" s="67" t="s">
        <v>1396</v>
      </c>
      <c r="I38" s="875"/>
      <c r="J38" s="888"/>
      <c r="K38" s="872"/>
      <c r="L38" s="865"/>
      <c r="M38" s="67" t="s">
        <v>2120</v>
      </c>
      <c r="N38" s="743"/>
      <c r="O38" s="751"/>
      <c r="P38" s="751"/>
      <c r="Q38" s="744"/>
      <c r="R38" s="743"/>
      <c r="S38" s="908"/>
    </row>
    <row r="39" spans="1:19" s="32" customFormat="1" ht="72" customHeight="1">
      <c r="A39" s="61" t="s">
        <v>1388</v>
      </c>
      <c r="B39" s="67" t="s">
        <v>1392</v>
      </c>
      <c r="C39" s="67" t="s">
        <v>408</v>
      </c>
      <c r="D39" s="186">
        <v>4</v>
      </c>
      <c r="E39" s="186">
        <v>4</v>
      </c>
      <c r="F39" s="188">
        <v>1</v>
      </c>
      <c r="G39" s="865"/>
      <c r="H39" s="67" t="s">
        <v>1394</v>
      </c>
      <c r="I39" s="875"/>
      <c r="J39" s="888"/>
      <c r="K39" s="872"/>
      <c r="L39" s="865"/>
      <c r="M39" s="67" t="s">
        <v>2121</v>
      </c>
      <c r="N39" s="743"/>
      <c r="O39" s="751"/>
      <c r="P39" s="751"/>
      <c r="Q39" s="744"/>
      <c r="R39" s="743"/>
      <c r="S39" s="908"/>
    </row>
    <row r="40" spans="1:19" s="32" customFormat="1" ht="51" customHeight="1">
      <c r="A40" s="61" t="s">
        <v>1389</v>
      </c>
      <c r="B40" s="67" t="s">
        <v>1393</v>
      </c>
      <c r="C40" s="67" t="s">
        <v>524</v>
      </c>
      <c r="D40" s="186">
        <v>13</v>
      </c>
      <c r="E40" s="193">
        <v>13</v>
      </c>
      <c r="F40" s="188">
        <f>E40/D40</f>
        <v>1</v>
      </c>
      <c r="G40" s="858"/>
      <c r="H40" s="67" t="s">
        <v>1395</v>
      </c>
      <c r="I40" s="876"/>
      <c r="J40" s="889"/>
      <c r="K40" s="873"/>
      <c r="L40" s="858"/>
      <c r="M40" s="67" t="s">
        <v>2122</v>
      </c>
      <c r="N40" s="737"/>
      <c r="O40" s="731"/>
      <c r="P40" s="731"/>
      <c r="Q40" s="733"/>
      <c r="R40" s="737"/>
      <c r="S40" s="568"/>
    </row>
    <row r="41" spans="1:19" s="32" customFormat="1" ht="99.75" customHeight="1">
      <c r="A41" s="61" t="s">
        <v>1399</v>
      </c>
      <c r="B41" s="67" t="s">
        <v>1406</v>
      </c>
      <c r="C41" s="67" t="s">
        <v>409</v>
      </c>
      <c r="D41" s="187">
        <v>0.3</v>
      </c>
      <c r="E41" s="187">
        <v>0.3</v>
      </c>
      <c r="F41" s="188">
        <f>E41/D41</f>
        <v>1</v>
      </c>
      <c r="G41" s="895" t="s">
        <v>1398</v>
      </c>
      <c r="H41" s="67" t="s">
        <v>1401</v>
      </c>
      <c r="I41" s="874">
        <f>30243410/1000</f>
        <v>30243.41</v>
      </c>
      <c r="J41" s="887">
        <f>30243000/1000</f>
        <v>30243</v>
      </c>
      <c r="K41" s="871">
        <f>J41/I41</f>
        <v>0.9999864433276539</v>
      </c>
      <c r="L41" s="857" t="s">
        <v>525</v>
      </c>
      <c r="M41" s="67" t="s">
        <v>2123</v>
      </c>
      <c r="N41" s="862">
        <v>7</v>
      </c>
      <c r="O41" s="868">
        <f>30243000/1000</f>
        <v>30243</v>
      </c>
      <c r="P41" s="868">
        <f>J41</f>
        <v>30243</v>
      </c>
      <c r="Q41" s="859">
        <f>P41/O41</f>
        <v>1</v>
      </c>
      <c r="R41" s="862" t="s">
        <v>1325</v>
      </c>
      <c r="S41" s="857" t="s">
        <v>2231</v>
      </c>
    </row>
    <row r="42" spans="1:19" s="32" customFormat="1" ht="55.5" customHeight="1">
      <c r="A42" s="709" t="s">
        <v>1400</v>
      </c>
      <c r="B42" s="857" t="s">
        <v>1407</v>
      </c>
      <c r="C42" s="857" t="s">
        <v>1768</v>
      </c>
      <c r="D42" s="909">
        <v>0.3</v>
      </c>
      <c r="E42" s="909">
        <v>0.3</v>
      </c>
      <c r="F42" s="866">
        <f>E42/D42</f>
        <v>1</v>
      </c>
      <c r="G42" s="897"/>
      <c r="H42" s="67" t="s">
        <v>1778</v>
      </c>
      <c r="I42" s="875"/>
      <c r="J42" s="888"/>
      <c r="K42" s="872"/>
      <c r="L42" s="865"/>
      <c r="M42" s="857" t="s">
        <v>2124</v>
      </c>
      <c r="N42" s="863"/>
      <c r="O42" s="869"/>
      <c r="P42" s="869"/>
      <c r="Q42" s="860"/>
      <c r="R42" s="863"/>
      <c r="S42" s="865"/>
    </row>
    <row r="43" spans="1:19" s="32" customFormat="1" ht="59.25" customHeight="1">
      <c r="A43" s="711"/>
      <c r="B43" s="858"/>
      <c r="C43" s="858"/>
      <c r="D43" s="911"/>
      <c r="E43" s="911"/>
      <c r="F43" s="867"/>
      <c r="G43" s="898"/>
      <c r="H43" s="67" t="s">
        <v>1264</v>
      </c>
      <c r="I43" s="876"/>
      <c r="J43" s="889"/>
      <c r="K43" s="873"/>
      <c r="L43" s="858"/>
      <c r="M43" s="858"/>
      <c r="N43" s="864"/>
      <c r="O43" s="864"/>
      <c r="P43" s="864"/>
      <c r="Q43" s="861"/>
      <c r="R43" s="864"/>
      <c r="S43" s="858"/>
    </row>
    <row r="44" spans="1:19" s="32" customFormat="1" ht="188.25" customHeight="1">
      <c r="A44" s="61" t="s">
        <v>1402</v>
      </c>
      <c r="B44" s="67" t="s">
        <v>1408</v>
      </c>
      <c r="C44" s="67" t="s">
        <v>1769</v>
      </c>
      <c r="D44" s="186">
        <v>1</v>
      </c>
      <c r="E44" s="193">
        <v>4</v>
      </c>
      <c r="F44" s="188">
        <v>1</v>
      </c>
      <c r="G44" s="895" t="s">
        <v>1404</v>
      </c>
      <c r="H44" s="67" t="s">
        <v>1405</v>
      </c>
      <c r="I44" s="874">
        <f>28500000/1000</f>
        <v>28500</v>
      </c>
      <c r="J44" s="874">
        <f>28500000/1000</f>
        <v>28500</v>
      </c>
      <c r="K44" s="871">
        <f>J44/I44</f>
        <v>1</v>
      </c>
      <c r="L44" s="857" t="s">
        <v>526</v>
      </c>
      <c r="M44" s="67" t="s">
        <v>2125</v>
      </c>
      <c r="N44" s="862">
        <v>6</v>
      </c>
      <c r="O44" s="868">
        <f>'[3]F3 INV. MPIOS X PTO. ENTREGADO'!$F$108/1000</f>
        <v>28500</v>
      </c>
      <c r="P44" s="868">
        <f>J44</f>
        <v>28500</v>
      </c>
      <c r="Q44" s="859">
        <f>P44/O44</f>
        <v>1</v>
      </c>
      <c r="R44" s="862" t="s">
        <v>1325</v>
      </c>
      <c r="S44" s="857" t="s">
        <v>2231</v>
      </c>
    </row>
    <row r="45" spans="1:19" s="32" customFormat="1" ht="27" customHeight="1">
      <c r="A45" s="709" t="s">
        <v>1403</v>
      </c>
      <c r="B45" s="857" t="s">
        <v>1409</v>
      </c>
      <c r="C45" s="857" t="s">
        <v>1770</v>
      </c>
      <c r="D45" s="928">
        <v>54</v>
      </c>
      <c r="E45" s="931">
        <v>54</v>
      </c>
      <c r="F45" s="866">
        <f>E45/D45</f>
        <v>1</v>
      </c>
      <c r="G45" s="897"/>
      <c r="H45" s="67" t="s">
        <v>1354</v>
      </c>
      <c r="I45" s="875"/>
      <c r="J45" s="875"/>
      <c r="K45" s="872"/>
      <c r="L45" s="865"/>
      <c r="M45" s="857" t="s">
        <v>2126</v>
      </c>
      <c r="N45" s="863"/>
      <c r="O45" s="869"/>
      <c r="P45" s="869"/>
      <c r="Q45" s="860"/>
      <c r="R45" s="863"/>
      <c r="S45" s="865"/>
    </row>
    <row r="46" spans="1:19" s="32" customFormat="1" ht="30" customHeight="1">
      <c r="A46" s="711"/>
      <c r="B46" s="858"/>
      <c r="C46" s="858"/>
      <c r="D46" s="929"/>
      <c r="E46" s="932"/>
      <c r="F46" s="867"/>
      <c r="G46" s="898"/>
      <c r="H46" s="67" t="s">
        <v>1358</v>
      </c>
      <c r="I46" s="876"/>
      <c r="J46" s="876"/>
      <c r="K46" s="873"/>
      <c r="L46" s="858"/>
      <c r="M46" s="858"/>
      <c r="N46" s="864"/>
      <c r="O46" s="864"/>
      <c r="P46" s="864"/>
      <c r="Q46" s="861"/>
      <c r="R46" s="864"/>
      <c r="S46" s="858"/>
    </row>
    <row r="47" spans="1:19" s="32" customFormat="1" ht="69.75" customHeight="1">
      <c r="A47" s="68" t="s">
        <v>1690</v>
      </c>
      <c r="B47" s="67" t="s">
        <v>1410</v>
      </c>
      <c r="C47" s="67" t="s">
        <v>410</v>
      </c>
      <c r="D47" s="186">
        <v>51</v>
      </c>
      <c r="E47" s="186">
        <v>169</v>
      </c>
      <c r="F47" s="188">
        <v>1</v>
      </c>
      <c r="G47" s="895" t="s">
        <v>1417</v>
      </c>
      <c r="H47" s="67" t="s">
        <v>1354</v>
      </c>
      <c r="I47" s="896">
        <f>347246808/1000</f>
        <v>347246.808</v>
      </c>
      <c r="J47" s="896">
        <f>343826000/1000</f>
        <v>343826</v>
      </c>
      <c r="K47" s="871">
        <f>J47/I47</f>
        <v>0.9901487704964015</v>
      </c>
      <c r="L47" s="857" t="s">
        <v>527</v>
      </c>
      <c r="M47" s="67" t="s">
        <v>2127</v>
      </c>
      <c r="N47" s="862">
        <v>9</v>
      </c>
      <c r="O47" s="868">
        <f>343826000/1000</f>
        <v>343826</v>
      </c>
      <c r="P47" s="868">
        <f>J47</f>
        <v>343826</v>
      </c>
      <c r="Q47" s="859">
        <f>P47/O47</f>
        <v>1</v>
      </c>
      <c r="R47" s="862" t="s">
        <v>1325</v>
      </c>
      <c r="S47" s="857" t="s">
        <v>2231</v>
      </c>
    </row>
    <row r="48" spans="1:19" s="32" customFormat="1" ht="57" customHeight="1">
      <c r="A48" s="68" t="s">
        <v>1692</v>
      </c>
      <c r="B48" s="67" t="s">
        <v>1411</v>
      </c>
      <c r="C48" s="67" t="s">
        <v>411</v>
      </c>
      <c r="D48" s="186">
        <v>49</v>
      </c>
      <c r="E48" s="186">
        <v>96</v>
      </c>
      <c r="F48" s="188">
        <v>1</v>
      </c>
      <c r="G48" s="865"/>
      <c r="H48" s="67" t="s">
        <v>1358</v>
      </c>
      <c r="I48" s="896"/>
      <c r="J48" s="896"/>
      <c r="K48" s="872"/>
      <c r="L48" s="865"/>
      <c r="M48" s="67" t="s">
        <v>2128</v>
      </c>
      <c r="N48" s="863"/>
      <c r="O48" s="863"/>
      <c r="P48" s="863"/>
      <c r="Q48" s="860"/>
      <c r="R48" s="863"/>
      <c r="S48" s="865"/>
    </row>
    <row r="49" spans="1:19" s="32" customFormat="1" ht="55.5" customHeight="1">
      <c r="A49" s="68" t="s">
        <v>1691</v>
      </c>
      <c r="B49" s="67" t="s">
        <v>1412</v>
      </c>
      <c r="C49" s="67" t="s">
        <v>412</v>
      </c>
      <c r="D49" s="186">
        <v>18</v>
      </c>
      <c r="E49" s="186">
        <v>148</v>
      </c>
      <c r="F49" s="188">
        <v>1</v>
      </c>
      <c r="G49" s="865"/>
      <c r="H49" s="67" t="s">
        <v>1415</v>
      </c>
      <c r="I49" s="896"/>
      <c r="J49" s="896"/>
      <c r="K49" s="872"/>
      <c r="L49" s="865"/>
      <c r="M49" s="67" t="s">
        <v>2129</v>
      </c>
      <c r="N49" s="863"/>
      <c r="O49" s="863"/>
      <c r="P49" s="863"/>
      <c r="Q49" s="860"/>
      <c r="R49" s="863"/>
      <c r="S49" s="865"/>
    </row>
    <row r="50" spans="1:19" s="32" customFormat="1" ht="85.5" customHeight="1">
      <c r="A50" s="68" t="s">
        <v>1693</v>
      </c>
      <c r="B50" s="67" t="s">
        <v>1413</v>
      </c>
      <c r="C50" s="67" t="s">
        <v>413</v>
      </c>
      <c r="D50" s="186">
        <v>2</v>
      </c>
      <c r="E50" s="186">
        <v>3</v>
      </c>
      <c r="F50" s="188">
        <v>1</v>
      </c>
      <c r="G50" s="865"/>
      <c r="H50" s="857" t="s">
        <v>1416</v>
      </c>
      <c r="I50" s="896"/>
      <c r="J50" s="896"/>
      <c r="K50" s="872"/>
      <c r="L50" s="865"/>
      <c r="M50" s="67" t="s">
        <v>2133</v>
      </c>
      <c r="N50" s="863"/>
      <c r="O50" s="863"/>
      <c r="P50" s="863"/>
      <c r="Q50" s="860"/>
      <c r="R50" s="863"/>
      <c r="S50" s="865"/>
    </row>
    <row r="51" spans="1:19" s="32" customFormat="1" ht="66.75" customHeight="1">
      <c r="A51" s="68" t="s">
        <v>1694</v>
      </c>
      <c r="B51" s="67" t="s">
        <v>1414</v>
      </c>
      <c r="C51" s="67" t="s">
        <v>528</v>
      </c>
      <c r="D51" s="186"/>
      <c r="E51" s="186"/>
      <c r="F51" s="188"/>
      <c r="G51" s="858"/>
      <c r="H51" s="858"/>
      <c r="I51" s="896"/>
      <c r="J51" s="896"/>
      <c r="K51" s="873"/>
      <c r="L51" s="858"/>
      <c r="M51" s="67" t="s">
        <v>2130</v>
      </c>
      <c r="N51" s="864"/>
      <c r="O51" s="864"/>
      <c r="P51" s="864"/>
      <c r="Q51" s="861"/>
      <c r="R51" s="864"/>
      <c r="S51" s="858"/>
    </row>
    <row r="52" spans="1:19" s="32" customFormat="1" ht="174" customHeight="1">
      <c r="A52" s="61" t="s">
        <v>1418</v>
      </c>
      <c r="B52" s="67" t="s">
        <v>1429</v>
      </c>
      <c r="C52" s="67" t="s">
        <v>421</v>
      </c>
      <c r="D52" s="186">
        <v>1</v>
      </c>
      <c r="E52" s="193">
        <v>0</v>
      </c>
      <c r="F52" s="188">
        <v>0</v>
      </c>
      <c r="G52" s="857" t="s">
        <v>1426</v>
      </c>
      <c r="H52" s="67" t="s">
        <v>1354</v>
      </c>
      <c r="I52" s="892">
        <f>84600000/1000</f>
        <v>84600</v>
      </c>
      <c r="J52" s="887">
        <f>84600000/1000</f>
        <v>84600</v>
      </c>
      <c r="K52" s="871">
        <f>J52/I52</f>
        <v>1</v>
      </c>
      <c r="L52" s="857" t="s">
        <v>527</v>
      </c>
      <c r="M52" s="67" t="s">
        <v>2211</v>
      </c>
      <c r="N52" s="862">
        <v>12</v>
      </c>
      <c r="O52" s="868">
        <f>84600000/1000</f>
        <v>84600</v>
      </c>
      <c r="P52" s="868">
        <f>J52</f>
        <v>84600</v>
      </c>
      <c r="Q52" s="859">
        <f>P52/O52</f>
        <v>1</v>
      </c>
      <c r="R52" s="862" t="s">
        <v>1325</v>
      </c>
      <c r="S52" s="857" t="s">
        <v>2231</v>
      </c>
    </row>
    <row r="53" spans="1:19" s="32" customFormat="1" ht="60" customHeight="1">
      <c r="A53" s="61" t="s">
        <v>1419</v>
      </c>
      <c r="B53" s="67" t="s">
        <v>1430</v>
      </c>
      <c r="C53" s="67" t="s">
        <v>414</v>
      </c>
      <c r="D53" s="186">
        <v>1</v>
      </c>
      <c r="E53" s="193">
        <v>1</v>
      </c>
      <c r="F53" s="188">
        <v>1</v>
      </c>
      <c r="G53" s="865"/>
      <c r="H53" s="857" t="s">
        <v>1358</v>
      </c>
      <c r="I53" s="893"/>
      <c r="J53" s="888"/>
      <c r="K53" s="872"/>
      <c r="L53" s="865"/>
      <c r="M53" s="67" t="s">
        <v>2131</v>
      </c>
      <c r="N53" s="863"/>
      <c r="O53" s="863"/>
      <c r="P53" s="863"/>
      <c r="Q53" s="860"/>
      <c r="R53" s="863"/>
      <c r="S53" s="865"/>
    </row>
    <row r="54" spans="1:19" s="32" customFormat="1" ht="56.25" customHeight="1">
      <c r="A54" s="61" t="s">
        <v>1420</v>
      </c>
      <c r="B54" s="67" t="s">
        <v>1431</v>
      </c>
      <c r="C54" s="67" t="s">
        <v>415</v>
      </c>
      <c r="D54" s="186">
        <v>3</v>
      </c>
      <c r="E54" s="193">
        <v>3</v>
      </c>
      <c r="F54" s="188">
        <v>1</v>
      </c>
      <c r="G54" s="865"/>
      <c r="H54" s="865"/>
      <c r="I54" s="893"/>
      <c r="J54" s="888"/>
      <c r="K54" s="872"/>
      <c r="L54" s="865"/>
      <c r="M54" s="67" t="s">
        <v>2132</v>
      </c>
      <c r="N54" s="863"/>
      <c r="O54" s="863"/>
      <c r="P54" s="863"/>
      <c r="Q54" s="860"/>
      <c r="R54" s="863"/>
      <c r="S54" s="865"/>
    </row>
    <row r="55" spans="1:19" s="32" customFormat="1" ht="46.5" customHeight="1">
      <c r="A55" s="61" t="s">
        <v>1421</v>
      </c>
      <c r="B55" s="67" t="s">
        <v>1432</v>
      </c>
      <c r="C55" s="67" t="s">
        <v>416</v>
      </c>
      <c r="D55" s="187">
        <v>0.4</v>
      </c>
      <c r="E55" s="187">
        <v>0.4</v>
      </c>
      <c r="F55" s="188">
        <v>1</v>
      </c>
      <c r="G55" s="865"/>
      <c r="H55" s="858"/>
      <c r="I55" s="893"/>
      <c r="J55" s="888"/>
      <c r="K55" s="872"/>
      <c r="L55" s="865"/>
      <c r="M55" s="67" t="s">
        <v>2134</v>
      </c>
      <c r="N55" s="863"/>
      <c r="O55" s="863"/>
      <c r="P55" s="863"/>
      <c r="Q55" s="860"/>
      <c r="R55" s="863"/>
      <c r="S55" s="865"/>
    </row>
    <row r="56" spans="1:19" s="32" customFormat="1" ht="162" customHeight="1">
      <c r="A56" s="61" t="s">
        <v>1422</v>
      </c>
      <c r="B56" s="67" t="s">
        <v>1433</v>
      </c>
      <c r="C56" s="67" t="s">
        <v>417</v>
      </c>
      <c r="D56" s="186">
        <v>80</v>
      </c>
      <c r="E56" s="193">
        <v>0</v>
      </c>
      <c r="F56" s="188">
        <v>0</v>
      </c>
      <c r="G56" s="865"/>
      <c r="H56" s="857" t="s">
        <v>1427</v>
      </c>
      <c r="I56" s="893"/>
      <c r="J56" s="888"/>
      <c r="K56" s="872"/>
      <c r="L56" s="865"/>
      <c r="M56" s="67" t="s">
        <v>2160</v>
      </c>
      <c r="N56" s="863"/>
      <c r="O56" s="863"/>
      <c r="P56" s="863"/>
      <c r="Q56" s="860"/>
      <c r="R56" s="863"/>
      <c r="S56" s="865"/>
    </row>
    <row r="57" spans="1:19" s="32" customFormat="1" ht="79.5" customHeight="1">
      <c r="A57" s="61" t="s">
        <v>1423</v>
      </c>
      <c r="B57" s="67" t="s">
        <v>1434</v>
      </c>
      <c r="C57" s="67" t="s">
        <v>418</v>
      </c>
      <c r="D57" s="186">
        <v>2</v>
      </c>
      <c r="E57" s="193">
        <v>0</v>
      </c>
      <c r="F57" s="188">
        <v>0</v>
      </c>
      <c r="G57" s="865"/>
      <c r="H57" s="858"/>
      <c r="I57" s="893"/>
      <c r="J57" s="888"/>
      <c r="K57" s="872"/>
      <c r="L57" s="865"/>
      <c r="M57" s="67" t="s">
        <v>2135</v>
      </c>
      <c r="N57" s="863"/>
      <c r="O57" s="863"/>
      <c r="P57" s="863"/>
      <c r="Q57" s="860"/>
      <c r="R57" s="863"/>
      <c r="S57" s="865"/>
    </row>
    <row r="58" spans="1:19" s="32" customFormat="1" ht="67.5" customHeight="1">
      <c r="A58" s="61" t="s">
        <v>1424</v>
      </c>
      <c r="B58" s="67" t="s">
        <v>1435</v>
      </c>
      <c r="C58" s="67" t="s">
        <v>419</v>
      </c>
      <c r="D58" s="186">
        <v>1</v>
      </c>
      <c r="E58" s="193">
        <v>1</v>
      </c>
      <c r="F58" s="188">
        <v>1</v>
      </c>
      <c r="G58" s="865"/>
      <c r="H58" s="857" t="s">
        <v>1428</v>
      </c>
      <c r="I58" s="893"/>
      <c r="J58" s="888"/>
      <c r="K58" s="872"/>
      <c r="L58" s="865"/>
      <c r="M58" s="67" t="s">
        <v>2136</v>
      </c>
      <c r="N58" s="863"/>
      <c r="O58" s="863"/>
      <c r="P58" s="863"/>
      <c r="Q58" s="860"/>
      <c r="R58" s="863"/>
      <c r="S58" s="865"/>
    </row>
    <row r="59" spans="1:19" s="32" customFormat="1" ht="87" customHeight="1">
      <c r="A59" s="61" t="s">
        <v>1425</v>
      </c>
      <c r="B59" s="67" t="s">
        <v>1436</v>
      </c>
      <c r="C59" s="67" t="s">
        <v>420</v>
      </c>
      <c r="D59" s="187">
        <v>0.4</v>
      </c>
      <c r="E59" s="187">
        <v>0.4</v>
      </c>
      <c r="F59" s="188">
        <v>1</v>
      </c>
      <c r="G59" s="858"/>
      <c r="H59" s="858"/>
      <c r="I59" s="894"/>
      <c r="J59" s="889"/>
      <c r="K59" s="873"/>
      <c r="L59" s="858"/>
      <c r="M59" s="67" t="s">
        <v>2137</v>
      </c>
      <c r="N59" s="864"/>
      <c r="O59" s="864"/>
      <c r="P59" s="864"/>
      <c r="Q59" s="861"/>
      <c r="R59" s="864"/>
      <c r="S59" s="858"/>
    </row>
    <row r="60" spans="1:19" s="32" customFormat="1" ht="171" customHeight="1">
      <c r="A60" s="61" t="s">
        <v>1440</v>
      </c>
      <c r="B60" s="67" t="s">
        <v>1437</v>
      </c>
      <c r="C60" s="67" t="s">
        <v>421</v>
      </c>
      <c r="D60" s="186">
        <v>81</v>
      </c>
      <c r="E60" s="186">
        <v>0</v>
      </c>
      <c r="F60" s="188">
        <v>0</v>
      </c>
      <c r="G60" s="895" t="s">
        <v>1443</v>
      </c>
      <c r="H60" s="67" t="s">
        <v>1444</v>
      </c>
      <c r="I60" s="874">
        <f>122100000/1000</f>
        <v>122100</v>
      </c>
      <c r="J60" s="887">
        <f>122100000/1000</f>
        <v>122100</v>
      </c>
      <c r="K60" s="871">
        <f>J60/I60</f>
        <v>1</v>
      </c>
      <c r="L60" s="857" t="s">
        <v>529</v>
      </c>
      <c r="M60" s="67" t="s">
        <v>2161</v>
      </c>
      <c r="N60" s="862">
        <v>11</v>
      </c>
      <c r="O60" s="868">
        <f>122100000/1000</f>
        <v>122100</v>
      </c>
      <c r="P60" s="868">
        <f>J60</f>
        <v>122100</v>
      </c>
      <c r="Q60" s="859">
        <f>P60/O60</f>
        <v>1</v>
      </c>
      <c r="R60" s="862" t="s">
        <v>1325</v>
      </c>
      <c r="S60" s="857" t="s">
        <v>2231</v>
      </c>
    </row>
    <row r="61" spans="1:19" s="32" customFormat="1" ht="27" customHeight="1">
      <c r="A61" s="709" t="s">
        <v>1441</v>
      </c>
      <c r="B61" s="857" t="s">
        <v>1438</v>
      </c>
      <c r="C61" s="857" t="s">
        <v>422</v>
      </c>
      <c r="D61" s="928">
        <v>13</v>
      </c>
      <c r="E61" s="928">
        <v>0</v>
      </c>
      <c r="F61" s="866">
        <v>0</v>
      </c>
      <c r="G61" s="897"/>
      <c r="H61" s="67" t="s">
        <v>1779</v>
      </c>
      <c r="I61" s="875"/>
      <c r="J61" s="888"/>
      <c r="K61" s="872"/>
      <c r="L61" s="865"/>
      <c r="M61" s="857" t="s">
        <v>2138</v>
      </c>
      <c r="N61" s="863"/>
      <c r="O61" s="869"/>
      <c r="P61" s="869"/>
      <c r="Q61" s="860"/>
      <c r="R61" s="863"/>
      <c r="S61" s="865"/>
    </row>
    <row r="62" spans="1:19" s="32" customFormat="1" ht="52.5" customHeight="1">
      <c r="A62" s="711"/>
      <c r="B62" s="858"/>
      <c r="C62" s="858"/>
      <c r="D62" s="929">
        <v>4</v>
      </c>
      <c r="E62" s="929">
        <v>0</v>
      </c>
      <c r="F62" s="867">
        <v>0</v>
      </c>
      <c r="G62" s="897"/>
      <c r="H62" s="67" t="s">
        <v>1767</v>
      </c>
      <c r="I62" s="875"/>
      <c r="J62" s="888"/>
      <c r="K62" s="872"/>
      <c r="L62" s="865"/>
      <c r="M62" s="858"/>
      <c r="N62" s="863"/>
      <c r="O62" s="863"/>
      <c r="P62" s="863"/>
      <c r="Q62" s="860"/>
      <c r="R62" s="863"/>
      <c r="S62" s="865"/>
    </row>
    <row r="63" spans="1:19" s="32" customFormat="1" ht="94.5" customHeight="1">
      <c r="A63" s="61" t="s">
        <v>1442</v>
      </c>
      <c r="B63" s="67" t="s">
        <v>1439</v>
      </c>
      <c r="C63" s="67" t="s">
        <v>423</v>
      </c>
      <c r="D63" s="186">
        <v>4</v>
      </c>
      <c r="E63" s="186">
        <v>0</v>
      </c>
      <c r="F63" s="188">
        <v>0</v>
      </c>
      <c r="G63" s="898"/>
      <c r="H63" s="67" t="s">
        <v>1394</v>
      </c>
      <c r="I63" s="876"/>
      <c r="J63" s="889"/>
      <c r="K63" s="873"/>
      <c r="L63" s="858"/>
      <c r="M63" s="67" t="s">
        <v>2139</v>
      </c>
      <c r="N63" s="864"/>
      <c r="O63" s="864"/>
      <c r="P63" s="864"/>
      <c r="Q63" s="861"/>
      <c r="R63" s="864"/>
      <c r="S63" s="858"/>
    </row>
    <row r="64" spans="1:19" s="32" customFormat="1" ht="57" customHeight="1">
      <c r="A64" s="709" t="s">
        <v>1448</v>
      </c>
      <c r="B64" s="857" t="s">
        <v>1446</v>
      </c>
      <c r="C64" s="857" t="s">
        <v>424</v>
      </c>
      <c r="D64" s="909">
        <v>0.3</v>
      </c>
      <c r="E64" s="909">
        <v>0.7</v>
      </c>
      <c r="F64" s="866">
        <v>1</v>
      </c>
      <c r="G64" s="857" t="s">
        <v>1445</v>
      </c>
      <c r="H64" s="134" t="s">
        <v>1780</v>
      </c>
      <c r="I64" s="874">
        <f>312100000/1000</f>
        <v>312100</v>
      </c>
      <c r="J64" s="887">
        <f>311980000/1000</f>
        <v>311980</v>
      </c>
      <c r="K64" s="871">
        <f>J64/I64</f>
        <v>0.999615507850048</v>
      </c>
      <c r="L64" s="857" t="s">
        <v>530</v>
      </c>
      <c r="M64" s="857" t="s">
        <v>2140</v>
      </c>
      <c r="N64" s="862">
        <v>8</v>
      </c>
      <c r="O64" s="868">
        <f>311980000/1000</f>
        <v>311980</v>
      </c>
      <c r="P64" s="868">
        <f>J64</f>
        <v>311980</v>
      </c>
      <c r="Q64" s="859">
        <f>P64/O64</f>
        <v>1</v>
      </c>
      <c r="R64" s="736" t="s">
        <v>1325</v>
      </c>
      <c r="S64" s="857" t="s">
        <v>2232</v>
      </c>
    </row>
    <row r="65" spans="1:19" s="32" customFormat="1" ht="70.5" customHeight="1">
      <c r="A65" s="710"/>
      <c r="B65" s="865"/>
      <c r="C65" s="865"/>
      <c r="D65" s="910"/>
      <c r="E65" s="910"/>
      <c r="F65" s="891"/>
      <c r="G65" s="865"/>
      <c r="H65" s="134" t="s">
        <v>1781</v>
      </c>
      <c r="I65" s="875"/>
      <c r="J65" s="888"/>
      <c r="K65" s="872"/>
      <c r="L65" s="865"/>
      <c r="M65" s="865"/>
      <c r="N65" s="863"/>
      <c r="O65" s="869"/>
      <c r="P65" s="869"/>
      <c r="Q65" s="860"/>
      <c r="R65" s="743"/>
      <c r="S65" s="865"/>
    </row>
    <row r="66" spans="1:19" s="32" customFormat="1" ht="54" customHeight="1">
      <c r="A66" s="711"/>
      <c r="B66" s="858"/>
      <c r="C66" s="858"/>
      <c r="D66" s="911"/>
      <c r="E66" s="911"/>
      <c r="F66" s="867"/>
      <c r="G66" s="865"/>
      <c r="H66" s="134" t="s">
        <v>1354</v>
      </c>
      <c r="I66" s="875"/>
      <c r="J66" s="888"/>
      <c r="K66" s="872"/>
      <c r="L66" s="865"/>
      <c r="M66" s="858"/>
      <c r="N66" s="863"/>
      <c r="O66" s="869"/>
      <c r="P66" s="869"/>
      <c r="Q66" s="860"/>
      <c r="R66" s="743"/>
      <c r="S66" s="865"/>
    </row>
    <row r="67" spans="1:19" s="32" customFormat="1" ht="41.25" customHeight="1">
      <c r="A67" s="709" t="s">
        <v>1449</v>
      </c>
      <c r="B67" s="857" t="s">
        <v>1447</v>
      </c>
      <c r="C67" s="857" t="s">
        <v>97</v>
      </c>
      <c r="D67" s="928">
        <v>12</v>
      </c>
      <c r="E67" s="931">
        <v>12</v>
      </c>
      <c r="F67" s="866">
        <f>E67/D67</f>
        <v>1</v>
      </c>
      <c r="G67" s="865"/>
      <c r="H67" s="134" t="s">
        <v>1358</v>
      </c>
      <c r="I67" s="875"/>
      <c r="J67" s="888"/>
      <c r="K67" s="872"/>
      <c r="L67" s="865"/>
      <c r="M67" s="857" t="s">
        <v>1817</v>
      </c>
      <c r="N67" s="863"/>
      <c r="O67" s="869"/>
      <c r="P67" s="869"/>
      <c r="Q67" s="860"/>
      <c r="R67" s="743"/>
      <c r="S67" s="865"/>
    </row>
    <row r="68" spans="1:19" s="32" customFormat="1" ht="37.5" customHeight="1">
      <c r="A68" s="711"/>
      <c r="B68" s="858"/>
      <c r="C68" s="858"/>
      <c r="D68" s="929"/>
      <c r="E68" s="932"/>
      <c r="F68" s="867"/>
      <c r="G68" s="858"/>
      <c r="H68" s="134" t="s">
        <v>1777</v>
      </c>
      <c r="I68" s="876"/>
      <c r="J68" s="889"/>
      <c r="K68" s="873"/>
      <c r="L68" s="858"/>
      <c r="M68" s="858"/>
      <c r="N68" s="864"/>
      <c r="O68" s="870"/>
      <c r="P68" s="870"/>
      <c r="Q68" s="861"/>
      <c r="R68" s="737"/>
      <c r="S68" s="858"/>
    </row>
    <row r="69" spans="1:19" s="32" customFormat="1" ht="33" customHeight="1">
      <c r="A69" s="709" t="s">
        <v>1452</v>
      </c>
      <c r="B69" s="857" t="s">
        <v>1451</v>
      </c>
      <c r="C69" s="857" t="s">
        <v>406</v>
      </c>
      <c r="D69" s="909">
        <v>0.3</v>
      </c>
      <c r="E69" s="909">
        <v>0.3</v>
      </c>
      <c r="F69" s="866">
        <f>E69/D69</f>
        <v>1</v>
      </c>
      <c r="G69" s="857" t="s">
        <v>1450</v>
      </c>
      <c r="H69" s="67" t="s">
        <v>1771</v>
      </c>
      <c r="I69" s="874">
        <f>89976666/1000</f>
        <v>89976.666</v>
      </c>
      <c r="J69" s="887">
        <f>77876666/1000</f>
        <v>77876.666</v>
      </c>
      <c r="K69" s="871">
        <f>J69/I69</f>
        <v>0.8655206895530003</v>
      </c>
      <c r="L69" s="857" t="s">
        <v>531</v>
      </c>
      <c r="M69" s="857" t="s">
        <v>2141</v>
      </c>
      <c r="N69" s="862">
        <v>11</v>
      </c>
      <c r="O69" s="868">
        <f>87876666/1000</f>
        <v>87876.666</v>
      </c>
      <c r="P69" s="868">
        <f>77876666/1000</f>
        <v>77876.666</v>
      </c>
      <c r="Q69" s="859">
        <f>P69/O69</f>
        <v>0.8862041488920392</v>
      </c>
      <c r="R69" s="862" t="s">
        <v>1325</v>
      </c>
      <c r="S69" s="936" t="s">
        <v>2231</v>
      </c>
    </row>
    <row r="70" spans="1:19" s="32" customFormat="1" ht="21.75" customHeight="1">
      <c r="A70" s="710"/>
      <c r="B70" s="865"/>
      <c r="C70" s="865"/>
      <c r="D70" s="910"/>
      <c r="E70" s="910"/>
      <c r="F70" s="891"/>
      <c r="G70" s="865"/>
      <c r="H70" s="67" t="s">
        <v>1358</v>
      </c>
      <c r="I70" s="875"/>
      <c r="J70" s="888"/>
      <c r="K70" s="872"/>
      <c r="L70" s="865"/>
      <c r="M70" s="865"/>
      <c r="N70" s="863"/>
      <c r="O70" s="869"/>
      <c r="P70" s="869"/>
      <c r="Q70" s="860"/>
      <c r="R70" s="863"/>
      <c r="S70" s="937"/>
    </row>
    <row r="71" spans="1:19" s="32" customFormat="1" ht="37.5" customHeight="1">
      <c r="A71" s="710"/>
      <c r="B71" s="865"/>
      <c r="C71" s="865"/>
      <c r="D71" s="910"/>
      <c r="E71" s="910"/>
      <c r="F71" s="891"/>
      <c r="G71" s="865"/>
      <c r="H71" s="67" t="s">
        <v>1772</v>
      </c>
      <c r="I71" s="875"/>
      <c r="J71" s="888"/>
      <c r="K71" s="872"/>
      <c r="L71" s="865"/>
      <c r="M71" s="865"/>
      <c r="N71" s="863"/>
      <c r="O71" s="869"/>
      <c r="P71" s="869"/>
      <c r="Q71" s="860"/>
      <c r="R71" s="863"/>
      <c r="S71" s="937"/>
    </row>
    <row r="72" spans="1:19" s="32" customFormat="1" ht="32.25" customHeight="1">
      <c r="A72" s="711"/>
      <c r="B72" s="858"/>
      <c r="C72" s="858"/>
      <c r="D72" s="911"/>
      <c r="E72" s="911"/>
      <c r="F72" s="867"/>
      <c r="G72" s="858"/>
      <c r="H72" s="67" t="s">
        <v>1354</v>
      </c>
      <c r="I72" s="876"/>
      <c r="J72" s="889"/>
      <c r="K72" s="873"/>
      <c r="L72" s="858"/>
      <c r="M72" s="858"/>
      <c r="N72" s="864"/>
      <c r="O72" s="870"/>
      <c r="P72" s="870"/>
      <c r="Q72" s="861"/>
      <c r="R72" s="864"/>
      <c r="S72" s="938"/>
    </row>
    <row r="73" spans="1:19" s="32" customFormat="1" ht="98.25" customHeight="1">
      <c r="A73" s="61" t="s">
        <v>1454</v>
      </c>
      <c r="B73" s="67" t="s">
        <v>1458</v>
      </c>
      <c r="C73" s="67" t="s">
        <v>532</v>
      </c>
      <c r="D73" s="187">
        <v>0.3</v>
      </c>
      <c r="E73" s="187">
        <v>0.3</v>
      </c>
      <c r="F73" s="188">
        <v>1</v>
      </c>
      <c r="G73" s="895" t="s">
        <v>1453</v>
      </c>
      <c r="H73" s="67" t="s">
        <v>1358</v>
      </c>
      <c r="I73" s="874">
        <f>105498389.2/1000</f>
        <v>105498.3892</v>
      </c>
      <c r="J73" s="887">
        <f>100742892/1000</f>
        <v>100742.892</v>
      </c>
      <c r="K73" s="871">
        <f>J73/I73</f>
        <v>0.9549235089174234</v>
      </c>
      <c r="L73" s="857" t="s">
        <v>533</v>
      </c>
      <c r="M73" s="67" t="s">
        <v>2142</v>
      </c>
      <c r="N73" s="862">
        <v>12</v>
      </c>
      <c r="O73" s="868">
        <f>100742892/1000</f>
        <v>100742.892</v>
      </c>
      <c r="P73" s="868">
        <f>J73</f>
        <v>100742.892</v>
      </c>
      <c r="Q73" s="859">
        <f>P73/O73</f>
        <v>1</v>
      </c>
      <c r="R73" s="862" t="s">
        <v>1325</v>
      </c>
      <c r="S73" s="857" t="s">
        <v>2231</v>
      </c>
    </row>
    <row r="74" spans="1:19" s="32" customFormat="1" ht="60.75" customHeight="1">
      <c r="A74" s="709" t="s">
        <v>1455</v>
      </c>
      <c r="B74" s="857" t="s">
        <v>1459</v>
      </c>
      <c r="C74" s="857" t="s">
        <v>425</v>
      </c>
      <c r="D74" s="909">
        <v>0.5</v>
      </c>
      <c r="E74" s="909">
        <v>0.5</v>
      </c>
      <c r="F74" s="866">
        <v>1</v>
      </c>
      <c r="G74" s="897"/>
      <c r="H74" s="67" t="s">
        <v>1354</v>
      </c>
      <c r="I74" s="875"/>
      <c r="J74" s="888"/>
      <c r="K74" s="872"/>
      <c r="L74" s="865"/>
      <c r="M74" s="857" t="s">
        <v>2143</v>
      </c>
      <c r="N74" s="863"/>
      <c r="O74" s="869"/>
      <c r="P74" s="869"/>
      <c r="Q74" s="860"/>
      <c r="R74" s="863"/>
      <c r="S74" s="865"/>
    </row>
    <row r="75" spans="1:19" s="32" customFormat="1" ht="69.75" customHeight="1">
      <c r="A75" s="711"/>
      <c r="B75" s="858"/>
      <c r="C75" s="858"/>
      <c r="D75" s="929">
        <v>3</v>
      </c>
      <c r="E75" s="932">
        <v>3</v>
      </c>
      <c r="F75" s="867">
        <v>1</v>
      </c>
      <c r="G75" s="897"/>
      <c r="H75" s="67" t="s">
        <v>1773</v>
      </c>
      <c r="I75" s="875"/>
      <c r="J75" s="888"/>
      <c r="K75" s="872"/>
      <c r="L75" s="865"/>
      <c r="M75" s="858"/>
      <c r="N75" s="863"/>
      <c r="O75" s="863"/>
      <c r="P75" s="863"/>
      <c r="Q75" s="860"/>
      <c r="R75" s="863"/>
      <c r="S75" s="865"/>
    </row>
    <row r="76" spans="1:19" s="32" customFormat="1" ht="68.25" customHeight="1">
      <c r="A76" s="61" t="s">
        <v>1456</v>
      </c>
      <c r="B76" s="67" t="s">
        <v>1460</v>
      </c>
      <c r="C76" s="67" t="s">
        <v>426</v>
      </c>
      <c r="D76" s="404">
        <v>3</v>
      </c>
      <c r="E76" s="404">
        <v>3</v>
      </c>
      <c r="F76" s="188">
        <v>1</v>
      </c>
      <c r="G76" s="897"/>
      <c r="H76" s="67" t="s">
        <v>1462</v>
      </c>
      <c r="I76" s="875"/>
      <c r="J76" s="888"/>
      <c r="K76" s="872"/>
      <c r="L76" s="865"/>
      <c r="M76" s="67" t="s">
        <v>2144</v>
      </c>
      <c r="N76" s="863"/>
      <c r="O76" s="863"/>
      <c r="P76" s="863"/>
      <c r="Q76" s="860"/>
      <c r="R76" s="863"/>
      <c r="S76" s="865"/>
    </row>
    <row r="77" spans="1:19" s="32" customFormat="1" ht="128.25" customHeight="1">
      <c r="A77" s="61" t="s">
        <v>1457</v>
      </c>
      <c r="B77" s="67" t="s">
        <v>1461</v>
      </c>
      <c r="C77" s="67" t="s">
        <v>427</v>
      </c>
      <c r="D77" s="187">
        <v>0.3</v>
      </c>
      <c r="E77" s="187">
        <v>0.3</v>
      </c>
      <c r="F77" s="188">
        <f>E77/D77</f>
        <v>1</v>
      </c>
      <c r="G77" s="898"/>
      <c r="H77" s="67" t="s">
        <v>1463</v>
      </c>
      <c r="I77" s="876"/>
      <c r="J77" s="889"/>
      <c r="K77" s="873"/>
      <c r="L77" s="858"/>
      <c r="M77" s="67" t="s">
        <v>2145</v>
      </c>
      <c r="N77" s="864"/>
      <c r="O77" s="864"/>
      <c r="P77" s="864"/>
      <c r="Q77" s="861"/>
      <c r="R77" s="864"/>
      <c r="S77" s="858"/>
    </row>
    <row r="78" spans="1:19" s="32" customFormat="1" ht="171" customHeight="1">
      <c r="A78" s="61" t="s">
        <v>1468</v>
      </c>
      <c r="B78" s="67" t="s">
        <v>1465</v>
      </c>
      <c r="C78" s="67" t="s">
        <v>428</v>
      </c>
      <c r="D78" s="187">
        <v>0.4</v>
      </c>
      <c r="E78" s="187">
        <v>0.4</v>
      </c>
      <c r="F78" s="188">
        <v>1</v>
      </c>
      <c r="G78" s="895" t="s">
        <v>1464</v>
      </c>
      <c r="H78" s="67" t="s">
        <v>1471</v>
      </c>
      <c r="I78" s="874">
        <f>50000000/1000</f>
        <v>50000</v>
      </c>
      <c r="J78" s="874">
        <f>50000000/1000</f>
        <v>50000</v>
      </c>
      <c r="K78" s="871">
        <f>J78/I78</f>
        <v>1</v>
      </c>
      <c r="L78" s="857" t="s">
        <v>534</v>
      </c>
      <c r="M78" s="67" t="s">
        <v>2146</v>
      </c>
      <c r="N78" s="862">
        <v>2</v>
      </c>
      <c r="O78" s="868">
        <f>50000000/1000</f>
        <v>50000</v>
      </c>
      <c r="P78" s="868">
        <f>J78</f>
        <v>50000</v>
      </c>
      <c r="Q78" s="859">
        <f>P78/O78</f>
        <v>1</v>
      </c>
      <c r="R78" s="862" t="s">
        <v>1325</v>
      </c>
      <c r="S78" s="857" t="s">
        <v>2231</v>
      </c>
    </row>
    <row r="79" spans="1:19" s="32" customFormat="1" ht="52.5" customHeight="1">
      <c r="A79" s="61" t="s">
        <v>1469</v>
      </c>
      <c r="B79" s="67" t="s">
        <v>1466</v>
      </c>
      <c r="C79" s="67" t="s">
        <v>429</v>
      </c>
      <c r="D79" s="186">
        <v>1</v>
      </c>
      <c r="E79" s="186">
        <v>1</v>
      </c>
      <c r="F79" s="188">
        <v>1</v>
      </c>
      <c r="G79" s="865"/>
      <c r="H79" s="67" t="s">
        <v>1358</v>
      </c>
      <c r="I79" s="875"/>
      <c r="J79" s="875"/>
      <c r="K79" s="872"/>
      <c r="L79" s="865" t="s">
        <v>534</v>
      </c>
      <c r="M79" s="67" t="s">
        <v>2147</v>
      </c>
      <c r="N79" s="863"/>
      <c r="O79" s="863"/>
      <c r="P79" s="863"/>
      <c r="Q79" s="860"/>
      <c r="R79" s="863"/>
      <c r="S79" s="865"/>
    </row>
    <row r="80" spans="1:19" s="32" customFormat="1" ht="52.5" customHeight="1">
      <c r="A80" s="61" t="s">
        <v>1470</v>
      </c>
      <c r="B80" s="67" t="s">
        <v>1467</v>
      </c>
      <c r="C80" s="67" t="s">
        <v>430</v>
      </c>
      <c r="D80" s="194">
        <v>125</v>
      </c>
      <c r="E80" s="194">
        <v>1027</v>
      </c>
      <c r="F80" s="188">
        <v>1</v>
      </c>
      <c r="G80" s="858"/>
      <c r="H80" s="67" t="s">
        <v>1394</v>
      </c>
      <c r="I80" s="876"/>
      <c r="J80" s="876"/>
      <c r="K80" s="873"/>
      <c r="L80" s="858"/>
      <c r="M80" s="67" t="s">
        <v>2148</v>
      </c>
      <c r="N80" s="864"/>
      <c r="O80" s="864"/>
      <c r="P80" s="864"/>
      <c r="Q80" s="861"/>
      <c r="R80" s="864"/>
      <c r="S80" s="858"/>
    </row>
    <row r="81" spans="1:19" s="32" customFormat="1" ht="33.75" customHeight="1">
      <c r="A81" s="709" t="s">
        <v>1474</v>
      </c>
      <c r="B81" s="857" t="s">
        <v>1472</v>
      </c>
      <c r="C81" s="862" t="s">
        <v>431</v>
      </c>
      <c r="D81" s="931">
        <v>5</v>
      </c>
      <c r="E81" s="928">
        <v>2</v>
      </c>
      <c r="F81" s="866">
        <v>0.4</v>
      </c>
      <c r="G81" s="857" t="s">
        <v>1473</v>
      </c>
      <c r="H81" s="67" t="s">
        <v>1354</v>
      </c>
      <c r="I81" s="874">
        <f>97344429/1000</f>
        <v>97344.429</v>
      </c>
      <c r="J81" s="887">
        <v>29864</v>
      </c>
      <c r="K81" s="871">
        <f>J81/I81</f>
        <v>0.30678694514711263</v>
      </c>
      <c r="L81" s="857" t="s">
        <v>535</v>
      </c>
      <c r="M81" s="857" t="s">
        <v>2149</v>
      </c>
      <c r="N81" s="862">
        <v>3</v>
      </c>
      <c r="O81" s="868">
        <f>91744429/1000</f>
        <v>91744.429</v>
      </c>
      <c r="P81" s="868">
        <f>29864429/1000</f>
        <v>29864.429</v>
      </c>
      <c r="Q81" s="859">
        <f>P81/O81</f>
        <v>0.3255176289777769</v>
      </c>
      <c r="R81" s="862" t="s">
        <v>1325</v>
      </c>
      <c r="S81" s="857" t="s">
        <v>2231</v>
      </c>
    </row>
    <row r="82" spans="1:19" s="32" customFormat="1" ht="29.25" customHeight="1">
      <c r="A82" s="710"/>
      <c r="B82" s="865"/>
      <c r="C82" s="863"/>
      <c r="D82" s="939">
        <v>5</v>
      </c>
      <c r="E82" s="940">
        <v>2</v>
      </c>
      <c r="F82" s="891">
        <v>0.4</v>
      </c>
      <c r="G82" s="865"/>
      <c r="H82" s="67" t="s">
        <v>1264</v>
      </c>
      <c r="I82" s="875"/>
      <c r="J82" s="888"/>
      <c r="K82" s="872"/>
      <c r="L82" s="865"/>
      <c r="M82" s="865"/>
      <c r="N82" s="863"/>
      <c r="O82" s="869"/>
      <c r="P82" s="869"/>
      <c r="Q82" s="860"/>
      <c r="R82" s="863"/>
      <c r="S82" s="865"/>
    </row>
    <row r="83" spans="1:19" s="32" customFormat="1" ht="48" customHeight="1">
      <c r="A83" s="711"/>
      <c r="B83" s="858"/>
      <c r="C83" s="864"/>
      <c r="D83" s="932">
        <v>5</v>
      </c>
      <c r="E83" s="929">
        <v>2</v>
      </c>
      <c r="F83" s="867">
        <v>0.4</v>
      </c>
      <c r="G83" s="858"/>
      <c r="H83" s="67" t="s">
        <v>1726</v>
      </c>
      <c r="I83" s="876"/>
      <c r="J83" s="889"/>
      <c r="K83" s="873"/>
      <c r="L83" s="858"/>
      <c r="M83" s="858"/>
      <c r="N83" s="864"/>
      <c r="O83" s="870"/>
      <c r="P83" s="870"/>
      <c r="Q83" s="861"/>
      <c r="R83" s="864"/>
      <c r="S83" s="858"/>
    </row>
    <row r="84" spans="1:19" s="32" customFormat="1" ht="69" customHeight="1">
      <c r="A84" s="61" t="s">
        <v>1476</v>
      </c>
      <c r="B84" s="67" t="s">
        <v>1478</v>
      </c>
      <c r="C84" s="67" t="s">
        <v>432</v>
      </c>
      <c r="D84" s="186">
        <v>1</v>
      </c>
      <c r="E84" s="193">
        <v>1</v>
      </c>
      <c r="F84" s="188">
        <f>E84/D84</f>
        <v>1</v>
      </c>
      <c r="G84" s="895" t="s">
        <v>1475</v>
      </c>
      <c r="H84" s="67" t="s">
        <v>1482</v>
      </c>
      <c r="I84" s="903">
        <f>33371013/1000</f>
        <v>33371.013</v>
      </c>
      <c r="J84" s="887">
        <f>30871013/1000</f>
        <v>30871.013</v>
      </c>
      <c r="K84" s="871">
        <f>J84/I84</f>
        <v>0.9250846835245906</v>
      </c>
      <c r="L84" s="857" t="s">
        <v>535</v>
      </c>
      <c r="M84" s="67" t="s">
        <v>2150</v>
      </c>
      <c r="N84" s="862">
        <v>7</v>
      </c>
      <c r="O84" s="868">
        <f>30871013/1000</f>
        <v>30871.013</v>
      </c>
      <c r="P84" s="868">
        <f>J84</f>
        <v>30871.013</v>
      </c>
      <c r="Q84" s="859">
        <f>P84/O84</f>
        <v>1</v>
      </c>
      <c r="R84" s="862" t="s">
        <v>1325</v>
      </c>
      <c r="S84" s="857" t="s">
        <v>2231</v>
      </c>
    </row>
    <row r="85" spans="1:19" s="32" customFormat="1" ht="36" customHeight="1">
      <c r="A85" s="709" t="s">
        <v>1477</v>
      </c>
      <c r="B85" s="857" t="s">
        <v>1479</v>
      </c>
      <c r="C85" s="857" t="s">
        <v>433</v>
      </c>
      <c r="D85" s="928">
        <v>2</v>
      </c>
      <c r="E85" s="941">
        <v>2</v>
      </c>
      <c r="F85" s="866">
        <f>E85/D85</f>
        <v>1</v>
      </c>
      <c r="G85" s="897"/>
      <c r="H85" s="67" t="s">
        <v>1782</v>
      </c>
      <c r="I85" s="904"/>
      <c r="J85" s="888"/>
      <c r="K85" s="872"/>
      <c r="L85" s="865"/>
      <c r="M85" s="857" t="s">
        <v>2151</v>
      </c>
      <c r="N85" s="863"/>
      <c r="O85" s="869"/>
      <c r="P85" s="869"/>
      <c r="Q85" s="860"/>
      <c r="R85" s="863"/>
      <c r="S85" s="865"/>
    </row>
    <row r="86" spans="1:19" s="32" customFormat="1" ht="141" customHeight="1">
      <c r="A86" s="711"/>
      <c r="B86" s="858"/>
      <c r="C86" s="858"/>
      <c r="D86" s="929"/>
      <c r="E86" s="942"/>
      <c r="F86" s="867"/>
      <c r="G86" s="898"/>
      <c r="H86" s="67" t="s">
        <v>1783</v>
      </c>
      <c r="I86" s="905"/>
      <c r="J86" s="889"/>
      <c r="K86" s="873"/>
      <c r="L86" s="858"/>
      <c r="M86" s="858"/>
      <c r="N86" s="864"/>
      <c r="O86" s="864"/>
      <c r="P86" s="864"/>
      <c r="Q86" s="861"/>
      <c r="R86" s="864"/>
      <c r="S86" s="858"/>
    </row>
    <row r="87" spans="1:19" s="32" customFormat="1" ht="67.5" customHeight="1">
      <c r="A87" s="709" t="s">
        <v>1484</v>
      </c>
      <c r="B87" s="857" t="s">
        <v>1480</v>
      </c>
      <c r="C87" s="857" t="s">
        <v>434</v>
      </c>
      <c r="D87" s="928">
        <v>1</v>
      </c>
      <c r="E87" s="931">
        <v>1</v>
      </c>
      <c r="F87" s="866">
        <f>E87/D87</f>
        <v>1</v>
      </c>
      <c r="G87" s="857" t="s">
        <v>1483</v>
      </c>
      <c r="H87" s="67" t="s">
        <v>1784</v>
      </c>
      <c r="I87" s="887">
        <f>576674326.58/1000</f>
        <v>576674.32658</v>
      </c>
      <c r="J87" s="887">
        <v>529089</v>
      </c>
      <c r="K87" s="871">
        <f>J87/I87</f>
        <v>0.9174831887137971</v>
      </c>
      <c r="L87" s="857" t="s">
        <v>536</v>
      </c>
      <c r="M87" s="857" t="s">
        <v>2152</v>
      </c>
      <c r="N87" s="862">
        <v>33</v>
      </c>
      <c r="O87" s="868">
        <f>538688897/1000</f>
        <v>538688.897</v>
      </c>
      <c r="P87" s="868">
        <f>529088897/1000</f>
        <v>529088.897</v>
      </c>
      <c r="Q87" s="859">
        <f>P87/O87</f>
        <v>0.9821789532818235</v>
      </c>
      <c r="R87" s="862" t="s">
        <v>1325</v>
      </c>
      <c r="S87" s="857" t="s">
        <v>2231</v>
      </c>
    </row>
    <row r="88" spans="1:19" s="32" customFormat="1" ht="129" customHeight="1">
      <c r="A88" s="711"/>
      <c r="B88" s="858"/>
      <c r="C88" s="858"/>
      <c r="D88" s="929"/>
      <c r="E88" s="932"/>
      <c r="F88" s="867"/>
      <c r="G88" s="865"/>
      <c r="H88" s="67" t="s">
        <v>1354</v>
      </c>
      <c r="I88" s="888"/>
      <c r="J88" s="888"/>
      <c r="K88" s="872"/>
      <c r="L88" s="865"/>
      <c r="M88" s="858"/>
      <c r="N88" s="863"/>
      <c r="O88" s="869"/>
      <c r="P88" s="869"/>
      <c r="Q88" s="860"/>
      <c r="R88" s="863"/>
      <c r="S88" s="865"/>
    </row>
    <row r="89" spans="1:19" s="32" customFormat="1" ht="246" customHeight="1">
      <c r="A89" s="61" t="s">
        <v>1485</v>
      </c>
      <c r="B89" s="67" t="s">
        <v>1481</v>
      </c>
      <c r="C89" s="67" t="s">
        <v>435</v>
      </c>
      <c r="D89" s="186">
        <v>3</v>
      </c>
      <c r="E89" s="186">
        <v>3</v>
      </c>
      <c r="F89" s="188">
        <f>E89/D89</f>
        <v>1</v>
      </c>
      <c r="G89" s="858"/>
      <c r="H89" s="67" t="s">
        <v>1394</v>
      </c>
      <c r="I89" s="889"/>
      <c r="J89" s="889"/>
      <c r="K89" s="873"/>
      <c r="L89" s="858"/>
      <c r="M89" s="67" t="s">
        <v>2153</v>
      </c>
      <c r="N89" s="864"/>
      <c r="O89" s="870"/>
      <c r="P89" s="870"/>
      <c r="Q89" s="861"/>
      <c r="R89" s="864"/>
      <c r="S89" s="858"/>
    </row>
    <row r="90" spans="1:19" s="32" customFormat="1" ht="36.75" customHeight="1">
      <c r="A90" s="709" t="s">
        <v>1487</v>
      </c>
      <c r="B90" s="857" t="s">
        <v>1490</v>
      </c>
      <c r="C90" s="857" t="s">
        <v>436</v>
      </c>
      <c r="D90" s="928">
        <v>200</v>
      </c>
      <c r="E90" s="931">
        <v>0</v>
      </c>
      <c r="F90" s="866">
        <f>E90/D90</f>
        <v>0</v>
      </c>
      <c r="G90" s="857" t="s">
        <v>1486</v>
      </c>
      <c r="H90" s="67" t="s">
        <v>1774</v>
      </c>
      <c r="I90" s="874">
        <f>2537508538.73/1000</f>
        <v>2537508.53873</v>
      </c>
      <c r="J90" s="874">
        <f>116910497/1000</f>
        <v>116910.497</v>
      </c>
      <c r="K90" s="871">
        <f>J90/I90</f>
        <v>0.046072947229770754</v>
      </c>
      <c r="L90" s="857" t="s">
        <v>987</v>
      </c>
      <c r="M90" s="857" t="s">
        <v>2154</v>
      </c>
      <c r="N90" s="862">
        <v>18</v>
      </c>
      <c r="O90" s="868">
        <f>116910497/1000</f>
        <v>116910.497</v>
      </c>
      <c r="P90" s="868">
        <f>J90</f>
        <v>116910.497</v>
      </c>
      <c r="Q90" s="859">
        <f>P90/O90</f>
        <v>1</v>
      </c>
      <c r="R90" s="862" t="s">
        <v>1325</v>
      </c>
      <c r="S90" s="857" t="s">
        <v>2231</v>
      </c>
    </row>
    <row r="91" spans="1:19" s="32" customFormat="1" ht="51" customHeight="1">
      <c r="A91" s="711"/>
      <c r="B91" s="858"/>
      <c r="C91" s="858"/>
      <c r="D91" s="929"/>
      <c r="E91" s="932"/>
      <c r="F91" s="867"/>
      <c r="G91" s="865"/>
      <c r="H91" s="67" t="s">
        <v>1775</v>
      </c>
      <c r="I91" s="875"/>
      <c r="J91" s="875"/>
      <c r="K91" s="872"/>
      <c r="L91" s="865"/>
      <c r="M91" s="858"/>
      <c r="N91" s="863"/>
      <c r="O91" s="869"/>
      <c r="P91" s="869"/>
      <c r="Q91" s="860"/>
      <c r="R91" s="863"/>
      <c r="S91" s="865"/>
    </row>
    <row r="92" spans="1:19" s="32" customFormat="1" ht="51" customHeight="1">
      <c r="A92" s="709" t="s">
        <v>1488</v>
      </c>
      <c r="B92" s="857" t="s">
        <v>1491</v>
      </c>
      <c r="C92" s="862" t="s">
        <v>537</v>
      </c>
      <c r="D92" s="928">
        <v>5</v>
      </c>
      <c r="E92" s="931">
        <v>0</v>
      </c>
      <c r="F92" s="866">
        <f>E92/D92</f>
        <v>0</v>
      </c>
      <c r="G92" s="865"/>
      <c r="H92" s="67" t="s">
        <v>1776</v>
      </c>
      <c r="I92" s="875"/>
      <c r="J92" s="875"/>
      <c r="K92" s="872"/>
      <c r="L92" s="865"/>
      <c r="M92" s="857" t="s">
        <v>2155</v>
      </c>
      <c r="N92" s="863"/>
      <c r="O92" s="869"/>
      <c r="P92" s="869"/>
      <c r="Q92" s="860"/>
      <c r="R92" s="863"/>
      <c r="S92" s="865"/>
    </row>
    <row r="93" spans="1:19" s="32" customFormat="1" ht="29.25" customHeight="1">
      <c r="A93" s="711"/>
      <c r="B93" s="858"/>
      <c r="C93" s="864"/>
      <c r="D93" s="929"/>
      <c r="E93" s="932"/>
      <c r="F93" s="867"/>
      <c r="G93" s="858"/>
      <c r="H93" s="67" t="s">
        <v>1734</v>
      </c>
      <c r="I93" s="876"/>
      <c r="J93" s="876"/>
      <c r="K93" s="873"/>
      <c r="L93" s="858"/>
      <c r="M93" s="858"/>
      <c r="N93" s="864"/>
      <c r="O93" s="870"/>
      <c r="P93" s="870"/>
      <c r="Q93" s="861"/>
      <c r="R93" s="864"/>
      <c r="S93" s="858"/>
    </row>
    <row r="94" spans="1:19" s="32" customFormat="1" ht="30" customHeight="1">
      <c r="A94" s="709" t="s">
        <v>1495</v>
      </c>
      <c r="B94" s="857" t="s">
        <v>1492</v>
      </c>
      <c r="C94" s="857" t="s">
        <v>31</v>
      </c>
      <c r="D94" s="919">
        <v>0.3</v>
      </c>
      <c r="E94" s="919">
        <v>0.2</v>
      </c>
      <c r="F94" s="866">
        <f>E94/D94</f>
        <v>0.6666666666666667</v>
      </c>
      <c r="G94" s="857" t="s">
        <v>1489</v>
      </c>
      <c r="H94" s="67" t="s">
        <v>1734</v>
      </c>
      <c r="I94" s="925">
        <f>122618333.05/1000</f>
        <v>122618.33305</v>
      </c>
      <c r="J94" s="511">
        <f>72787128/1000</f>
        <v>72787.128</v>
      </c>
      <c r="K94" s="871">
        <f>J94/I94</f>
        <v>0.5936072216078785</v>
      </c>
      <c r="L94" s="857" t="s">
        <v>875</v>
      </c>
      <c r="M94" s="857" t="s">
        <v>2156</v>
      </c>
      <c r="N94" s="862">
        <v>10</v>
      </c>
      <c r="O94" s="868">
        <f>72787128/1000</f>
        <v>72787.128</v>
      </c>
      <c r="P94" s="868">
        <f>J94</f>
        <v>72787.128</v>
      </c>
      <c r="Q94" s="859">
        <f>P94/O94</f>
        <v>1</v>
      </c>
      <c r="R94" s="862" t="s">
        <v>1325</v>
      </c>
      <c r="S94" s="857" t="s">
        <v>2231</v>
      </c>
    </row>
    <row r="95" spans="1:19" s="32" customFormat="1" ht="51.75" customHeight="1">
      <c r="A95" s="710"/>
      <c r="B95" s="865"/>
      <c r="C95" s="865"/>
      <c r="D95" s="920"/>
      <c r="E95" s="920"/>
      <c r="F95" s="891"/>
      <c r="G95" s="865"/>
      <c r="H95" s="67" t="s">
        <v>1735</v>
      </c>
      <c r="I95" s="926"/>
      <c r="J95" s="915"/>
      <c r="K95" s="872"/>
      <c r="L95" s="865"/>
      <c r="M95" s="865"/>
      <c r="N95" s="863"/>
      <c r="O95" s="869"/>
      <c r="P95" s="869"/>
      <c r="Q95" s="860"/>
      <c r="R95" s="863"/>
      <c r="S95" s="865"/>
    </row>
    <row r="96" spans="1:19" s="32" customFormat="1" ht="24.75" customHeight="1">
      <c r="A96" s="711"/>
      <c r="B96" s="858"/>
      <c r="C96" s="858"/>
      <c r="D96" s="921"/>
      <c r="E96" s="921"/>
      <c r="F96" s="867"/>
      <c r="G96" s="858"/>
      <c r="H96" s="67" t="s">
        <v>1354</v>
      </c>
      <c r="I96" s="927"/>
      <c r="J96" s="512"/>
      <c r="K96" s="873"/>
      <c r="L96" s="858"/>
      <c r="M96" s="858"/>
      <c r="N96" s="864"/>
      <c r="O96" s="870"/>
      <c r="P96" s="870"/>
      <c r="Q96" s="861"/>
      <c r="R96" s="864"/>
      <c r="S96" s="858"/>
    </row>
    <row r="97" spans="1:19" s="32" customFormat="1" ht="42" customHeight="1">
      <c r="A97" s="709" t="s">
        <v>1496</v>
      </c>
      <c r="B97" s="857" t="s">
        <v>1493</v>
      </c>
      <c r="C97" s="857" t="s">
        <v>31</v>
      </c>
      <c r="D97" s="919">
        <v>0.3</v>
      </c>
      <c r="E97" s="919">
        <v>0.1</v>
      </c>
      <c r="F97" s="866">
        <f>E97/D97</f>
        <v>0.33333333333333337</v>
      </c>
      <c r="G97" s="857" t="s">
        <v>1494</v>
      </c>
      <c r="H97" s="67" t="s">
        <v>1358</v>
      </c>
      <c r="I97" s="912">
        <f>25000000/1000</f>
        <v>25000</v>
      </c>
      <c r="J97" s="511">
        <f>25000000/1000</f>
        <v>25000</v>
      </c>
      <c r="K97" s="871">
        <f>J97/I97</f>
        <v>1</v>
      </c>
      <c r="L97" s="857" t="s">
        <v>988</v>
      </c>
      <c r="M97" s="857" t="s">
        <v>2157</v>
      </c>
      <c r="N97" s="862">
        <v>3</v>
      </c>
      <c r="O97" s="868">
        <f>'[3]F3 INV. MPIOS X PTO. ENTREGADO'!$F$235/1000</f>
        <v>25000</v>
      </c>
      <c r="P97" s="868">
        <f>J97</f>
        <v>25000</v>
      </c>
      <c r="Q97" s="859">
        <f>P97/O97</f>
        <v>1</v>
      </c>
      <c r="R97" s="862" t="s">
        <v>1325</v>
      </c>
      <c r="S97" s="857" t="s">
        <v>2231</v>
      </c>
    </row>
    <row r="98" spans="1:19" s="32" customFormat="1" ht="48" customHeight="1">
      <c r="A98" s="711"/>
      <c r="B98" s="858"/>
      <c r="C98" s="858"/>
      <c r="D98" s="921"/>
      <c r="E98" s="921"/>
      <c r="F98" s="867"/>
      <c r="G98" s="858"/>
      <c r="H98" s="67" t="s">
        <v>1736</v>
      </c>
      <c r="I98" s="914"/>
      <c r="J98" s="512"/>
      <c r="K98" s="873"/>
      <c r="L98" s="858"/>
      <c r="M98" s="858"/>
      <c r="N98" s="864"/>
      <c r="O98" s="870"/>
      <c r="P98" s="870"/>
      <c r="Q98" s="861"/>
      <c r="R98" s="864"/>
      <c r="S98" s="858"/>
    </row>
    <row r="99" spans="1:19" ht="22.5" customHeight="1">
      <c r="A99" s="660" t="s">
        <v>1093</v>
      </c>
      <c r="B99" s="660"/>
      <c r="C99" s="265"/>
      <c r="D99" s="131"/>
      <c r="E99" s="131"/>
      <c r="F99" s="312">
        <v>0.81</v>
      </c>
      <c r="G99" s="107">
        <v>25</v>
      </c>
      <c r="H99" s="28"/>
      <c r="I99" s="106">
        <f>SUM(I8:I97)</f>
        <v>5316298.269959999</v>
      </c>
      <c r="J99" s="106">
        <f>SUM(J8:J97)</f>
        <v>2655063.1332</v>
      </c>
      <c r="K99" s="311">
        <f>J99/I99</f>
        <v>0.49941952057177885</v>
      </c>
      <c r="L99" s="28"/>
      <c r="M99" s="23"/>
      <c r="N99" s="106">
        <v>239</v>
      </c>
      <c r="O99" s="106">
        <f>SUM(O8:O97)</f>
        <v>2765366.6362</v>
      </c>
      <c r="P99" s="106">
        <f>SUM(P8:P97)</f>
        <v>2655063.4592</v>
      </c>
      <c r="Q99" s="297">
        <f>P99/O99</f>
        <v>0.9601126391140771</v>
      </c>
      <c r="R99" s="167"/>
      <c r="S99" s="28"/>
    </row>
    <row r="100" spans="1:19" ht="22.5" customHeight="1">
      <c r="A100" s="660" t="s">
        <v>6</v>
      </c>
      <c r="B100" s="660"/>
      <c r="C100" s="266"/>
      <c r="D100" s="132"/>
      <c r="E100" s="132"/>
      <c r="F100" s="132"/>
      <c r="G100" s="55"/>
      <c r="H100" s="55"/>
      <c r="I100" s="90"/>
      <c r="J100" s="90"/>
      <c r="K100" s="314"/>
      <c r="L100" s="55"/>
      <c r="M100" s="55"/>
      <c r="N100" s="55"/>
      <c r="O100" s="55"/>
      <c r="P100" s="55"/>
      <c r="Q100" s="320"/>
      <c r="R100" s="167"/>
      <c r="S100" s="55"/>
    </row>
    <row r="101" spans="1:19" ht="22.5" customHeight="1">
      <c r="A101" s="549" t="s">
        <v>1713</v>
      </c>
      <c r="B101" s="550"/>
      <c r="C101" s="267"/>
      <c r="D101" s="255"/>
      <c r="E101" s="255"/>
      <c r="F101" s="255"/>
      <c r="G101" s="55"/>
      <c r="H101" s="55"/>
      <c r="I101" s="90"/>
      <c r="J101" s="90"/>
      <c r="K101" s="314"/>
      <c r="L101" s="55"/>
      <c r="M101" s="55"/>
      <c r="N101" s="55"/>
      <c r="O101" s="55"/>
      <c r="P101" s="55"/>
      <c r="Q101" s="320"/>
      <c r="R101" s="167"/>
      <c r="S101" s="55"/>
    </row>
    <row r="102" spans="1:19" ht="22.5" customHeight="1">
      <c r="A102" s="661"/>
      <c r="B102" s="661"/>
      <c r="C102" s="273"/>
      <c r="D102" s="16"/>
      <c r="E102" s="16"/>
      <c r="F102" s="16"/>
      <c r="G102" s="71"/>
      <c r="H102" s="71"/>
      <c r="I102" s="71"/>
      <c r="J102" s="71"/>
      <c r="K102" s="322"/>
      <c r="L102" s="71"/>
      <c r="M102" s="906"/>
      <c r="N102" s="907"/>
      <c r="O102" s="71"/>
      <c r="P102" s="71"/>
      <c r="Q102" s="322"/>
      <c r="R102" s="71"/>
      <c r="S102" s="71"/>
    </row>
    <row r="103" spans="1:19" ht="22.5" customHeight="1">
      <c r="A103" s="661" t="s">
        <v>7</v>
      </c>
      <c r="B103" s="661"/>
      <c r="C103" s="856" t="s">
        <v>1688</v>
      </c>
      <c r="D103" s="856"/>
      <c r="E103" s="130"/>
      <c r="F103" s="130"/>
      <c r="G103" s="136"/>
      <c r="H103" s="136"/>
      <c r="I103" s="136"/>
      <c r="J103" s="136"/>
      <c r="K103" s="323"/>
      <c r="L103" s="71"/>
      <c r="M103" s="906"/>
      <c r="N103" s="907"/>
      <c r="O103" s="71"/>
      <c r="P103" s="71"/>
      <c r="Q103" s="322"/>
      <c r="R103" s="71"/>
      <c r="S103" s="71"/>
    </row>
    <row r="104" spans="1:19" ht="14.25">
      <c r="A104" s="70"/>
      <c r="C104" s="890"/>
      <c r="D104" s="890"/>
      <c r="E104" s="890"/>
      <c r="F104" s="890"/>
      <c r="G104" s="890"/>
      <c r="H104" s="890"/>
      <c r="I104" s="890"/>
      <c r="J104" s="890"/>
      <c r="K104" s="890"/>
      <c r="L104" s="890"/>
      <c r="M104" s="890"/>
      <c r="N104" s="890"/>
      <c r="O104" s="890"/>
      <c r="P104" s="890"/>
      <c r="Q104" s="890"/>
      <c r="R104" s="890"/>
      <c r="S104" s="890"/>
    </row>
  </sheetData>
  <sheetProtection/>
  <mergeCells count="461">
    <mergeCell ref="R87:R89"/>
    <mergeCell ref="S87:S89"/>
    <mergeCell ref="F87:F88"/>
    <mergeCell ref="G87:G89"/>
    <mergeCell ref="I87:I89"/>
    <mergeCell ref="J87:J89"/>
    <mergeCell ref="K87:K89"/>
    <mergeCell ref="L87:L89"/>
    <mergeCell ref="Q87:Q89"/>
    <mergeCell ref="A85:A86"/>
    <mergeCell ref="A87:A88"/>
    <mergeCell ref="B87:B88"/>
    <mergeCell ref="C87:C88"/>
    <mergeCell ref="D87:D88"/>
    <mergeCell ref="E87:E88"/>
    <mergeCell ref="Q64:Q68"/>
    <mergeCell ref="R64:R68"/>
    <mergeCell ref="S64:S68"/>
    <mergeCell ref="B85:B86"/>
    <mergeCell ref="C85:C86"/>
    <mergeCell ref="D85:D86"/>
    <mergeCell ref="E85:E86"/>
    <mergeCell ref="F85:F86"/>
    <mergeCell ref="K64:K68"/>
    <mergeCell ref="L64:L68"/>
    <mergeCell ref="A61:A62"/>
    <mergeCell ref="B61:B62"/>
    <mergeCell ref="C61:C62"/>
    <mergeCell ref="D61:D62"/>
    <mergeCell ref="E61:E62"/>
    <mergeCell ref="A64:A66"/>
    <mergeCell ref="B64:B66"/>
    <mergeCell ref="B42:B43"/>
    <mergeCell ref="C42:C43"/>
    <mergeCell ref="D42:D43"/>
    <mergeCell ref="E42:E43"/>
    <mergeCell ref="N64:N68"/>
    <mergeCell ref="O64:O68"/>
    <mergeCell ref="G64:G68"/>
    <mergeCell ref="I64:I68"/>
    <mergeCell ref="J64:J68"/>
    <mergeCell ref="K44:K46"/>
    <mergeCell ref="F90:F91"/>
    <mergeCell ref="G90:G93"/>
    <mergeCell ref="I90:I93"/>
    <mergeCell ref="A92:A93"/>
    <mergeCell ref="A67:A68"/>
    <mergeCell ref="B67:B68"/>
    <mergeCell ref="C67:C68"/>
    <mergeCell ref="D67:D68"/>
    <mergeCell ref="E67:E68"/>
    <mergeCell ref="F67:F68"/>
    <mergeCell ref="P81:P83"/>
    <mergeCell ref="Q81:Q83"/>
    <mergeCell ref="R81:R83"/>
    <mergeCell ref="M85:M86"/>
    <mergeCell ref="S81:S83"/>
    <mergeCell ref="A90:A91"/>
    <mergeCell ref="B90:B91"/>
    <mergeCell ref="C90:C91"/>
    <mergeCell ref="D90:D91"/>
    <mergeCell ref="E90:E91"/>
    <mergeCell ref="G81:G83"/>
    <mergeCell ref="I81:I83"/>
    <mergeCell ref="J81:J83"/>
    <mergeCell ref="K81:K83"/>
    <mergeCell ref="L81:L83"/>
    <mergeCell ref="B92:B93"/>
    <mergeCell ref="C92:C93"/>
    <mergeCell ref="D92:D93"/>
    <mergeCell ref="E92:E93"/>
    <mergeCell ref="F92:F93"/>
    <mergeCell ref="A81:A83"/>
    <mergeCell ref="B81:B83"/>
    <mergeCell ref="C81:C83"/>
    <mergeCell ref="D81:D83"/>
    <mergeCell ref="E81:E83"/>
    <mergeCell ref="F81:F83"/>
    <mergeCell ref="R69:R72"/>
    <mergeCell ref="S69:S72"/>
    <mergeCell ref="A74:A75"/>
    <mergeCell ref="B74:B75"/>
    <mergeCell ref="C74:C75"/>
    <mergeCell ref="D74:D75"/>
    <mergeCell ref="E74:E75"/>
    <mergeCell ref="G69:G72"/>
    <mergeCell ref="F74:F75"/>
    <mergeCell ref="A69:A72"/>
    <mergeCell ref="S36:S40"/>
    <mergeCell ref="O36:O40"/>
    <mergeCell ref="A45:A46"/>
    <mergeCell ref="B45:B46"/>
    <mergeCell ref="C45:C46"/>
    <mergeCell ref="D45:D46"/>
    <mergeCell ref="E45:E46"/>
    <mergeCell ref="F45:F46"/>
    <mergeCell ref="J36:J40"/>
    <mergeCell ref="F42:F43"/>
    <mergeCell ref="B69:B72"/>
    <mergeCell ref="C69:C72"/>
    <mergeCell ref="D69:D72"/>
    <mergeCell ref="E69:E72"/>
    <mergeCell ref="A36:A37"/>
    <mergeCell ref="C64:C66"/>
    <mergeCell ref="D64:D66"/>
    <mergeCell ref="E64:E66"/>
    <mergeCell ref="A42:A43"/>
    <mergeCell ref="B36:B37"/>
    <mergeCell ref="C36:C37"/>
    <mergeCell ref="D36:D37"/>
    <mergeCell ref="E36:E37"/>
    <mergeCell ref="F36:F37"/>
    <mergeCell ref="S22:S25"/>
    <mergeCell ref="G22:G25"/>
    <mergeCell ref="N22:N25"/>
    <mergeCell ref="O22:O25"/>
    <mergeCell ref="K36:K40"/>
    <mergeCell ref="P22:P25"/>
    <mergeCell ref="A24:A25"/>
    <mergeCell ref="B24:B25"/>
    <mergeCell ref="C24:C25"/>
    <mergeCell ref="D24:D25"/>
    <mergeCell ref="E24:E25"/>
    <mergeCell ref="F24:F25"/>
    <mergeCell ref="F22:F23"/>
    <mergeCell ref="A20:A21"/>
    <mergeCell ref="B20:B21"/>
    <mergeCell ref="C20:C21"/>
    <mergeCell ref="D20:D21"/>
    <mergeCell ref="E20:E21"/>
    <mergeCell ref="A28:A29"/>
    <mergeCell ref="B28:B29"/>
    <mergeCell ref="C28:C29"/>
    <mergeCell ref="D28:D29"/>
    <mergeCell ref="E28:E29"/>
    <mergeCell ref="A22:A23"/>
    <mergeCell ref="B22:B23"/>
    <mergeCell ref="C22:C23"/>
    <mergeCell ref="D22:D23"/>
    <mergeCell ref="E22:E23"/>
    <mergeCell ref="G97:G98"/>
    <mergeCell ref="I97:I98"/>
    <mergeCell ref="P97:P98"/>
    <mergeCell ref="Q97:Q98"/>
    <mergeCell ref="R97:R98"/>
    <mergeCell ref="J97:J98"/>
    <mergeCell ref="K97:K98"/>
    <mergeCell ref="L97:L98"/>
    <mergeCell ref="N97:N98"/>
    <mergeCell ref="O97:O98"/>
    <mergeCell ref="A97:A98"/>
    <mergeCell ref="B97:B98"/>
    <mergeCell ref="C97:C98"/>
    <mergeCell ref="D97:D98"/>
    <mergeCell ref="E97:E98"/>
    <mergeCell ref="F97:F98"/>
    <mergeCell ref="F94:F96"/>
    <mergeCell ref="G94:G96"/>
    <mergeCell ref="I94:I96"/>
    <mergeCell ref="J94:J96"/>
    <mergeCell ref="K94:K96"/>
    <mergeCell ref="S94:S96"/>
    <mergeCell ref="L94:L96"/>
    <mergeCell ref="R94:R96"/>
    <mergeCell ref="S15:S18"/>
    <mergeCell ref="H50:H51"/>
    <mergeCell ref="H56:H57"/>
    <mergeCell ref="H53:H55"/>
    <mergeCell ref="J15:J18"/>
    <mergeCell ref="K15:K18"/>
    <mergeCell ref="I22:I25"/>
    <mergeCell ref="J22:J25"/>
    <mergeCell ref="K22:K25"/>
    <mergeCell ref="L22:L25"/>
    <mergeCell ref="R15:R18"/>
    <mergeCell ref="Q15:Q18"/>
    <mergeCell ref="N94:N96"/>
    <mergeCell ref="O94:O96"/>
    <mergeCell ref="P94:P96"/>
    <mergeCell ref="Q94:Q96"/>
    <mergeCell ref="P36:P40"/>
    <mergeCell ref="P78:P80"/>
    <mergeCell ref="R36:R40"/>
    <mergeCell ref="Q22:Q25"/>
    <mergeCell ref="R12:R14"/>
    <mergeCell ref="S12:S14"/>
    <mergeCell ref="A94:A96"/>
    <mergeCell ref="B94:B96"/>
    <mergeCell ref="C94:C96"/>
    <mergeCell ref="D94:D96"/>
    <mergeCell ref="E94:E96"/>
    <mergeCell ref="N12:N14"/>
    <mergeCell ref="P15:P18"/>
    <mergeCell ref="I15:I18"/>
    <mergeCell ref="G15:G18"/>
    <mergeCell ref="L15:L18"/>
    <mergeCell ref="B15:B17"/>
    <mergeCell ref="C15:C17"/>
    <mergeCell ref="D15:D17"/>
    <mergeCell ref="E15:E17"/>
    <mergeCell ref="F15:F17"/>
    <mergeCell ref="P8:P11"/>
    <mergeCell ref="K8:K11"/>
    <mergeCell ref="L8:L11"/>
    <mergeCell ref="N8:N11"/>
    <mergeCell ref="O8:O11"/>
    <mergeCell ref="Q12:Q14"/>
    <mergeCell ref="O12:O14"/>
    <mergeCell ref="P12:P14"/>
    <mergeCell ref="J8:J11"/>
    <mergeCell ref="G12:G14"/>
    <mergeCell ref="I12:I14"/>
    <mergeCell ref="J12:J14"/>
    <mergeCell ref="K12:K14"/>
    <mergeCell ref="L12:L14"/>
    <mergeCell ref="K32:K35"/>
    <mergeCell ref="Q8:Q11"/>
    <mergeCell ref="R8:R11"/>
    <mergeCell ref="S8:S11"/>
    <mergeCell ref="A12:A14"/>
    <mergeCell ref="B12:B14"/>
    <mergeCell ref="C12:C14"/>
    <mergeCell ref="D12:D14"/>
    <mergeCell ref="E12:E14"/>
    <mergeCell ref="F12:F14"/>
    <mergeCell ref="C8:C11"/>
    <mergeCell ref="D8:D11"/>
    <mergeCell ref="E8:E11"/>
    <mergeCell ref="F8:F11"/>
    <mergeCell ref="G8:G11"/>
    <mergeCell ref="I8:I11"/>
    <mergeCell ref="A101:B101"/>
    <mergeCell ref="A99:B99"/>
    <mergeCell ref="A100:B100"/>
    <mergeCell ref="A102:B102"/>
    <mergeCell ref="A103:B103"/>
    <mergeCell ref="A6:A7"/>
    <mergeCell ref="B6:B7"/>
    <mergeCell ref="A8:A11"/>
    <mergeCell ref="B8:B11"/>
    <mergeCell ref="A15:A17"/>
    <mergeCell ref="M4:O4"/>
    <mergeCell ref="P4:S4"/>
    <mergeCell ref="S19:S21"/>
    <mergeCell ref="S32:S35"/>
    <mergeCell ref="S30:S31"/>
    <mergeCell ref="S27:S29"/>
    <mergeCell ref="Q30:Q31"/>
    <mergeCell ref="P32:P35"/>
    <mergeCell ref="N30:N31"/>
    <mergeCell ref="M15:M17"/>
    <mergeCell ref="S73:S77"/>
    <mergeCell ref="S78:S80"/>
    <mergeCell ref="R73:R77"/>
    <mergeCell ref="R78:R80"/>
    <mergeCell ref="Q84:Q86"/>
    <mergeCell ref="S41:S43"/>
    <mergeCell ref="R60:R63"/>
    <mergeCell ref="S60:S63"/>
    <mergeCell ref="S44:S46"/>
    <mergeCell ref="R41:R43"/>
    <mergeCell ref="R30:R31"/>
    <mergeCell ref="R32:R35"/>
    <mergeCell ref="A2:S2"/>
    <mergeCell ref="A4:G4"/>
    <mergeCell ref="H4:L4"/>
    <mergeCell ref="A3:S3"/>
    <mergeCell ref="C6:C7"/>
    <mergeCell ref="E6:E7"/>
    <mergeCell ref="F6:F7"/>
    <mergeCell ref="L6:L7"/>
    <mergeCell ref="M102:N102"/>
    <mergeCell ref="M103:N103"/>
    <mergeCell ref="S84:S86"/>
    <mergeCell ref="R84:R86"/>
    <mergeCell ref="G84:G86"/>
    <mergeCell ref="P6:P7"/>
    <mergeCell ref="G6:G7"/>
    <mergeCell ref="Q32:Q35"/>
    <mergeCell ref="O30:O31"/>
    <mergeCell ref="M67:M68"/>
    <mergeCell ref="O6:O7"/>
    <mergeCell ref="G19:G21"/>
    <mergeCell ref="L19:L21"/>
    <mergeCell ref="M6:M7"/>
    <mergeCell ref="N6:N7"/>
    <mergeCell ref="N32:N35"/>
    <mergeCell ref="O32:O35"/>
    <mergeCell ref="G27:G29"/>
    <mergeCell ref="L27:L29"/>
    <mergeCell ref="L32:L35"/>
    <mergeCell ref="R44:R46"/>
    <mergeCell ref="S52:S59"/>
    <mergeCell ref="R52:R59"/>
    <mergeCell ref="S47:S51"/>
    <mergeCell ref="R47:R51"/>
    <mergeCell ref="L41:L43"/>
    <mergeCell ref="P41:P43"/>
    <mergeCell ref="Q41:Q43"/>
    <mergeCell ref="N44:N46"/>
    <mergeCell ref="O41:O43"/>
    <mergeCell ref="J41:J43"/>
    <mergeCell ref="L47:L51"/>
    <mergeCell ref="J47:J51"/>
    <mergeCell ref="K47:K51"/>
    <mergeCell ref="K52:K59"/>
    <mergeCell ref="J69:J72"/>
    <mergeCell ref="J52:J59"/>
    <mergeCell ref="L44:L46"/>
    <mergeCell ref="L60:L63"/>
    <mergeCell ref="L52:L59"/>
    <mergeCell ref="I84:I86"/>
    <mergeCell ref="J84:J86"/>
    <mergeCell ref="L73:L77"/>
    <mergeCell ref="G78:G80"/>
    <mergeCell ref="G73:G77"/>
    <mergeCell ref="G60:G63"/>
    <mergeCell ref="I69:I72"/>
    <mergeCell ref="K69:K72"/>
    <mergeCell ref="L69:L72"/>
    <mergeCell ref="K60:K63"/>
    <mergeCell ref="J73:J77"/>
    <mergeCell ref="K73:K77"/>
    <mergeCell ref="I78:I80"/>
    <mergeCell ref="P73:P77"/>
    <mergeCell ref="J78:J80"/>
    <mergeCell ref="K78:K80"/>
    <mergeCell ref="N73:N77"/>
    <mergeCell ref="O73:O77"/>
    <mergeCell ref="M74:M75"/>
    <mergeCell ref="H30:H31"/>
    <mergeCell ref="I32:I35"/>
    <mergeCell ref="J32:J35"/>
    <mergeCell ref="H32:H35"/>
    <mergeCell ref="J60:J63"/>
    <mergeCell ref="G41:G43"/>
    <mergeCell ref="G30:G31"/>
    <mergeCell ref="I60:I63"/>
    <mergeCell ref="J44:J46"/>
    <mergeCell ref="H58:H59"/>
    <mergeCell ref="G32:G35"/>
    <mergeCell ref="I52:I59"/>
    <mergeCell ref="I41:I43"/>
    <mergeCell ref="I44:I46"/>
    <mergeCell ref="G47:G51"/>
    <mergeCell ref="I47:I51"/>
    <mergeCell ref="G52:G59"/>
    <mergeCell ref="G36:G40"/>
    <mergeCell ref="I36:I40"/>
    <mergeCell ref="G44:G46"/>
    <mergeCell ref="I30:I31"/>
    <mergeCell ref="J30:J31"/>
    <mergeCell ref="K30:K31"/>
    <mergeCell ref="L30:L31"/>
    <mergeCell ref="P30:P31"/>
    <mergeCell ref="I27:I29"/>
    <mergeCell ref="N27:N29"/>
    <mergeCell ref="O27:O29"/>
    <mergeCell ref="P27:P29"/>
    <mergeCell ref="C104:S104"/>
    <mergeCell ref="F69:F72"/>
    <mergeCell ref="F64:F66"/>
    <mergeCell ref="O87:O89"/>
    <mergeCell ref="K41:K43"/>
    <mergeCell ref="N41:N43"/>
    <mergeCell ref="M45:M46"/>
    <mergeCell ref="M64:M66"/>
    <mergeCell ref="O78:O80"/>
    <mergeCell ref="I73:I77"/>
    <mergeCell ref="R27:R29"/>
    <mergeCell ref="F28:F29"/>
    <mergeCell ref="N19:N21"/>
    <mergeCell ref="J27:J29"/>
    <mergeCell ref="K27:K29"/>
    <mergeCell ref="M28:M29"/>
    <mergeCell ref="Q27:Q29"/>
    <mergeCell ref="K19:K21"/>
    <mergeCell ref="R22:R25"/>
    <mergeCell ref="F20:F21"/>
    <mergeCell ref="Q6:Q7"/>
    <mergeCell ref="R6:R7"/>
    <mergeCell ref="P19:P21"/>
    <mergeCell ref="O19:O21"/>
    <mergeCell ref="O44:O46"/>
    <mergeCell ref="P44:P46"/>
    <mergeCell ref="Q44:Q46"/>
    <mergeCell ref="Q36:Q40"/>
    <mergeCell ref="Q19:Q21"/>
    <mergeCell ref="R19:R21"/>
    <mergeCell ref="M61:M62"/>
    <mergeCell ref="P52:P59"/>
    <mergeCell ref="Q52:Q59"/>
    <mergeCell ref="D6:D7"/>
    <mergeCell ref="H6:H7"/>
    <mergeCell ref="I6:I7"/>
    <mergeCell ref="J6:J7"/>
    <mergeCell ref="K6:K7"/>
    <mergeCell ref="I19:I21"/>
    <mergeCell ref="J19:J21"/>
    <mergeCell ref="Q73:Q77"/>
    <mergeCell ref="O60:O63"/>
    <mergeCell ref="P60:P63"/>
    <mergeCell ref="Q60:Q63"/>
    <mergeCell ref="O47:O51"/>
    <mergeCell ref="P47:P51"/>
    <mergeCell ref="Q47:Q51"/>
    <mergeCell ref="P69:P72"/>
    <mergeCell ref="Q69:Q72"/>
    <mergeCell ref="P64:P68"/>
    <mergeCell ref="O52:O59"/>
    <mergeCell ref="M12:M14"/>
    <mergeCell ref="M20:M21"/>
    <mergeCell ref="M22:M23"/>
    <mergeCell ref="M24:M25"/>
    <mergeCell ref="L36:L40"/>
    <mergeCell ref="N36:N40"/>
    <mergeCell ref="N15:N18"/>
    <mergeCell ref="O15:O18"/>
    <mergeCell ref="K84:K86"/>
    <mergeCell ref="N69:N72"/>
    <mergeCell ref="L84:L86"/>
    <mergeCell ref="N84:N86"/>
    <mergeCell ref="M69:M72"/>
    <mergeCell ref="O69:O72"/>
    <mergeCell ref="M81:M83"/>
    <mergeCell ref="A5:F5"/>
    <mergeCell ref="G5:M5"/>
    <mergeCell ref="N5:R5"/>
    <mergeCell ref="P84:P86"/>
    <mergeCell ref="M8:M11"/>
    <mergeCell ref="N78:N80"/>
    <mergeCell ref="M36:M37"/>
    <mergeCell ref="N60:N63"/>
    <mergeCell ref="N52:N59"/>
    <mergeCell ref="L78:L80"/>
    <mergeCell ref="M97:M98"/>
    <mergeCell ref="S5:S7"/>
    <mergeCell ref="N87:N89"/>
    <mergeCell ref="P87:P89"/>
    <mergeCell ref="M42:M43"/>
    <mergeCell ref="Q78:Q80"/>
    <mergeCell ref="N81:N83"/>
    <mergeCell ref="O81:O83"/>
    <mergeCell ref="O84:O86"/>
    <mergeCell ref="N47:N51"/>
    <mergeCell ref="O90:O93"/>
    <mergeCell ref="P90:P93"/>
    <mergeCell ref="K90:K93"/>
    <mergeCell ref="J90:J93"/>
    <mergeCell ref="L90:L93"/>
    <mergeCell ref="M94:M96"/>
    <mergeCell ref="C103:D103"/>
    <mergeCell ref="S97:S98"/>
    <mergeCell ref="Q90:Q93"/>
    <mergeCell ref="R90:R93"/>
    <mergeCell ref="S90:S93"/>
    <mergeCell ref="F61:F62"/>
    <mergeCell ref="M87:M88"/>
    <mergeCell ref="M90:M91"/>
    <mergeCell ref="M92:M93"/>
    <mergeCell ref="N90:N93"/>
  </mergeCells>
  <printOptions/>
  <pageMargins left="1.299212598425197" right="0.31496062992125984" top="0.7480314960629921" bottom="0.7480314960629921" header="0.31496062992125984" footer="0.31496062992125984"/>
  <pageSetup horizontalDpi="600" verticalDpi="600" orientation="landscape" paperSize="5" scale="60" r:id="rId3"/>
  <headerFooter>
    <oddFooter>&amp;CPágina &amp;P</oddFooter>
  </headerFooter>
  <ignoredErrors>
    <ignoredError sqref="P81" formula="1"/>
  </ignoredErrors>
  <legacyDrawing r:id="rId2"/>
</worksheet>
</file>

<file path=xl/worksheets/sheet9.xml><?xml version="1.0" encoding="utf-8"?>
<worksheet xmlns="http://schemas.openxmlformats.org/spreadsheetml/2006/main" xmlns:r="http://schemas.openxmlformats.org/officeDocument/2006/relationships">
  <dimension ref="A1:BV34"/>
  <sheetViews>
    <sheetView zoomScale="60" zoomScaleNormal="60" zoomScalePageLayoutView="0" workbookViewId="0" topLeftCell="A24">
      <selection activeCell="G34" sqref="G34"/>
    </sheetView>
  </sheetViews>
  <sheetFormatPr defaultColWidth="11.421875" defaultRowHeight="15"/>
  <cols>
    <col min="1" max="1" width="25.140625" style="1" customWidth="1"/>
    <col min="2" max="2" width="28.28125" style="5" customWidth="1"/>
    <col min="3" max="3" width="30.28125" style="5" customWidth="1"/>
    <col min="4" max="4" width="19.57421875" style="5" customWidth="1"/>
    <col min="5" max="5" width="19.28125" style="5" customWidth="1"/>
    <col min="6" max="6" width="17.140625" style="5" customWidth="1"/>
    <col min="7" max="7" width="30.8515625" style="5" customWidth="1"/>
    <col min="8" max="8" width="29.00390625" style="5" customWidth="1"/>
    <col min="9" max="9" width="21.7109375" style="5" customWidth="1"/>
    <col min="10" max="10" width="19.7109375" style="5" customWidth="1"/>
    <col min="11" max="11" width="19.00390625" style="317" customWidth="1"/>
    <col min="12" max="12" width="35.8515625" style="5" customWidth="1"/>
    <col min="13" max="13" width="32.140625" style="5" customWidth="1"/>
    <col min="14" max="14" width="20.140625" style="5" customWidth="1"/>
    <col min="15" max="15" width="21.28125" style="5" customWidth="1"/>
    <col min="16" max="16" width="23.140625" style="5" customWidth="1"/>
    <col min="17" max="17" width="19.7109375" style="317" customWidth="1"/>
    <col min="18" max="18" width="14.28125" style="1" customWidth="1"/>
    <col min="19" max="19" width="25.140625" style="5" customWidth="1"/>
    <col min="20" max="74" width="11.421875" style="174" customWidth="1"/>
    <col min="75" max="16384" width="11.421875" style="5" customWidth="1"/>
  </cols>
  <sheetData>
    <row r="1" spans="1:18" s="46" customFormat="1" ht="26.25" customHeight="1" thickBot="1">
      <c r="A1" s="62"/>
      <c r="K1" s="313"/>
      <c r="Q1" s="313"/>
      <c r="R1" s="62"/>
    </row>
    <row r="2" spans="1:19" s="253" customFormat="1" ht="24" customHeight="1" thickBot="1">
      <c r="A2" s="505" t="s">
        <v>8</v>
      </c>
      <c r="B2" s="506"/>
      <c r="C2" s="506"/>
      <c r="D2" s="506"/>
      <c r="E2" s="506"/>
      <c r="F2" s="506"/>
      <c r="G2" s="506"/>
      <c r="H2" s="506"/>
      <c r="I2" s="506"/>
      <c r="J2" s="506"/>
      <c r="K2" s="506"/>
      <c r="L2" s="506"/>
      <c r="M2" s="506"/>
      <c r="N2" s="506"/>
      <c r="O2" s="506"/>
      <c r="P2" s="506"/>
      <c r="Q2" s="506"/>
      <c r="R2" s="506"/>
      <c r="S2" s="507"/>
    </row>
    <row r="3" spans="1:19" s="253" customFormat="1" ht="29.25" customHeight="1" thickBot="1">
      <c r="A3" s="508" t="s">
        <v>1683</v>
      </c>
      <c r="B3" s="509"/>
      <c r="C3" s="509"/>
      <c r="D3" s="509"/>
      <c r="E3" s="509"/>
      <c r="F3" s="509"/>
      <c r="G3" s="509"/>
      <c r="H3" s="509"/>
      <c r="I3" s="509"/>
      <c r="J3" s="509"/>
      <c r="K3" s="509"/>
      <c r="L3" s="509"/>
      <c r="M3" s="509"/>
      <c r="N3" s="509"/>
      <c r="O3" s="509"/>
      <c r="P3" s="509"/>
      <c r="Q3" s="509"/>
      <c r="R3" s="509"/>
      <c r="S3" s="510"/>
    </row>
    <row r="4" spans="1:74" s="1" customFormat="1" ht="30.75" customHeight="1">
      <c r="A4" s="666" t="s">
        <v>142</v>
      </c>
      <c r="B4" s="667"/>
      <c r="C4" s="667"/>
      <c r="D4" s="667"/>
      <c r="E4" s="667"/>
      <c r="F4" s="667"/>
      <c r="G4" s="667"/>
      <c r="H4" s="684" t="s">
        <v>1721</v>
      </c>
      <c r="I4" s="684"/>
      <c r="J4" s="684"/>
      <c r="K4" s="684"/>
      <c r="L4" s="684"/>
      <c r="M4" s="666" t="s">
        <v>1183</v>
      </c>
      <c r="N4" s="667"/>
      <c r="O4" s="668"/>
      <c r="P4" s="666" t="s">
        <v>1498</v>
      </c>
      <c r="Q4" s="667"/>
      <c r="R4" s="667"/>
      <c r="S4" s="668"/>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row>
    <row r="5" spans="1:74" s="11" customFormat="1" ht="23.25" customHeight="1">
      <c r="A5" s="698" t="s">
        <v>0</v>
      </c>
      <c r="B5" s="699"/>
      <c r="C5" s="699"/>
      <c r="D5" s="699"/>
      <c r="E5" s="699"/>
      <c r="F5" s="700"/>
      <c r="G5" s="697" t="s">
        <v>1</v>
      </c>
      <c r="H5" s="697"/>
      <c r="I5" s="697"/>
      <c r="J5" s="697"/>
      <c r="K5" s="697"/>
      <c r="L5" s="697"/>
      <c r="M5" s="697"/>
      <c r="N5" s="697"/>
      <c r="O5" s="697" t="s">
        <v>1187</v>
      </c>
      <c r="P5" s="697"/>
      <c r="Q5" s="697"/>
      <c r="R5" s="697"/>
      <c r="S5" s="669" t="s">
        <v>1685</v>
      </c>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row>
    <row r="6" spans="1:74" s="11" customFormat="1" ht="25.5" customHeight="1">
      <c r="A6" s="669" t="s">
        <v>2</v>
      </c>
      <c r="B6" s="669" t="s">
        <v>4</v>
      </c>
      <c r="C6" s="669" t="s">
        <v>3</v>
      </c>
      <c r="D6" s="669" t="s">
        <v>1116</v>
      </c>
      <c r="E6" s="669" t="s">
        <v>1117</v>
      </c>
      <c r="F6" s="669" t="s">
        <v>1118</v>
      </c>
      <c r="G6" s="669" t="s">
        <v>1186</v>
      </c>
      <c r="H6" s="669" t="s">
        <v>9</v>
      </c>
      <c r="I6" s="693" t="s">
        <v>1180</v>
      </c>
      <c r="J6" s="693" t="s">
        <v>1181</v>
      </c>
      <c r="K6" s="695" t="s">
        <v>1103</v>
      </c>
      <c r="L6" s="682" t="s">
        <v>1637</v>
      </c>
      <c r="M6" s="669" t="s">
        <v>1914</v>
      </c>
      <c r="N6" s="669" t="s">
        <v>1115</v>
      </c>
      <c r="O6" s="669" t="s">
        <v>1119</v>
      </c>
      <c r="P6" s="669" t="s">
        <v>1120</v>
      </c>
      <c r="Q6" s="671" t="s">
        <v>1185</v>
      </c>
      <c r="R6" s="669" t="s">
        <v>924</v>
      </c>
      <c r="S6" s="761"/>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row>
    <row r="7" spans="1:74" s="11" customFormat="1" ht="50.25" customHeight="1">
      <c r="A7" s="670"/>
      <c r="B7" s="670"/>
      <c r="C7" s="670"/>
      <c r="D7" s="670"/>
      <c r="E7" s="670"/>
      <c r="F7" s="670"/>
      <c r="G7" s="670"/>
      <c r="H7" s="670"/>
      <c r="I7" s="694"/>
      <c r="J7" s="694"/>
      <c r="K7" s="696"/>
      <c r="L7" s="683"/>
      <c r="M7" s="670"/>
      <c r="N7" s="670"/>
      <c r="O7" s="670"/>
      <c r="P7" s="670"/>
      <c r="Q7" s="672"/>
      <c r="R7" s="670"/>
      <c r="S7" s="670"/>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row>
    <row r="8" spans="1:19" ht="96" customHeight="1">
      <c r="A8" s="88" t="s">
        <v>143</v>
      </c>
      <c r="B8" s="2" t="s">
        <v>144</v>
      </c>
      <c r="C8" s="3" t="s">
        <v>145</v>
      </c>
      <c r="D8" s="411">
        <v>1</v>
      </c>
      <c r="E8" s="411">
        <v>1</v>
      </c>
      <c r="F8" s="176">
        <v>1</v>
      </c>
      <c r="G8" s="577" t="s">
        <v>989</v>
      </c>
      <c r="H8" s="622" t="s">
        <v>1335</v>
      </c>
      <c r="I8" s="945">
        <f>25000000.22/1000</f>
        <v>25000.000219999998</v>
      </c>
      <c r="J8" s="945">
        <f>25000000/1000</f>
        <v>25000</v>
      </c>
      <c r="K8" s="732">
        <f>J8/I8</f>
        <v>0.9999999912000002</v>
      </c>
      <c r="L8" s="2" t="s">
        <v>538</v>
      </c>
      <c r="M8" s="28" t="s">
        <v>1895</v>
      </c>
      <c r="N8" s="745">
        <v>4</v>
      </c>
      <c r="O8" s="610">
        <f>25000000/1000</f>
        <v>25000</v>
      </c>
      <c r="P8" s="610">
        <f>J8</f>
        <v>25000</v>
      </c>
      <c r="Q8" s="583">
        <f>P8/O8</f>
        <v>1</v>
      </c>
      <c r="R8" s="581" t="s">
        <v>26</v>
      </c>
      <c r="S8" s="527" t="s">
        <v>1094</v>
      </c>
    </row>
    <row r="9" spans="1:19" ht="59.25" customHeight="1">
      <c r="A9" s="88" t="s">
        <v>146</v>
      </c>
      <c r="B9" s="2" t="s">
        <v>147</v>
      </c>
      <c r="C9" s="3" t="s">
        <v>148</v>
      </c>
      <c r="D9" s="411">
        <v>30</v>
      </c>
      <c r="E9" s="175">
        <v>30</v>
      </c>
      <c r="F9" s="176">
        <v>1</v>
      </c>
      <c r="G9" s="569"/>
      <c r="H9" s="948"/>
      <c r="I9" s="947"/>
      <c r="J9" s="947"/>
      <c r="K9" s="744"/>
      <c r="L9" s="43" t="s">
        <v>1809</v>
      </c>
      <c r="M9" s="28" t="s">
        <v>1896</v>
      </c>
      <c r="N9" s="746"/>
      <c r="O9" s="746"/>
      <c r="P9" s="746"/>
      <c r="Q9" s="586"/>
      <c r="R9" s="602"/>
      <c r="S9" s="569"/>
    </row>
    <row r="10" spans="1:19" ht="57.75" customHeight="1">
      <c r="A10" s="88" t="s">
        <v>149</v>
      </c>
      <c r="B10" s="2" t="s">
        <v>150</v>
      </c>
      <c r="C10" s="3" t="s">
        <v>151</v>
      </c>
      <c r="D10" s="411">
        <v>9</v>
      </c>
      <c r="E10" s="175">
        <v>7</v>
      </c>
      <c r="F10" s="176">
        <v>0.7777777777777778</v>
      </c>
      <c r="G10" s="569"/>
      <c r="H10" s="948"/>
      <c r="I10" s="947"/>
      <c r="J10" s="947"/>
      <c r="K10" s="744"/>
      <c r="L10" s="577" t="s">
        <v>539</v>
      </c>
      <c r="M10" s="28" t="s">
        <v>1897</v>
      </c>
      <c r="N10" s="746"/>
      <c r="O10" s="746"/>
      <c r="P10" s="746"/>
      <c r="Q10" s="586"/>
      <c r="R10" s="602"/>
      <c r="S10" s="569"/>
    </row>
    <row r="11" spans="1:19" ht="57.75" customHeight="1">
      <c r="A11" s="88" t="s">
        <v>152</v>
      </c>
      <c r="B11" s="2" t="s">
        <v>153</v>
      </c>
      <c r="C11" s="3" t="s">
        <v>154</v>
      </c>
      <c r="D11" s="411">
        <v>1</v>
      </c>
      <c r="E11" s="411">
        <v>1</v>
      </c>
      <c r="F11" s="176">
        <v>1</v>
      </c>
      <c r="G11" s="570"/>
      <c r="H11" s="623"/>
      <c r="I11" s="946"/>
      <c r="J11" s="946"/>
      <c r="K11" s="733"/>
      <c r="L11" s="570"/>
      <c r="M11" s="28" t="s">
        <v>1898</v>
      </c>
      <c r="N11" s="747"/>
      <c r="O11" s="747"/>
      <c r="P11" s="747"/>
      <c r="Q11" s="584"/>
      <c r="R11" s="603"/>
      <c r="S11" s="570"/>
    </row>
    <row r="12" spans="1:20" ht="129" customHeight="1">
      <c r="A12" s="88" t="s">
        <v>155</v>
      </c>
      <c r="B12" s="2" t="s">
        <v>156</v>
      </c>
      <c r="C12" s="3" t="s">
        <v>157</v>
      </c>
      <c r="D12" s="403">
        <v>0.25</v>
      </c>
      <c r="E12" s="411">
        <v>0.25</v>
      </c>
      <c r="F12" s="177">
        <v>1</v>
      </c>
      <c r="G12" s="2" t="s">
        <v>990</v>
      </c>
      <c r="H12" s="2" t="s">
        <v>1336</v>
      </c>
      <c r="I12" s="178">
        <f>22500000/1000</f>
        <v>22500</v>
      </c>
      <c r="J12" s="178">
        <f>22500000/1000</f>
        <v>22500</v>
      </c>
      <c r="K12" s="182">
        <f>J12/I12</f>
        <v>1</v>
      </c>
      <c r="L12" s="2" t="s">
        <v>540</v>
      </c>
      <c r="M12" s="28" t="s">
        <v>1899</v>
      </c>
      <c r="N12" s="179">
        <v>4</v>
      </c>
      <c r="O12" s="178">
        <f>22500000/1000</f>
        <v>22500</v>
      </c>
      <c r="P12" s="172">
        <f>J12</f>
        <v>22500</v>
      </c>
      <c r="Q12" s="13">
        <f>P12/O12</f>
        <v>1</v>
      </c>
      <c r="R12" s="18" t="s">
        <v>26</v>
      </c>
      <c r="S12" s="397" t="s">
        <v>1094</v>
      </c>
      <c r="T12" s="396"/>
    </row>
    <row r="13" spans="1:19" ht="99" customHeight="1">
      <c r="A13" s="88" t="s">
        <v>158</v>
      </c>
      <c r="B13" s="3" t="s">
        <v>159</v>
      </c>
      <c r="C13" s="3" t="s">
        <v>160</v>
      </c>
      <c r="D13" s="411">
        <v>110</v>
      </c>
      <c r="E13" s="175">
        <v>110</v>
      </c>
      <c r="F13" s="177">
        <v>1</v>
      </c>
      <c r="G13" s="577" t="s">
        <v>991</v>
      </c>
      <c r="H13" s="2" t="s">
        <v>1340</v>
      </c>
      <c r="I13" s="945">
        <f>841486080.75/1000</f>
        <v>841486.08075</v>
      </c>
      <c r="J13" s="945">
        <f>743224800/1000</f>
        <v>743224.8</v>
      </c>
      <c r="K13" s="771">
        <f>J13/I13</f>
        <v>0.8832288697367144</v>
      </c>
      <c r="L13" s="43" t="s">
        <v>1337</v>
      </c>
      <c r="M13" s="28" t="s">
        <v>1900</v>
      </c>
      <c r="N13" s="608">
        <v>17</v>
      </c>
      <c r="O13" s="610">
        <f>743224800/1000</f>
        <v>743224.8</v>
      </c>
      <c r="P13" s="610">
        <f>J13</f>
        <v>743224.8</v>
      </c>
      <c r="Q13" s="583">
        <f>P13/O13</f>
        <v>1</v>
      </c>
      <c r="R13" s="581" t="s">
        <v>167</v>
      </c>
      <c r="S13" s="527" t="s">
        <v>1094</v>
      </c>
    </row>
    <row r="14" spans="1:19" ht="118.5" customHeight="1">
      <c r="A14" s="88" t="s">
        <v>161</v>
      </c>
      <c r="B14" s="3" t="s">
        <v>162</v>
      </c>
      <c r="C14" s="3" t="s">
        <v>163</v>
      </c>
      <c r="D14" s="412">
        <v>30</v>
      </c>
      <c r="E14" s="405">
        <v>30</v>
      </c>
      <c r="F14" s="406">
        <v>1</v>
      </c>
      <c r="G14" s="569"/>
      <c r="H14" s="2" t="s">
        <v>1341</v>
      </c>
      <c r="I14" s="947"/>
      <c r="J14" s="947"/>
      <c r="K14" s="802"/>
      <c r="L14" s="43" t="s">
        <v>1338</v>
      </c>
      <c r="M14" s="28" t="s">
        <v>1901</v>
      </c>
      <c r="N14" s="636"/>
      <c r="O14" s="613"/>
      <c r="P14" s="613"/>
      <c r="Q14" s="586"/>
      <c r="R14" s="602"/>
      <c r="S14" s="569"/>
    </row>
    <row r="15" spans="1:19" ht="115.5" customHeight="1">
      <c r="A15" s="88" t="s">
        <v>164</v>
      </c>
      <c r="B15" s="2" t="s">
        <v>165</v>
      </c>
      <c r="C15" s="3" t="s">
        <v>166</v>
      </c>
      <c r="D15" s="411">
        <v>4</v>
      </c>
      <c r="E15" s="175">
        <v>13</v>
      </c>
      <c r="F15" s="176">
        <v>1</v>
      </c>
      <c r="G15" s="570"/>
      <c r="H15" s="2" t="s">
        <v>1342</v>
      </c>
      <c r="I15" s="946"/>
      <c r="J15" s="946"/>
      <c r="K15" s="772"/>
      <c r="L15" s="43" t="s">
        <v>1339</v>
      </c>
      <c r="M15" s="28" t="s">
        <v>1902</v>
      </c>
      <c r="N15" s="609"/>
      <c r="O15" s="611"/>
      <c r="P15" s="611"/>
      <c r="Q15" s="584"/>
      <c r="R15" s="603"/>
      <c r="S15" s="570"/>
    </row>
    <row r="16" spans="1:19" ht="27" customHeight="1">
      <c r="A16" s="525" t="s">
        <v>168</v>
      </c>
      <c r="B16" s="577" t="s">
        <v>169</v>
      </c>
      <c r="C16" s="577" t="s">
        <v>170</v>
      </c>
      <c r="D16" s="951">
        <v>15</v>
      </c>
      <c r="E16" s="951">
        <v>15</v>
      </c>
      <c r="F16" s="734">
        <f>+E16/D16</f>
        <v>1</v>
      </c>
      <c r="G16" s="577" t="s">
        <v>992</v>
      </c>
      <c r="H16" s="43" t="s">
        <v>1805</v>
      </c>
      <c r="I16" s="945">
        <f>897357587.68/1000</f>
        <v>897357.58768</v>
      </c>
      <c r="J16" s="945">
        <f>838823346/1000</f>
        <v>838823.346</v>
      </c>
      <c r="K16" s="771">
        <f>J16/I16</f>
        <v>0.9347704388042981</v>
      </c>
      <c r="L16" s="577" t="s">
        <v>541</v>
      </c>
      <c r="M16" s="527" t="s">
        <v>1903</v>
      </c>
      <c r="N16" s="608">
        <v>19</v>
      </c>
      <c r="O16" s="945">
        <f>838823346/1000</f>
        <v>838823.346</v>
      </c>
      <c r="P16" s="610">
        <f>J16</f>
        <v>838823.346</v>
      </c>
      <c r="Q16" s="583">
        <f>P16/O16</f>
        <v>1</v>
      </c>
      <c r="R16" s="581" t="s">
        <v>26</v>
      </c>
      <c r="S16" s="527" t="s">
        <v>1094</v>
      </c>
    </row>
    <row r="17" spans="1:19" ht="28.5">
      <c r="A17" s="561"/>
      <c r="B17" s="569"/>
      <c r="C17" s="569"/>
      <c r="D17" s="952"/>
      <c r="E17" s="952"/>
      <c r="F17" s="954"/>
      <c r="G17" s="569"/>
      <c r="H17" s="43" t="s">
        <v>1806</v>
      </c>
      <c r="I17" s="947"/>
      <c r="J17" s="947"/>
      <c r="K17" s="802"/>
      <c r="L17" s="569"/>
      <c r="M17" s="569"/>
      <c r="N17" s="636"/>
      <c r="O17" s="947"/>
      <c r="P17" s="613"/>
      <c r="Q17" s="586"/>
      <c r="R17" s="602"/>
      <c r="S17" s="569"/>
    </row>
    <row r="18" spans="1:19" ht="40.5" customHeight="1">
      <c r="A18" s="526"/>
      <c r="B18" s="570"/>
      <c r="C18" s="570"/>
      <c r="D18" s="953"/>
      <c r="E18" s="953"/>
      <c r="F18" s="735"/>
      <c r="G18" s="570"/>
      <c r="H18" s="43" t="s">
        <v>1343</v>
      </c>
      <c r="I18" s="946"/>
      <c r="J18" s="946"/>
      <c r="K18" s="772"/>
      <c r="L18" s="570"/>
      <c r="M18" s="570"/>
      <c r="N18" s="609"/>
      <c r="O18" s="946"/>
      <c r="P18" s="611"/>
      <c r="Q18" s="584"/>
      <c r="R18" s="603"/>
      <c r="S18" s="570"/>
    </row>
    <row r="19" spans="1:19" ht="105" customHeight="1">
      <c r="A19" s="61" t="s">
        <v>171</v>
      </c>
      <c r="B19" s="3" t="s">
        <v>172</v>
      </c>
      <c r="C19" s="3" t="s">
        <v>173</v>
      </c>
      <c r="D19" s="413">
        <v>17</v>
      </c>
      <c r="E19" s="413">
        <v>17</v>
      </c>
      <c r="F19" s="176">
        <v>1</v>
      </c>
      <c r="G19" s="574" t="s">
        <v>993</v>
      </c>
      <c r="H19" s="43" t="s">
        <v>1343</v>
      </c>
      <c r="I19" s="730">
        <f>347045657.75/1000</f>
        <v>347045.65775</v>
      </c>
      <c r="J19" s="730">
        <f>283839170/1000</f>
        <v>283839.17</v>
      </c>
      <c r="K19" s="732">
        <f>J19/I19</f>
        <v>0.8178727025147456</v>
      </c>
      <c r="L19" s="2" t="s">
        <v>542</v>
      </c>
      <c r="M19" s="28" t="s">
        <v>1904</v>
      </c>
      <c r="N19" s="608">
        <v>9</v>
      </c>
      <c r="O19" s="610">
        <f>283839170/1000</f>
        <v>283839.17</v>
      </c>
      <c r="P19" s="610">
        <f>J19</f>
        <v>283839.17</v>
      </c>
      <c r="Q19" s="583">
        <f>P19/O19</f>
        <v>1</v>
      </c>
      <c r="R19" s="581" t="s">
        <v>167</v>
      </c>
      <c r="S19" s="527" t="s">
        <v>1094</v>
      </c>
    </row>
    <row r="20" spans="1:19" ht="91.5" customHeight="1">
      <c r="A20" s="61" t="s">
        <v>174</v>
      </c>
      <c r="B20" s="3" t="s">
        <v>175</v>
      </c>
      <c r="C20" s="3" t="s">
        <v>176</v>
      </c>
      <c r="D20" s="413">
        <v>3</v>
      </c>
      <c r="E20" s="413">
        <v>2</v>
      </c>
      <c r="F20" s="176">
        <v>0.6666666666666666</v>
      </c>
      <c r="G20" s="576"/>
      <c r="H20" s="43" t="s">
        <v>1344</v>
      </c>
      <c r="I20" s="751"/>
      <c r="J20" s="751"/>
      <c r="K20" s="744"/>
      <c r="L20" s="2" t="s">
        <v>543</v>
      </c>
      <c r="M20" s="28" t="s">
        <v>1905</v>
      </c>
      <c r="N20" s="636"/>
      <c r="O20" s="613"/>
      <c r="P20" s="613"/>
      <c r="Q20" s="586"/>
      <c r="R20" s="602"/>
      <c r="S20" s="569"/>
    </row>
    <row r="21" spans="1:19" ht="103.5" customHeight="1">
      <c r="A21" s="61" t="s">
        <v>177</v>
      </c>
      <c r="B21" s="3" t="s">
        <v>178</v>
      </c>
      <c r="C21" s="3" t="s">
        <v>179</v>
      </c>
      <c r="D21" s="413">
        <v>9</v>
      </c>
      <c r="E21" s="413">
        <v>2</v>
      </c>
      <c r="F21" s="176">
        <v>0.2222222222222222</v>
      </c>
      <c r="G21" s="570"/>
      <c r="H21" s="43" t="s">
        <v>1264</v>
      </c>
      <c r="I21" s="731"/>
      <c r="J21" s="731"/>
      <c r="K21" s="733"/>
      <c r="L21" s="2" t="s">
        <v>544</v>
      </c>
      <c r="M21" s="28" t="s">
        <v>1906</v>
      </c>
      <c r="N21" s="609"/>
      <c r="O21" s="611"/>
      <c r="P21" s="611"/>
      <c r="Q21" s="584"/>
      <c r="R21" s="603"/>
      <c r="S21" s="570"/>
    </row>
    <row r="22" spans="1:19" ht="96" customHeight="1">
      <c r="A22" s="88" t="s">
        <v>180</v>
      </c>
      <c r="B22" s="2" t="s">
        <v>181</v>
      </c>
      <c r="C22" s="3" t="s">
        <v>182</v>
      </c>
      <c r="D22" s="175">
        <v>2</v>
      </c>
      <c r="E22" s="181">
        <v>2</v>
      </c>
      <c r="F22" s="176">
        <f>+E22/D22</f>
        <v>1</v>
      </c>
      <c r="G22" s="577" t="s">
        <v>994</v>
      </c>
      <c r="H22" s="3" t="s">
        <v>1335</v>
      </c>
      <c r="I22" s="945">
        <f>13243824.8/1000</f>
        <v>13243.8248</v>
      </c>
      <c r="J22" s="945">
        <f>13240000/1000</f>
        <v>13240</v>
      </c>
      <c r="K22" s="771">
        <f>J22/I22</f>
        <v>0.9997112012535835</v>
      </c>
      <c r="L22" s="138" t="s">
        <v>998</v>
      </c>
      <c r="M22" s="28" t="s">
        <v>1907</v>
      </c>
      <c r="N22" s="945">
        <v>1</v>
      </c>
      <c r="O22" s="945">
        <f>13240000/1000</f>
        <v>13240</v>
      </c>
      <c r="P22" s="945">
        <f>J22</f>
        <v>13240</v>
      </c>
      <c r="Q22" s="583">
        <f>P22/O22</f>
        <v>1</v>
      </c>
      <c r="R22" s="581" t="s">
        <v>26</v>
      </c>
      <c r="S22" s="527" t="s">
        <v>1094</v>
      </c>
    </row>
    <row r="23" spans="1:19" ht="108" customHeight="1">
      <c r="A23" s="88" t="s">
        <v>183</v>
      </c>
      <c r="B23" s="2" t="s">
        <v>184</v>
      </c>
      <c r="C23" s="3" t="s">
        <v>185</v>
      </c>
      <c r="D23" s="175">
        <v>10</v>
      </c>
      <c r="E23" s="181">
        <v>10</v>
      </c>
      <c r="F23" s="176">
        <f>+E23/D23</f>
        <v>1</v>
      </c>
      <c r="G23" s="570"/>
      <c r="H23" s="3" t="s">
        <v>1345</v>
      </c>
      <c r="I23" s="946"/>
      <c r="J23" s="946"/>
      <c r="K23" s="772"/>
      <c r="L23" s="138" t="s">
        <v>999</v>
      </c>
      <c r="M23" s="28" t="s">
        <v>1908</v>
      </c>
      <c r="N23" s="946"/>
      <c r="O23" s="946"/>
      <c r="P23" s="946"/>
      <c r="Q23" s="584"/>
      <c r="R23" s="603"/>
      <c r="S23" s="570"/>
    </row>
    <row r="24" spans="1:20" ht="109.5" customHeight="1">
      <c r="A24" s="88" t="s">
        <v>186</v>
      </c>
      <c r="B24" s="3" t="s">
        <v>187</v>
      </c>
      <c r="C24" s="3" t="s">
        <v>188</v>
      </c>
      <c r="D24" s="175">
        <v>2</v>
      </c>
      <c r="E24" s="69">
        <v>3</v>
      </c>
      <c r="F24" s="176">
        <v>1</v>
      </c>
      <c r="G24" s="2" t="s">
        <v>995</v>
      </c>
      <c r="H24" s="3" t="s">
        <v>1346</v>
      </c>
      <c r="I24" s="178">
        <f>65000000/1000</f>
        <v>65000</v>
      </c>
      <c r="J24" s="178">
        <f>30000000/1000</f>
        <v>30000</v>
      </c>
      <c r="K24" s="182">
        <f>J24/I24</f>
        <v>0.46153846153846156</v>
      </c>
      <c r="L24" s="138" t="s">
        <v>1000</v>
      </c>
      <c r="M24" s="28" t="s">
        <v>1909</v>
      </c>
      <c r="N24" s="179">
        <v>2</v>
      </c>
      <c r="O24" s="178">
        <f>30000000/1000</f>
        <v>30000</v>
      </c>
      <c r="P24" s="172">
        <f>J24</f>
        <v>30000</v>
      </c>
      <c r="Q24" s="13">
        <f>P24/O24</f>
        <v>1</v>
      </c>
      <c r="R24" s="18" t="s">
        <v>26</v>
      </c>
      <c r="S24" s="397" t="s">
        <v>1094</v>
      </c>
      <c r="T24" s="396"/>
    </row>
    <row r="25" spans="1:19" ht="102" customHeight="1">
      <c r="A25" s="88" t="s">
        <v>189</v>
      </c>
      <c r="B25" s="2" t="s">
        <v>190</v>
      </c>
      <c r="C25" s="3" t="s">
        <v>188</v>
      </c>
      <c r="D25" s="414">
        <v>0.5</v>
      </c>
      <c r="E25" s="415">
        <v>0.4</v>
      </c>
      <c r="F25" s="176">
        <v>0.8</v>
      </c>
      <c r="G25" s="577" t="s">
        <v>996</v>
      </c>
      <c r="H25" s="3" t="s">
        <v>1347</v>
      </c>
      <c r="I25" s="945">
        <f>29054781/1000</f>
        <v>29054.781</v>
      </c>
      <c r="J25" s="945">
        <f>28956150/1000</f>
        <v>28956.15</v>
      </c>
      <c r="K25" s="771">
        <f>J25/I25</f>
        <v>0.9966053435405348</v>
      </c>
      <c r="L25" s="2" t="s">
        <v>545</v>
      </c>
      <c r="M25" s="28" t="s">
        <v>1910</v>
      </c>
      <c r="N25" s="608">
        <v>5</v>
      </c>
      <c r="O25" s="610">
        <f>28956150/1000</f>
        <v>28956.15</v>
      </c>
      <c r="P25" s="610">
        <f>J25</f>
        <v>28956.15</v>
      </c>
      <c r="Q25" s="583">
        <f>P25/O25</f>
        <v>1</v>
      </c>
      <c r="R25" s="581" t="s">
        <v>26</v>
      </c>
      <c r="S25" s="527" t="s">
        <v>1094</v>
      </c>
    </row>
    <row r="26" spans="1:19" ht="108" customHeight="1">
      <c r="A26" s="88" t="s">
        <v>191</v>
      </c>
      <c r="B26" s="2" t="s">
        <v>192</v>
      </c>
      <c r="C26" s="3" t="s">
        <v>193</v>
      </c>
      <c r="D26" s="411">
        <v>10</v>
      </c>
      <c r="E26" s="411">
        <v>10</v>
      </c>
      <c r="F26" s="176">
        <v>1</v>
      </c>
      <c r="G26" s="569"/>
      <c r="H26" s="3" t="s">
        <v>1348</v>
      </c>
      <c r="I26" s="947"/>
      <c r="J26" s="947"/>
      <c r="K26" s="802"/>
      <c r="L26" s="2" t="s">
        <v>190</v>
      </c>
      <c r="M26" s="28" t="s">
        <v>1911</v>
      </c>
      <c r="N26" s="636"/>
      <c r="O26" s="613"/>
      <c r="P26" s="613"/>
      <c r="Q26" s="586"/>
      <c r="R26" s="602"/>
      <c r="S26" s="569"/>
    </row>
    <row r="27" spans="1:19" ht="81.75" customHeight="1">
      <c r="A27" s="88" t="s">
        <v>194</v>
      </c>
      <c r="B27" s="2" t="s">
        <v>195</v>
      </c>
      <c r="C27" s="3" t="s">
        <v>196</v>
      </c>
      <c r="D27" s="411">
        <v>10</v>
      </c>
      <c r="E27" s="411">
        <v>10</v>
      </c>
      <c r="F27" s="176">
        <v>1</v>
      </c>
      <c r="G27" s="570"/>
      <c r="H27" s="3" t="s">
        <v>1349</v>
      </c>
      <c r="I27" s="946"/>
      <c r="J27" s="946"/>
      <c r="K27" s="772"/>
      <c r="L27" s="2" t="s">
        <v>546</v>
      </c>
      <c r="M27" s="28" t="s">
        <v>1912</v>
      </c>
      <c r="N27" s="609"/>
      <c r="O27" s="611"/>
      <c r="P27" s="611"/>
      <c r="Q27" s="584"/>
      <c r="R27" s="603"/>
      <c r="S27" s="570"/>
    </row>
    <row r="28" spans="1:19" ht="96" customHeight="1">
      <c r="A28" s="709" t="s">
        <v>197</v>
      </c>
      <c r="B28" s="622" t="s">
        <v>198</v>
      </c>
      <c r="C28" s="622" t="s">
        <v>188</v>
      </c>
      <c r="D28" s="949">
        <v>4</v>
      </c>
      <c r="E28" s="949">
        <v>4</v>
      </c>
      <c r="F28" s="734">
        <f>+E28/D28</f>
        <v>1</v>
      </c>
      <c r="G28" s="622" t="s">
        <v>997</v>
      </c>
      <c r="H28" s="83" t="s">
        <v>1808</v>
      </c>
      <c r="I28" s="730">
        <f>371995776.66/1000</f>
        <v>371995.77666000003</v>
      </c>
      <c r="J28" s="730">
        <f>326155530/1000</f>
        <v>326155.53</v>
      </c>
      <c r="K28" s="732">
        <f>J28/I28</f>
        <v>0.8767721314699294</v>
      </c>
      <c r="L28" s="577" t="s">
        <v>1001</v>
      </c>
      <c r="M28" s="630" t="s">
        <v>1913</v>
      </c>
      <c r="N28" s="608">
        <v>14</v>
      </c>
      <c r="O28" s="610">
        <f>326155530/1000</f>
        <v>326155.53</v>
      </c>
      <c r="P28" s="610">
        <f>J28</f>
        <v>326155.53</v>
      </c>
      <c r="Q28" s="583">
        <f>P28/O28</f>
        <v>1</v>
      </c>
      <c r="R28" s="955" t="s">
        <v>199</v>
      </c>
      <c r="S28" s="527" t="s">
        <v>1094</v>
      </c>
    </row>
    <row r="29" spans="1:19" ht="84.75" customHeight="1">
      <c r="A29" s="711"/>
      <c r="B29" s="623"/>
      <c r="C29" s="623"/>
      <c r="D29" s="950"/>
      <c r="E29" s="950"/>
      <c r="F29" s="735"/>
      <c r="G29" s="623"/>
      <c r="H29" s="63" t="s">
        <v>1807</v>
      </c>
      <c r="I29" s="731"/>
      <c r="J29" s="731"/>
      <c r="K29" s="733"/>
      <c r="L29" s="570"/>
      <c r="M29" s="623"/>
      <c r="N29" s="609"/>
      <c r="O29" s="611"/>
      <c r="P29" s="611"/>
      <c r="Q29" s="584"/>
      <c r="R29" s="768"/>
      <c r="S29" s="570"/>
    </row>
    <row r="30" spans="1:19" s="45" customFormat="1" ht="18.75" customHeight="1">
      <c r="A30" s="519" t="s">
        <v>1093</v>
      </c>
      <c r="B30" s="520"/>
      <c r="C30" s="268"/>
      <c r="D30" s="131"/>
      <c r="E30" s="131"/>
      <c r="F30" s="312">
        <v>0.92</v>
      </c>
      <c r="G30" s="107">
        <v>9</v>
      </c>
      <c r="H30" s="28"/>
      <c r="I30" s="106">
        <f>SUM(I8:I28)</f>
        <v>2612683.7088599997</v>
      </c>
      <c r="J30" s="106">
        <f>SUM(J8:J28)</f>
        <v>2311738.9960000003</v>
      </c>
      <c r="K30" s="311">
        <f>J30/I30</f>
        <v>0.8848139513254317</v>
      </c>
      <c r="L30" s="28"/>
      <c r="M30" s="23"/>
      <c r="N30" s="106">
        <v>75</v>
      </c>
      <c r="O30" s="106">
        <f>SUM(O8:O28)</f>
        <v>2311738.9960000003</v>
      </c>
      <c r="P30" s="106">
        <f>SUM(P8:P28)</f>
        <v>2311738.9960000003</v>
      </c>
      <c r="Q30" s="297">
        <f>P30/O30</f>
        <v>1</v>
      </c>
      <c r="R30" s="167"/>
      <c r="S30" s="28"/>
    </row>
    <row r="31" spans="1:19" s="45" customFormat="1" ht="18.75" customHeight="1">
      <c r="A31" s="519" t="s">
        <v>6</v>
      </c>
      <c r="B31" s="520"/>
      <c r="C31" s="269"/>
      <c r="D31" s="132"/>
      <c r="E31" s="132"/>
      <c r="F31" s="132"/>
      <c r="G31" s="55"/>
      <c r="H31" s="55"/>
      <c r="I31" s="90"/>
      <c r="J31" s="90"/>
      <c r="K31" s="314"/>
      <c r="L31" s="55"/>
      <c r="M31" s="55"/>
      <c r="N31" s="55"/>
      <c r="O31" s="55"/>
      <c r="P31" s="55"/>
      <c r="Q31" s="320"/>
      <c r="R31" s="167"/>
      <c r="S31" s="55"/>
    </row>
    <row r="32" spans="1:19" s="45" customFormat="1" ht="22.5" customHeight="1">
      <c r="A32" s="549" t="s">
        <v>1713</v>
      </c>
      <c r="B32" s="550"/>
      <c r="C32" s="270"/>
      <c r="D32" s="255"/>
      <c r="E32" s="255"/>
      <c r="F32" s="255"/>
      <c r="G32" s="55"/>
      <c r="H32" s="55"/>
      <c r="I32" s="90"/>
      <c r="J32" s="90"/>
      <c r="K32" s="314"/>
      <c r="L32" s="55"/>
      <c r="M32" s="55"/>
      <c r="N32" s="55"/>
      <c r="O32" s="55"/>
      <c r="P32" s="55"/>
      <c r="Q32" s="320"/>
      <c r="R32" s="167"/>
      <c r="S32" s="55"/>
    </row>
    <row r="33" spans="1:19" ht="15">
      <c r="A33" s="549"/>
      <c r="B33" s="550"/>
      <c r="C33" s="16"/>
      <c r="D33" s="16"/>
      <c r="E33" s="16"/>
      <c r="F33" s="16"/>
      <c r="G33" s="15"/>
      <c r="H33" s="15"/>
      <c r="I33" s="15"/>
      <c r="J33" s="15"/>
      <c r="K33" s="315"/>
      <c r="L33" s="15"/>
      <c r="M33" s="15"/>
      <c r="N33" s="15"/>
      <c r="O33" s="15"/>
      <c r="P33" s="15"/>
      <c r="Q33" s="315"/>
      <c r="R33" s="10"/>
      <c r="S33" s="15"/>
    </row>
    <row r="34" spans="1:19" ht="24.75" customHeight="1">
      <c r="A34" s="549" t="s">
        <v>7</v>
      </c>
      <c r="B34" s="550"/>
      <c r="C34" s="943" t="s">
        <v>2229</v>
      </c>
      <c r="D34" s="944"/>
      <c r="E34" s="129"/>
      <c r="F34" s="129"/>
      <c r="G34" s="133"/>
      <c r="H34" s="133"/>
      <c r="I34" s="133"/>
      <c r="J34" s="133"/>
      <c r="K34" s="316"/>
      <c r="L34" s="15"/>
      <c r="M34" s="15"/>
      <c r="N34" s="15"/>
      <c r="O34" s="15"/>
      <c r="P34" s="15"/>
      <c r="Q34" s="315"/>
      <c r="R34" s="10"/>
      <c r="S34" s="15"/>
    </row>
  </sheetData>
  <sheetProtection/>
  <mergeCells count="122">
    <mergeCell ref="J28:J29"/>
    <mergeCell ref="K28:K29"/>
    <mergeCell ref="L28:L29"/>
    <mergeCell ref="M28:M29"/>
    <mergeCell ref="N28:N29"/>
    <mergeCell ref="O28:O29"/>
    <mergeCell ref="O16:O18"/>
    <mergeCell ref="P16:P18"/>
    <mergeCell ref="Q16:Q18"/>
    <mergeCell ref="R16:R18"/>
    <mergeCell ref="S16:S18"/>
    <mergeCell ref="P28:P29"/>
    <mergeCell ref="Q28:Q29"/>
    <mergeCell ref="R28:R29"/>
    <mergeCell ref="S28:S29"/>
    <mergeCell ref="O25:O27"/>
    <mergeCell ref="I16:I18"/>
    <mergeCell ref="J16:J18"/>
    <mergeCell ref="K16:K18"/>
    <mergeCell ref="L16:L18"/>
    <mergeCell ref="M16:M18"/>
    <mergeCell ref="N16:N18"/>
    <mergeCell ref="P25:P27"/>
    <mergeCell ref="Q25:Q27"/>
    <mergeCell ref="A16:A18"/>
    <mergeCell ref="B16:B18"/>
    <mergeCell ref="C16:C18"/>
    <mergeCell ref="D16:D18"/>
    <mergeCell ref="E16:E18"/>
    <mergeCell ref="F16:F18"/>
    <mergeCell ref="G16:G18"/>
    <mergeCell ref="K25:K27"/>
    <mergeCell ref="N25:N27"/>
    <mergeCell ref="A33:B33"/>
    <mergeCell ref="A34:B34"/>
    <mergeCell ref="G22:G23"/>
    <mergeCell ref="O19:O21"/>
    <mergeCell ref="A28:A29"/>
    <mergeCell ref="B28:B29"/>
    <mergeCell ref="C28:C29"/>
    <mergeCell ref="D28:D29"/>
    <mergeCell ref="A32:B32"/>
    <mergeCell ref="N13:N15"/>
    <mergeCell ref="A30:B30"/>
    <mergeCell ref="A31:B31"/>
    <mergeCell ref="G25:G27"/>
    <mergeCell ref="I25:I27"/>
    <mergeCell ref="J25:J27"/>
    <mergeCell ref="E28:E29"/>
    <mergeCell ref="F28:F29"/>
    <mergeCell ref="G28:G29"/>
    <mergeCell ref="I28:I29"/>
    <mergeCell ref="Q19:Q21"/>
    <mergeCell ref="R25:R27"/>
    <mergeCell ref="S25:S27"/>
    <mergeCell ref="S8:S11"/>
    <mergeCell ref="G13:G15"/>
    <mergeCell ref="L10:L11"/>
    <mergeCell ref="G19:G21"/>
    <mergeCell ref="O8:O11"/>
    <mergeCell ref="R13:R15"/>
    <mergeCell ref="Q13:Q15"/>
    <mergeCell ref="R22:R23"/>
    <mergeCell ref="R19:R21"/>
    <mergeCell ref="Q22:Q23"/>
    <mergeCell ref="G8:G11"/>
    <mergeCell ref="R8:R11"/>
    <mergeCell ref="I19:I21"/>
    <mergeCell ref="J19:J21"/>
    <mergeCell ref="K19:K21"/>
    <mergeCell ref="Q8:Q11"/>
    <mergeCell ref="I13:I15"/>
    <mergeCell ref="A5:F5"/>
    <mergeCell ref="O6:O7"/>
    <mergeCell ref="A3:S3"/>
    <mergeCell ref="E6:E7"/>
    <mergeCell ref="L6:L7"/>
    <mergeCell ref="S22:S23"/>
    <mergeCell ref="S19:S21"/>
    <mergeCell ref="S13:S15"/>
    <mergeCell ref="J13:J15"/>
    <mergeCell ref="K13:K15"/>
    <mergeCell ref="A6:A7"/>
    <mergeCell ref="D6:D7"/>
    <mergeCell ref="F6:F7"/>
    <mergeCell ref="J6:J7"/>
    <mergeCell ref="K6:K7"/>
    <mergeCell ref="A2:S2"/>
    <mergeCell ref="B6:B7"/>
    <mergeCell ref="C6:C7"/>
    <mergeCell ref="M6:M7"/>
    <mergeCell ref="N6:N7"/>
    <mergeCell ref="G5:N5"/>
    <mergeCell ref="O5:R5"/>
    <mergeCell ref="P6:P7"/>
    <mergeCell ref="I6:I7"/>
    <mergeCell ref="P4:S4"/>
    <mergeCell ref="H8:H11"/>
    <mergeCell ref="S5:S7"/>
    <mergeCell ref="P8:P11"/>
    <mergeCell ref="Q6:Q7"/>
    <mergeCell ref="R6:R7"/>
    <mergeCell ref="N22:N23"/>
    <mergeCell ref="O22:O23"/>
    <mergeCell ref="P22:P23"/>
    <mergeCell ref="I8:I11"/>
    <mergeCell ref="J8:J11"/>
    <mergeCell ref="K8:K11"/>
    <mergeCell ref="O13:O15"/>
    <mergeCell ref="P13:P15"/>
    <mergeCell ref="N19:N21"/>
    <mergeCell ref="P19:P21"/>
    <mergeCell ref="C34:D34"/>
    <mergeCell ref="J22:J23"/>
    <mergeCell ref="K22:K23"/>
    <mergeCell ref="A4:G4"/>
    <mergeCell ref="H4:L4"/>
    <mergeCell ref="M4:O4"/>
    <mergeCell ref="G6:G7"/>
    <mergeCell ref="N8:N11"/>
    <mergeCell ref="H6:H7"/>
    <mergeCell ref="I22:I23"/>
  </mergeCells>
  <printOptions/>
  <pageMargins left="1.299212598425197" right="0.11811023622047245" top="0.7480314960629921" bottom="0.7480314960629921" header="0.31496062992125984" footer="0.31496062992125984"/>
  <pageSetup horizontalDpi="600" verticalDpi="600" orientation="landscape" paperSize="5" scale="75" r:id="rId3"/>
  <headerFooter>
    <oddFooter>&amp;CPágina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AUXPLANEACION14</cp:lastModifiedBy>
  <cp:lastPrinted>2013-10-22T23:24:21Z</cp:lastPrinted>
  <dcterms:created xsi:type="dcterms:W3CDTF">2009-03-10T02:11:09Z</dcterms:created>
  <dcterms:modified xsi:type="dcterms:W3CDTF">2014-06-10T15:01:46Z</dcterms:modified>
  <cp:category/>
  <cp:version/>
  <cp:contentType/>
  <cp:contentStatus/>
</cp:coreProperties>
</file>