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923"/>
  </bookViews>
  <sheets>
    <sheet name="Ppto1" sheetId="73" r:id="rId1"/>
    <sheet name="AIU1" sheetId="79" r:id="rId2"/>
    <sheet name="Cantidades" sheetId="36" r:id="rId3"/>
    <sheet name="100.01" sheetId="10" r:id="rId4"/>
    <sheet name="100.02" sheetId="32" r:id="rId5"/>
    <sheet name="100,03" sheetId="11" r:id="rId6"/>
    <sheet name="100,04" sheetId="39" r:id="rId7"/>
    <sheet name="100,05" sheetId="54" r:id="rId8"/>
    <sheet name="100,06" sheetId="13" r:id="rId9"/>
    <sheet name="100,07" sheetId="33" r:id="rId10"/>
    <sheet name="200,01" sheetId="14" r:id="rId11"/>
    <sheet name="200,02" sheetId="15" r:id="rId12"/>
    <sheet name="200,03" sheetId="34" r:id="rId13"/>
    <sheet name="200,04" sheetId="85" r:id="rId14"/>
    <sheet name="300,01" sheetId="16" r:id="rId15"/>
    <sheet name="300,02" sheetId="55" r:id="rId16"/>
    <sheet name="300,03" sheetId="41" r:id="rId17"/>
    <sheet name="300,04" sheetId="17" r:id="rId18"/>
    <sheet name="400,01" sheetId="56" r:id="rId19"/>
    <sheet name="400,02" sheetId="57" r:id="rId20"/>
    <sheet name="400,03" sheetId="58" r:id="rId21"/>
    <sheet name="400,04" sheetId="59" r:id="rId22"/>
    <sheet name="500,01" sheetId="60" r:id="rId23"/>
    <sheet name="500,02" sheetId="61" r:id="rId24"/>
    <sheet name="500,03" sheetId="62" r:id="rId25"/>
    <sheet name="500,04" sheetId="63" r:id="rId26"/>
    <sheet name="500,05" sheetId="64" r:id="rId27"/>
    <sheet name="500,06" sheetId="44" r:id="rId28"/>
    <sheet name="500,07" sheetId="45" r:id="rId29"/>
    <sheet name="500,08" sheetId="51" r:id="rId30"/>
    <sheet name="500,09" sheetId="65" r:id="rId31"/>
    <sheet name="500,10" sheetId="52" r:id="rId32"/>
    <sheet name="500,11" sheetId="46" r:id="rId33"/>
    <sheet name="500,12" sheetId="48" r:id="rId34"/>
    <sheet name="500,13" sheetId="66" r:id="rId35"/>
    <sheet name="500,14" sheetId="19" r:id="rId36"/>
    <sheet name="500,15" sheetId="38" r:id="rId37"/>
    <sheet name="500,16" sheetId="20" r:id="rId38"/>
    <sheet name="500,17" sheetId="49" r:id="rId39"/>
    <sheet name="500,18" sheetId="42" r:id="rId40"/>
    <sheet name="500,19" sheetId="43" r:id="rId41"/>
    <sheet name="500,20" sheetId="67" r:id="rId42"/>
    <sheet name="500,21" sheetId="21" r:id="rId43"/>
    <sheet name="500,22" sheetId="35" r:id="rId44"/>
    <sheet name="600,01" sheetId="22" r:id="rId45"/>
    <sheet name="600,02" sheetId="68" r:id="rId46"/>
    <sheet name="600,03" sheetId="30" r:id="rId47"/>
    <sheet name="600,04" sheetId="31" r:id="rId48"/>
    <sheet name="700,01" sheetId="69" r:id="rId49"/>
    <sheet name="700,02" sheetId="70" r:id="rId50"/>
    <sheet name="700,03" sheetId="71" r:id="rId51"/>
    <sheet name="700,04" sheetId="72" r:id="rId52"/>
    <sheet name="700,05" sheetId="86" r:id="rId53"/>
    <sheet name="800,01" sheetId="24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 localSheetId="6">#REF!</definedName>
    <definedName name="\a" localSheetId="7">#REF!</definedName>
    <definedName name="\a" localSheetId="9">#REF!</definedName>
    <definedName name="\a" localSheetId="4">#REF!</definedName>
    <definedName name="\a" localSheetId="12">#REF!</definedName>
    <definedName name="\a" localSheetId="13">#REF!</definedName>
    <definedName name="\a" localSheetId="29">#REF!</definedName>
    <definedName name="\a" localSheetId="33">#REF!</definedName>
    <definedName name="\a" localSheetId="38">#REF!</definedName>
    <definedName name="\a" localSheetId="40">#REF!</definedName>
    <definedName name="\a" localSheetId="43">#REF!</definedName>
    <definedName name="\a" localSheetId="52">#REF!</definedName>
    <definedName name="\a" localSheetId="2">#REF!</definedName>
    <definedName name="\a">#REF!</definedName>
    <definedName name="\s" localSheetId="6">#REF!</definedName>
    <definedName name="\s" localSheetId="7">#REF!</definedName>
    <definedName name="\s" localSheetId="9">#REF!</definedName>
    <definedName name="\s" localSheetId="4">#REF!</definedName>
    <definedName name="\s" localSheetId="12">#REF!</definedName>
    <definedName name="\s" localSheetId="13">#REF!</definedName>
    <definedName name="\s" localSheetId="29">#REF!</definedName>
    <definedName name="\s" localSheetId="33">#REF!</definedName>
    <definedName name="\s" localSheetId="38">#REF!</definedName>
    <definedName name="\s" localSheetId="40">#REF!</definedName>
    <definedName name="\s" localSheetId="43">#REF!</definedName>
    <definedName name="\s" localSheetId="52">#REF!</definedName>
    <definedName name="\s" localSheetId="2">#REF!</definedName>
    <definedName name="\s">#REF!</definedName>
    <definedName name="\X">#N/A</definedName>
    <definedName name="\Z">#N/A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FC1">[2]INV!$A$25:$D$28</definedName>
    <definedName name="______________AFC3">[2]INV!$F$25:$I$28</definedName>
    <definedName name="______________AFC5">[2]INV!$K$25:$N$28</definedName>
    <definedName name="______________BGC1">[2]INV!$A$5:$D$8</definedName>
    <definedName name="______________BGC3">[2]INV!$F$5:$I$8</definedName>
    <definedName name="______________BGC5">[2]INV!$K$5:$N$8</definedName>
    <definedName name="______________CAC1">[2]INV!$A$19:$D$22</definedName>
    <definedName name="______________CAC3">[2]INV!$F$19:$I$22</definedName>
    <definedName name="______________CAC5">[2]INV!$K$19:$N$22</definedName>
    <definedName name="______________SBC1">[2]INV!$A$12:$D$15</definedName>
    <definedName name="______________SBC3">[2]INV!$F$12:$I$15</definedName>
    <definedName name="______________SBC5">[2]INV!$K$12:$N$15</definedName>
    <definedName name="_____________AFC1">[2]INV!$A$25:$D$28</definedName>
    <definedName name="_____________AFC3">[2]INV!$F$25:$I$28</definedName>
    <definedName name="_____________AFC5">[2]INV!$K$25:$N$28</definedName>
    <definedName name="_____________BGC1">[2]INV!$A$5:$D$8</definedName>
    <definedName name="_____________BGC3">[2]INV!$F$5:$I$8</definedName>
    <definedName name="_____________BGC5">[2]INV!$K$5:$N$8</definedName>
    <definedName name="_____________CAC1">[2]INV!$A$19:$D$22</definedName>
    <definedName name="_____________CAC3">[2]INV!$F$19:$I$22</definedName>
    <definedName name="_____________CAC5">[2]INV!$K$19:$N$22</definedName>
    <definedName name="_____________SBC1">[2]INV!$A$12:$D$15</definedName>
    <definedName name="_____________SBC3">[2]INV!$F$12:$I$15</definedName>
    <definedName name="_____________SBC5">[2]INV!$K$12:$N$15</definedName>
    <definedName name="____________AFC1">[2]INV!$A$25:$D$28</definedName>
    <definedName name="____________AFC3">[2]INV!$F$25:$I$28</definedName>
    <definedName name="____________AFC5">[2]INV!$K$25:$N$28</definedName>
    <definedName name="____________BGC1">[2]INV!$A$5:$D$8</definedName>
    <definedName name="____________BGC3">[2]INV!$F$5:$I$8</definedName>
    <definedName name="____________BGC5">[2]INV!$K$5:$N$8</definedName>
    <definedName name="____________CAC1">[2]INV!$A$19:$D$22</definedName>
    <definedName name="____________CAC3">[2]INV!$F$19:$I$22</definedName>
    <definedName name="____________CAC5">[2]INV!$K$19:$N$22</definedName>
    <definedName name="____________SBC1">[2]INV!$A$12:$D$15</definedName>
    <definedName name="____________SBC3">[2]INV!$F$12:$I$15</definedName>
    <definedName name="____________SBC5">[2]INV!$K$12:$N$15</definedName>
    <definedName name="___________AFC1">[2]INV!$A$25:$D$28</definedName>
    <definedName name="___________AFC3">[2]INV!$F$25:$I$28</definedName>
    <definedName name="___________AFC5">[2]INV!$K$25:$N$28</definedName>
    <definedName name="___________BGC1">[2]INV!$A$5:$D$8</definedName>
    <definedName name="___________BGC3">[2]INV!$F$5:$I$8</definedName>
    <definedName name="___________BGC5">[2]INV!$K$5:$N$8</definedName>
    <definedName name="___________CAC1">[2]INV!$A$19:$D$22</definedName>
    <definedName name="___________CAC3">[2]INV!$F$19:$I$22</definedName>
    <definedName name="___________CAC5">[2]INV!$K$19:$N$22</definedName>
    <definedName name="___________SBC1">[2]INV!$A$12:$D$15</definedName>
    <definedName name="___________SBC3">[2]INV!$F$12:$I$15</definedName>
    <definedName name="___________SBC5">[2]INV!$K$12:$N$15</definedName>
    <definedName name="__________AFC1">[2]INV!$A$25:$D$28</definedName>
    <definedName name="__________AFC3">[2]INV!$F$25:$I$28</definedName>
    <definedName name="__________AFC5">[2]INV!$K$25:$N$28</definedName>
    <definedName name="__________BGC1">[2]INV!$A$5:$D$8</definedName>
    <definedName name="__________BGC3">[2]INV!$F$5:$I$8</definedName>
    <definedName name="__________BGC5">[2]INV!$K$5:$N$8</definedName>
    <definedName name="__________CAC1">[2]INV!$A$19:$D$22</definedName>
    <definedName name="__________CAC3">[2]INV!$F$19:$I$22</definedName>
    <definedName name="__________CAC5">[2]INV!$K$19:$N$22</definedName>
    <definedName name="__________SBC1">[2]INV!$A$12:$D$15</definedName>
    <definedName name="__________SBC3">[2]INV!$F$12:$I$15</definedName>
    <definedName name="__________SBC5">[2]INV!$K$12:$N$15</definedName>
    <definedName name="_________AFC1">[2]INV!$A$25:$D$28</definedName>
    <definedName name="_________AFC3">[2]INV!$F$25:$I$28</definedName>
    <definedName name="_________AFC5">[2]INV!$K$25:$N$28</definedName>
    <definedName name="_________BGC1">[2]INV!$A$5:$D$8</definedName>
    <definedName name="_________BGC3">[2]INV!$F$5:$I$8</definedName>
    <definedName name="_________BGC5">[2]INV!$K$5:$N$8</definedName>
    <definedName name="_________CAC1">[2]INV!$A$19:$D$22</definedName>
    <definedName name="_________CAC3">[2]INV!$F$19:$I$22</definedName>
    <definedName name="_________CAC5">[2]INV!$K$19:$N$22</definedName>
    <definedName name="_________PJ50" localSheetId="6">#REF!</definedName>
    <definedName name="_________PJ50" localSheetId="7">#REF!</definedName>
    <definedName name="_________PJ50" localSheetId="9">#REF!</definedName>
    <definedName name="_________PJ50" localSheetId="4">#REF!</definedName>
    <definedName name="_________PJ50" localSheetId="12">#REF!</definedName>
    <definedName name="_________PJ50" localSheetId="13">#REF!</definedName>
    <definedName name="_________PJ50" localSheetId="29">#REF!</definedName>
    <definedName name="_________PJ50" localSheetId="33">#REF!</definedName>
    <definedName name="_________PJ50" localSheetId="38">#REF!</definedName>
    <definedName name="_________PJ50" localSheetId="40">#REF!</definedName>
    <definedName name="_________PJ50" localSheetId="43">#REF!</definedName>
    <definedName name="_________PJ50" localSheetId="52">#REF!</definedName>
    <definedName name="_________PJ50" localSheetId="2">#REF!</definedName>
    <definedName name="_________PJ50">#REF!</definedName>
    <definedName name="_________SBC1">[2]INV!$A$12:$D$15</definedName>
    <definedName name="_________SBC3">[2]INV!$F$12:$I$15</definedName>
    <definedName name="_________SBC5">[2]INV!$K$12:$N$15</definedName>
    <definedName name="________AFC1">[2]INV!$A$25:$D$28</definedName>
    <definedName name="________AFC3">[2]INV!$F$25:$I$28</definedName>
    <definedName name="________AFC5">[2]INV!$K$25:$N$28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MA2" localSheetId="6">#REF!</definedName>
    <definedName name="________MA2" localSheetId="7">#REF!</definedName>
    <definedName name="________MA2" localSheetId="9">#REF!</definedName>
    <definedName name="________MA2" localSheetId="4">#REF!</definedName>
    <definedName name="________MA2" localSheetId="12">#REF!</definedName>
    <definedName name="________MA2" localSheetId="13">#REF!</definedName>
    <definedName name="________MA2" localSheetId="29">#REF!</definedName>
    <definedName name="________MA2" localSheetId="33">#REF!</definedName>
    <definedName name="________MA2" localSheetId="38">#REF!</definedName>
    <definedName name="________MA2" localSheetId="40">#REF!</definedName>
    <definedName name="________MA2" localSheetId="43">#REF!</definedName>
    <definedName name="________MA2" localSheetId="52">#REF!</definedName>
    <definedName name="________MA2" localSheetId="2">#REF!</definedName>
    <definedName name="________MA2">#REF!</definedName>
    <definedName name="________PJ50" localSheetId="6">#REF!</definedName>
    <definedName name="________PJ50" localSheetId="7">#REF!</definedName>
    <definedName name="________PJ50" localSheetId="9">#REF!</definedName>
    <definedName name="________PJ50" localSheetId="4">#REF!</definedName>
    <definedName name="________PJ50" localSheetId="12">#REF!</definedName>
    <definedName name="________PJ50" localSheetId="13">#REF!</definedName>
    <definedName name="________PJ50" localSheetId="29">#REF!</definedName>
    <definedName name="________PJ50" localSheetId="33">#REF!</definedName>
    <definedName name="________PJ50" localSheetId="38">#REF!</definedName>
    <definedName name="________PJ50" localSheetId="40">#REF!</definedName>
    <definedName name="________PJ50" localSheetId="43">#REF!</definedName>
    <definedName name="________PJ50" localSheetId="52">#REF!</definedName>
    <definedName name="________PJ50" localSheetId="2">#REF!</definedName>
    <definedName name="________PJ50">#REF!</definedName>
    <definedName name="________SBC1">[2]INV!$A$12:$D$15</definedName>
    <definedName name="________SBC3">[2]INV!$F$12:$I$15</definedName>
    <definedName name="________SBC5">[2]INV!$K$12:$N$15</definedName>
    <definedName name="_______AFC1">[2]INV!$A$25:$D$28</definedName>
    <definedName name="_______AFC3">[2]INV!$F$25:$I$28</definedName>
    <definedName name="_______AFC5">[2]INV!$K$25:$N$28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MA2" localSheetId="6">#REF!</definedName>
    <definedName name="_______MA2" localSheetId="7">#REF!</definedName>
    <definedName name="_______MA2" localSheetId="9">#REF!</definedName>
    <definedName name="_______MA2" localSheetId="4">#REF!</definedName>
    <definedName name="_______MA2" localSheetId="12">#REF!</definedName>
    <definedName name="_______MA2" localSheetId="13">#REF!</definedName>
    <definedName name="_______MA2" localSheetId="29">#REF!</definedName>
    <definedName name="_______MA2" localSheetId="33">#REF!</definedName>
    <definedName name="_______MA2" localSheetId="38">#REF!</definedName>
    <definedName name="_______MA2" localSheetId="40">#REF!</definedName>
    <definedName name="_______MA2" localSheetId="43">#REF!</definedName>
    <definedName name="_______MA2" localSheetId="52">#REF!</definedName>
    <definedName name="_______MA2" localSheetId="2">#REF!</definedName>
    <definedName name="_______MA2">#REF!</definedName>
    <definedName name="_______PJ50" localSheetId="6">#REF!</definedName>
    <definedName name="_______PJ50" localSheetId="7">#REF!</definedName>
    <definedName name="_______PJ50" localSheetId="9">#REF!</definedName>
    <definedName name="_______PJ50" localSheetId="4">#REF!</definedName>
    <definedName name="_______PJ50" localSheetId="12">#REF!</definedName>
    <definedName name="_______PJ50" localSheetId="13">#REF!</definedName>
    <definedName name="_______PJ50" localSheetId="29">#REF!</definedName>
    <definedName name="_______PJ50" localSheetId="33">#REF!</definedName>
    <definedName name="_______PJ50" localSheetId="38">#REF!</definedName>
    <definedName name="_______PJ50" localSheetId="40">#REF!</definedName>
    <definedName name="_______PJ50" localSheetId="43">#REF!</definedName>
    <definedName name="_______PJ50" localSheetId="52">#REF!</definedName>
    <definedName name="_______PJ50" localSheetId="2">#REF!</definedName>
    <definedName name="_______PJ50">#REF!</definedName>
    <definedName name="_______SBC1">[2]INV!$A$12:$D$15</definedName>
    <definedName name="_______SBC3">[2]INV!$F$12:$I$15</definedName>
    <definedName name="_______SBC5">[2]INV!$K$12:$N$15</definedName>
    <definedName name="______AFC1">[2]INV!$A$25:$D$28</definedName>
    <definedName name="______AFC3">[2]INV!$F$25:$I$28</definedName>
    <definedName name="______AFC5">[2]INV!$K$25:$N$28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MA2" localSheetId="6">#REF!</definedName>
    <definedName name="______MA2" localSheetId="7">#REF!</definedName>
    <definedName name="______MA2" localSheetId="9">#REF!</definedName>
    <definedName name="______MA2" localSheetId="4">#REF!</definedName>
    <definedName name="______MA2" localSheetId="12">#REF!</definedName>
    <definedName name="______MA2" localSheetId="13">#REF!</definedName>
    <definedName name="______MA2" localSheetId="29">#REF!</definedName>
    <definedName name="______MA2" localSheetId="33">#REF!</definedName>
    <definedName name="______MA2" localSheetId="38">#REF!</definedName>
    <definedName name="______MA2" localSheetId="40">#REF!</definedName>
    <definedName name="______MA2" localSheetId="43">#REF!</definedName>
    <definedName name="______MA2" localSheetId="52">#REF!</definedName>
    <definedName name="______MA2" localSheetId="2">#REF!</definedName>
    <definedName name="______MA2">#REF!</definedName>
    <definedName name="______PJ50" localSheetId="6">#REF!</definedName>
    <definedName name="______PJ50" localSheetId="7">#REF!</definedName>
    <definedName name="______PJ50" localSheetId="9">#REF!</definedName>
    <definedName name="______PJ50" localSheetId="4">#REF!</definedName>
    <definedName name="______PJ50" localSheetId="12">#REF!</definedName>
    <definedName name="______PJ50" localSheetId="13">#REF!</definedName>
    <definedName name="______PJ50" localSheetId="29">#REF!</definedName>
    <definedName name="______PJ50" localSheetId="33">#REF!</definedName>
    <definedName name="______PJ50" localSheetId="38">#REF!</definedName>
    <definedName name="______PJ50" localSheetId="40">#REF!</definedName>
    <definedName name="______PJ50" localSheetId="43">#REF!</definedName>
    <definedName name="______PJ50" localSheetId="52">#REF!</definedName>
    <definedName name="______PJ50" localSheetId="2">#REF!</definedName>
    <definedName name="______PJ50">#REF!</definedName>
    <definedName name="______SBC1">[2]INV!$A$12:$D$15</definedName>
    <definedName name="______SBC3">[2]INV!$F$12:$I$15</definedName>
    <definedName name="______SBC5">[2]INV!$K$12:$N$15</definedName>
    <definedName name="_____AFC1">[2]INV!$A$25:$D$28</definedName>
    <definedName name="_____AFC3">[2]INV!$F$25:$I$28</definedName>
    <definedName name="_____AFC5">[2]INV!$K$25:$N$28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MA2" localSheetId="6">#REF!</definedName>
    <definedName name="_____MA2" localSheetId="7">#REF!</definedName>
    <definedName name="_____MA2" localSheetId="9">#REF!</definedName>
    <definedName name="_____MA2" localSheetId="4">#REF!</definedName>
    <definedName name="_____MA2" localSheetId="12">#REF!</definedName>
    <definedName name="_____MA2" localSheetId="13">#REF!</definedName>
    <definedName name="_____MA2" localSheetId="29">#REF!</definedName>
    <definedName name="_____MA2" localSheetId="33">#REF!</definedName>
    <definedName name="_____MA2" localSheetId="38">#REF!</definedName>
    <definedName name="_____MA2" localSheetId="40">#REF!</definedName>
    <definedName name="_____MA2" localSheetId="43">#REF!</definedName>
    <definedName name="_____MA2" localSheetId="52">#REF!</definedName>
    <definedName name="_____MA2" localSheetId="2">#REF!</definedName>
    <definedName name="_____MA2">#REF!</definedName>
    <definedName name="_____PJ50" localSheetId="6">#REF!</definedName>
    <definedName name="_____PJ50" localSheetId="7">#REF!</definedName>
    <definedName name="_____PJ50" localSheetId="9">#REF!</definedName>
    <definedName name="_____PJ50" localSheetId="4">#REF!</definedName>
    <definedName name="_____PJ50" localSheetId="12">#REF!</definedName>
    <definedName name="_____PJ50" localSheetId="13">#REF!</definedName>
    <definedName name="_____PJ50" localSheetId="29">#REF!</definedName>
    <definedName name="_____PJ50" localSheetId="33">#REF!</definedName>
    <definedName name="_____PJ50" localSheetId="38">#REF!</definedName>
    <definedName name="_____PJ50" localSheetId="40">#REF!</definedName>
    <definedName name="_____PJ50" localSheetId="43">#REF!</definedName>
    <definedName name="_____PJ50" localSheetId="52">#REF!</definedName>
    <definedName name="_____PJ50" localSheetId="2">#REF!</definedName>
    <definedName name="_____PJ50">#REF!</definedName>
    <definedName name="_____SBC1">[2]INV!$A$12:$D$15</definedName>
    <definedName name="_____SBC3">[2]INV!$F$12:$I$15</definedName>
    <definedName name="_____SBC5">[2]INV!$K$12:$N$15</definedName>
    <definedName name="____AFC1">[2]INV!$A$25:$D$28</definedName>
    <definedName name="____AFC3">[2]INV!$F$25:$I$28</definedName>
    <definedName name="____AFC5">[2]INV!$K$25:$N$28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MA2" localSheetId="6">#REF!</definedName>
    <definedName name="____MA2" localSheetId="7">#REF!</definedName>
    <definedName name="____MA2" localSheetId="9">#REF!</definedName>
    <definedName name="____MA2" localSheetId="4">#REF!</definedName>
    <definedName name="____MA2" localSheetId="12">#REF!</definedName>
    <definedName name="____MA2" localSheetId="13">#REF!</definedName>
    <definedName name="____MA2" localSheetId="29">#REF!</definedName>
    <definedName name="____MA2" localSheetId="33">#REF!</definedName>
    <definedName name="____MA2" localSheetId="38">#REF!</definedName>
    <definedName name="____MA2" localSheetId="40">#REF!</definedName>
    <definedName name="____MA2" localSheetId="43">#REF!</definedName>
    <definedName name="____MA2" localSheetId="52">#REF!</definedName>
    <definedName name="____MA2" localSheetId="2">#REF!</definedName>
    <definedName name="____MA2">#REF!</definedName>
    <definedName name="____PJ50" localSheetId="6">#REF!</definedName>
    <definedName name="____PJ50" localSheetId="7">#REF!</definedName>
    <definedName name="____PJ50" localSheetId="9">#REF!</definedName>
    <definedName name="____PJ50" localSheetId="4">#REF!</definedName>
    <definedName name="____PJ50" localSheetId="12">#REF!</definedName>
    <definedName name="____PJ50" localSheetId="13">#REF!</definedName>
    <definedName name="____PJ50" localSheetId="29">#REF!</definedName>
    <definedName name="____PJ50" localSheetId="33">#REF!</definedName>
    <definedName name="____PJ50" localSheetId="38">#REF!</definedName>
    <definedName name="____PJ50" localSheetId="40">#REF!</definedName>
    <definedName name="____PJ50" localSheetId="43">#REF!</definedName>
    <definedName name="____PJ50" localSheetId="52">#REF!</definedName>
    <definedName name="____PJ50" localSheetId="2">#REF!</definedName>
    <definedName name="____PJ50">#REF!</definedName>
    <definedName name="____pj51" localSheetId="6">#REF!</definedName>
    <definedName name="____pj51" localSheetId="7">#REF!</definedName>
    <definedName name="____pj51" localSheetId="9">#REF!</definedName>
    <definedName name="____pj51" localSheetId="4">#REF!</definedName>
    <definedName name="____pj51" localSheetId="12">#REF!</definedName>
    <definedName name="____pj51" localSheetId="13">#REF!</definedName>
    <definedName name="____pj51" localSheetId="29">#REF!</definedName>
    <definedName name="____pj51" localSheetId="33">#REF!</definedName>
    <definedName name="____pj51" localSheetId="38">#REF!</definedName>
    <definedName name="____pj51" localSheetId="40">#REF!</definedName>
    <definedName name="____pj51" localSheetId="43">#REF!</definedName>
    <definedName name="____pj51" localSheetId="52">#REF!</definedName>
    <definedName name="____pj51" localSheetId="2">#REF!</definedName>
    <definedName name="____pj51">#REF!</definedName>
    <definedName name="____SBC1">[2]INV!$A$12:$D$15</definedName>
    <definedName name="____SBC3">[2]INV!$F$12:$I$15</definedName>
    <definedName name="____SBC5">[2]INV!$K$12:$N$15</definedName>
    <definedName name="___AFC1">[2]INV!$A$25:$D$28</definedName>
    <definedName name="___AFC3">[2]INV!$F$25:$I$28</definedName>
    <definedName name="___AFC5">[2]INV!$K$25:$N$28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MA2" localSheetId="6">#REF!</definedName>
    <definedName name="___MA2" localSheetId="7">#REF!</definedName>
    <definedName name="___MA2" localSheetId="9">#REF!</definedName>
    <definedName name="___MA2" localSheetId="4">#REF!</definedName>
    <definedName name="___MA2" localSheetId="12">#REF!</definedName>
    <definedName name="___MA2" localSheetId="13">#REF!</definedName>
    <definedName name="___MA2" localSheetId="29">#REF!</definedName>
    <definedName name="___MA2" localSheetId="33">#REF!</definedName>
    <definedName name="___MA2" localSheetId="38">#REF!</definedName>
    <definedName name="___MA2" localSheetId="40">#REF!</definedName>
    <definedName name="___MA2" localSheetId="43">#REF!</definedName>
    <definedName name="___MA2" localSheetId="52">#REF!</definedName>
    <definedName name="___MA2" localSheetId="2">#REF!</definedName>
    <definedName name="___MA2">#REF!</definedName>
    <definedName name="___PJ50" localSheetId="6">#REF!</definedName>
    <definedName name="___PJ50" localSheetId="7">#REF!</definedName>
    <definedName name="___PJ50" localSheetId="9">#REF!</definedName>
    <definedName name="___PJ50" localSheetId="4">#REF!</definedName>
    <definedName name="___PJ50" localSheetId="12">#REF!</definedName>
    <definedName name="___PJ50" localSheetId="13">#REF!</definedName>
    <definedName name="___PJ50" localSheetId="29">#REF!</definedName>
    <definedName name="___PJ50" localSheetId="33">#REF!</definedName>
    <definedName name="___PJ50" localSheetId="38">#REF!</definedName>
    <definedName name="___PJ50" localSheetId="40">#REF!</definedName>
    <definedName name="___PJ50" localSheetId="43">#REF!</definedName>
    <definedName name="___PJ50" localSheetId="52">#REF!</definedName>
    <definedName name="___PJ50" localSheetId="2">#REF!</definedName>
    <definedName name="___PJ50">#REF!</definedName>
    <definedName name="___pj51" localSheetId="6">#REF!</definedName>
    <definedName name="___pj51" localSheetId="7">#REF!</definedName>
    <definedName name="___pj51" localSheetId="9">#REF!</definedName>
    <definedName name="___pj51" localSheetId="4">#REF!</definedName>
    <definedName name="___pj51" localSheetId="12">#REF!</definedName>
    <definedName name="___pj51" localSheetId="13">#REF!</definedName>
    <definedName name="___pj51" localSheetId="29">#REF!</definedName>
    <definedName name="___pj51" localSheetId="33">#REF!</definedName>
    <definedName name="___pj51" localSheetId="38">#REF!</definedName>
    <definedName name="___pj51" localSheetId="40">#REF!</definedName>
    <definedName name="___pj51" localSheetId="43">#REF!</definedName>
    <definedName name="___pj51" localSheetId="52">#REF!</definedName>
    <definedName name="___pj51" localSheetId="2">#REF!</definedName>
    <definedName name="___pj51">#REF!</definedName>
    <definedName name="___SBC1">[2]INV!$A$12:$D$15</definedName>
    <definedName name="___SBC3">[2]INV!$F$12:$I$15</definedName>
    <definedName name="___SBC5">[2]INV!$K$12:$N$15</definedName>
    <definedName name="__123Graph_A" hidden="1">[3]AIU!$D$338:$D$357</definedName>
    <definedName name="__123Graph_Acaja" hidden="1">[3]EVA!$D$39:$AD$39</definedName>
    <definedName name="__123Graph_ACart_AnticAdic" hidden="1">[3]EVA!$F$95:$I$95</definedName>
    <definedName name="__123Graph_AFACTURAC" hidden="1">[3]Program!$B$120:$Y$120</definedName>
    <definedName name="__123Graph_AGraph2" hidden="1">[3]AIU!$D$338:$D$357</definedName>
    <definedName name="__123Graph_Bcaja" hidden="1">[3]EVA!$D$56:$AD$56</definedName>
    <definedName name="__123Graph_BCart_AnticAdic" hidden="1">[3]EVA!$F$96:$I$96</definedName>
    <definedName name="__123Graph_Ccaja" hidden="1">[3]EVA!$D$58:$AD$58</definedName>
    <definedName name="__123Graph_CCart_AnticAdic" hidden="1">[3]EVA!$F$97:$I$97</definedName>
    <definedName name="__123Graph_Dcaja" hidden="1">[3]EVA!$D$61:$AD$61</definedName>
    <definedName name="__123Graph_DCart_AnticAdic" hidden="1">[3]EVA!$F$99:$I$99</definedName>
    <definedName name="__123Graph_ECart_AnticAdic" hidden="1">[3]EVA!$F$99:$I$99</definedName>
    <definedName name="__123Graph_LBL_ACart_AnticAdic" hidden="1">[3]EVA!$J$95:$K$95</definedName>
    <definedName name="__123Graph_LBL_Ccaja" hidden="1">[3]EVA!$D$58:$AD$58</definedName>
    <definedName name="__123Graph_LBL_DCart_AnticAdic" hidden="1">[3]EVA!$F$98:$I$98</definedName>
    <definedName name="__123Graph_X" hidden="1">[3]AIU!$C$338:$C$357</definedName>
    <definedName name="__123Graph_Xcaja" hidden="1">[3]EVA!$D$6:$AD$6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[2]INV!$A$25:$D$28</definedName>
    <definedName name="__AFC3">[2]INV!$F$25:$I$28</definedName>
    <definedName name="__AFC5">[2]INV!$K$25:$N$28</definedName>
    <definedName name="__APU465" localSheetId="6">[4]!absc</definedName>
    <definedName name="__APU465" localSheetId="7">[4]!absc</definedName>
    <definedName name="__APU465" localSheetId="9">[4]!absc</definedName>
    <definedName name="__APU465" localSheetId="4">[4]!absc</definedName>
    <definedName name="__APU465" localSheetId="12">[4]!absc</definedName>
    <definedName name="__APU465" localSheetId="13">[4]!absc</definedName>
    <definedName name="__APU465" localSheetId="29">[4]!absc</definedName>
    <definedName name="__APU465" localSheetId="33">[4]!absc</definedName>
    <definedName name="__APU465" localSheetId="38">[4]!absc</definedName>
    <definedName name="__APU465" localSheetId="40">[4]!absc</definedName>
    <definedName name="__APU465" localSheetId="43">[4]!absc</definedName>
    <definedName name="__APU465" localSheetId="52">[4]!absc</definedName>
    <definedName name="__APU465" localSheetId="2">[4]!absc</definedName>
    <definedName name="__APU465">[4]!absc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F">#N/A</definedName>
    <definedName name="__FS0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6">#REF!</definedName>
    <definedName name="__MA2" localSheetId="7">#REF!</definedName>
    <definedName name="__MA2" localSheetId="9">#REF!</definedName>
    <definedName name="__MA2" localSheetId="4">#REF!</definedName>
    <definedName name="__MA2" localSheetId="12">#REF!</definedName>
    <definedName name="__MA2" localSheetId="13">#REF!</definedName>
    <definedName name="__MA2" localSheetId="29">#REF!</definedName>
    <definedName name="__MA2" localSheetId="33">#REF!</definedName>
    <definedName name="__MA2" localSheetId="38">#REF!</definedName>
    <definedName name="__MA2" localSheetId="40">#REF!</definedName>
    <definedName name="__MA2" localSheetId="43">#REF!</definedName>
    <definedName name="__MA2" localSheetId="52">#REF!</definedName>
    <definedName name="__MA2" localSheetId="2">#REF!</definedName>
    <definedName name="__MA2">#REF!</definedName>
    <definedName name="__mun2" localSheetId="6">[5]PESOS!#REF!</definedName>
    <definedName name="__mun2" localSheetId="7">[5]PESOS!#REF!</definedName>
    <definedName name="__mun2" localSheetId="9">[5]PESOS!#REF!</definedName>
    <definedName name="__mun2" localSheetId="4">[5]PESOS!#REF!</definedName>
    <definedName name="__mun2" localSheetId="12">[5]PESOS!#REF!</definedName>
    <definedName name="__mun2" localSheetId="13">[5]PESOS!#REF!</definedName>
    <definedName name="__mun2" localSheetId="29">[5]PESOS!#REF!</definedName>
    <definedName name="__mun2" localSheetId="33">[5]PESOS!#REF!</definedName>
    <definedName name="__mun2" localSheetId="38">[5]PESOS!#REF!</definedName>
    <definedName name="__mun2" localSheetId="40">[5]PESOS!#REF!</definedName>
    <definedName name="__mun2" localSheetId="43">[5]PESOS!#REF!</definedName>
    <definedName name="__mun2" localSheetId="52">[5]PESOS!#REF!</definedName>
    <definedName name="__mun2" localSheetId="2">[5]PESOS!#REF!</definedName>
    <definedName name="__mun2">[5]PESOS!#REF!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um10" localSheetId="6">#REF!</definedName>
    <definedName name="__num10" localSheetId="7">#REF!</definedName>
    <definedName name="__num10" localSheetId="9">#REF!</definedName>
    <definedName name="__num10" localSheetId="4">#REF!</definedName>
    <definedName name="__num10" localSheetId="12">#REF!</definedName>
    <definedName name="__num10" localSheetId="13">#REF!</definedName>
    <definedName name="__num10" localSheetId="29">#REF!</definedName>
    <definedName name="__num10" localSheetId="33">#REF!</definedName>
    <definedName name="__num10" localSheetId="38">#REF!</definedName>
    <definedName name="__num10" localSheetId="40">#REF!</definedName>
    <definedName name="__num10" localSheetId="43">#REF!</definedName>
    <definedName name="__num10" localSheetId="52">#REF!</definedName>
    <definedName name="__num10" localSheetId="2">#REF!</definedName>
    <definedName name="__num10">#REF!</definedName>
    <definedName name="__num2" localSheetId="6">#REF!</definedName>
    <definedName name="__num2" localSheetId="7">#REF!</definedName>
    <definedName name="__num2" localSheetId="9">#REF!</definedName>
    <definedName name="__num2" localSheetId="4">#REF!</definedName>
    <definedName name="__num2" localSheetId="12">#REF!</definedName>
    <definedName name="__num2" localSheetId="13">#REF!</definedName>
    <definedName name="__num2" localSheetId="29">#REF!</definedName>
    <definedName name="__num2" localSheetId="33">#REF!</definedName>
    <definedName name="__num2" localSheetId="38">#REF!</definedName>
    <definedName name="__num2" localSheetId="40">#REF!</definedName>
    <definedName name="__num2" localSheetId="43">#REF!</definedName>
    <definedName name="__num2" localSheetId="52">#REF!</definedName>
    <definedName name="__num2" localSheetId="2">#REF!</definedName>
    <definedName name="__num2">#REF!</definedName>
    <definedName name="__num3" localSheetId="6">#REF!</definedName>
    <definedName name="__num3" localSheetId="7">#REF!</definedName>
    <definedName name="__num3" localSheetId="9">#REF!</definedName>
    <definedName name="__num3" localSheetId="4">#REF!</definedName>
    <definedName name="__num3" localSheetId="12">#REF!</definedName>
    <definedName name="__num3" localSheetId="13">#REF!</definedName>
    <definedName name="__num3" localSheetId="29">#REF!</definedName>
    <definedName name="__num3" localSheetId="33">#REF!</definedName>
    <definedName name="__num3" localSheetId="38">#REF!</definedName>
    <definedName name="__num3" localSheetId="40">#REF!</definedName>
    <definedName name="__num3" localSheetId="43">#REF!</definedName>
    <definedName name="__num3" localSheetId="52">#REF!</definedName>
    <definedName name="__num3" localSheetId="2">#REF!</definedName>
    <definedName name="__num3">#REF!</definedName>
    <definedName name="__num4" localSheetId="6">#REF!</definedName>
    <definedName name="__num4" localSheetId="7">#REF!</definedName>
    <definedName name="__num4" localSheetId="9">#REF!</definedName>
    <definedName name="__num4" localSheetId="4">#REF!</definedName>
    <definedName name="__num4" localSheetId="12">#REF!</definedName>
    <definedName name="__num4" localSheetId="13">#REF!</definedName>
    <definedName name="__num4" localSheetId="29">#REF!</definedName>
    <definedName name="__num4" localSheetId="33">#REF!</definedName>
    <definedName name="__num4" localSheetId="38">#REF!</definedName>
    <definedName name="__num4" localSheetId="40">#REF!</definedName>
    <definedName name="__num4" localSheetId="43">#REF!</definedName>
    <definedName name="__num4" localSheetId="52">#REF!</definedName>
    <definedName name="__num4" localSheetId="2">#REF!</definedName>
    <definedName name="__num4">#REF!</definedName>
    <definedName name="__num5" localSheetId="6">#REF!</definedName>
    <definedName name="__num5" localSheetId="7">#REF!</definedName>
    <definedName name="__num5" localSheetId="9">#REF!</definedName>
    <definedName name="__num5" localSheetId="4">#REF!</definedName>
    <definedName name="__num5" localSheetId="12">#REF!</definedName>
    <definedName name="__num5" localSheetId="13">#REF!</definedName>
    <definedName name="__num5" localSheetId="29">#REF!</definedName>
    <definedName name="__num5" localSheetId="33">#REF!</definedName>
    <definedName name="__num5" localSheetId="38">#REF!</definedName>
    <definedName name="__num5" localSheetId="40">#REF!</definedName>
    <definedName name="__num5" localSheetId="43">#REF!</definedName>
    <definedName name="__num5" localSheetId="52">#REF!</definedName>
    <definedName name="__num5" localSheetId="2">#REF!</definedName>
    <definedName name="__num5">#REF!</definedName>
    <definedName name="__num6" localSheetId="6">#REF!</definedName>
    <definedName name="__num6" localSheetId="7">#REF!</definedName>
    <definedName name="__num6" localSheetId="9">#REF!</definedName>
    <definedName name="__num6" localSheetId="4">#REF!</definedName>
    <definedName name="__num6" localSheetId="12">#REF!</definedName>
    <definedName name="__num6" localSheetId="13">#REF!</definedName>
    <definedName name="__num6" localSheetId="29">#REF!</definedName>
    <definedName name="__num6" localSheetId="33">#REF!</definedName>
    <definedName name="__num6" localSheetId="38">#REF!</definedName>
    <definedName name="__num6" localSheetId="40">#REF!</definedName>
    <definedName name="__num6" localSheetId="43">#REF!</definedName>
    <definedName name="__num6" localSheetId="52">#REF!</definedName>
    <definedName name="__num6" localSheetId="2">#REF!</definedName>
    <definedName name="__num6">#REF!</definedName>
    <definedName name="__num7" localSheetId="6">#REF!</definedName>
    <definedName name="__num7" localSheetId="7">#REF!</definedName>
    <definedName name="__num7" localSheetId="9">#REF!</definedName>
    <definedName name="__num7" localSheetId="4">#REF!</definedName>
    <definedName name="__num7" localSheetId="12">#REF!</definedName>
    <definedName name="__num7" localSheetId="13">#REF!</definedName>
    <definedName name="__num7" localSheetId="29">#REF!</definedName>
    <definedName name="__num7" localSheetId="33">#REF!</definedName>
    <definedName name="__num7" localSheetId="38">#REF!</definedName>
    <definedName name="__num7" localSheetId="40">#REF!</definedName>
    <definedName name="__num7" localSheetId="43">#REF!</definedName>
    <definedName name="__num7" localSheetId="52">#REF!</definedName>
    <definedName name="__num7" localSheetId="2">#REF!</definedName>
    <definedName name="__num7">#REF!</definedName>
    <definedName name="__num8" localSheetId="6">#REF!</definedName>
    <definedName name="__num8" localSheetId="7">#REF!</definedName>
    <definedName name="__num8" localSheetId="9">#REF!</definedName>
    <definedName name="__num8" localSheetId="4">#REF!</definedName>
    <definedName name="__num8" localSheetId="12">#REF!</definedName>
    <definedName name="__num8" localSheetId="13">#REF!</definedName>
    <definedName name="__num8" localSheetId="29">#REF!</definedName>
    <definedName name="__num8" localSheetId="33">#REF!</definedName>
    <definedName name="__num8" localSheetId="38">#REF!</definedName>
    <definedName name="__num8" localSheetId="40">#REF!</definedName>
    <definedName name="__num8" localSheetId="43">#REF!</definedName>
    <definedName name="__num8" localSheetId="52">#REF!</definedName>
    <definedName name="__num8" localSheetId="2">#REF!</definedName>
    <definedName name="__num8">#REF!</definedName>
    <definedName name="__num9" localSheetId="6">#REF!</definedName>
    <definedName name="__num9" localSheetId="7">#REF!</definedName>
    <definedName name="__num9" localSheetId="9">#REF!</definedName>
    <definedName name="__num9" localSheetId="4">#REF!</definedName>
    <definedName name="__num9" localSheetId="12">#REF!</definedName>
    <definedName name="__num9" localSheetId="13">#REF!</definedName>
    <definedName name="__num9" localSheetId="29">#REF!</definedName>
    <definedName name="__num9" localSheetId="33">#REF!</definedName>
    <definedName name="__num9" localSheetId="38">#REF!</definedName>
    <definedName name="__num9" localSheetId="40">#REF!</definedName>
    <definedName name="__num9" localSheetId="43">#REF!</definedName>
    <definedName name="__num9" localSheetId="52">#REF!</definedName>
    <definedName name="__num9" localSheetId="2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6">#REF!</definedName>
    <definedName name="__PJ50" localSheetId="7">#REF!</definedName>
    <definedName name="__PJ50" localSheetId="9">#REF!</definedName>
    <definedName name="__PJ50" localSheetId="4">#REF!</definedName>
    <definedName name="__PJ50" localSheetId="12">#REF!</definedName>
    <definedName name="__PJ50" localSheetId="13">#REF!</definedName>
    <definedName name="__PJ50" localSheetId="29">#REF!</definedName>
    <definedName name="__PJ50" localSheetId="33">#REF!</definedName>
    <definedName name="__PJ50" localSheetId="38">#REF!</definedName>
    <definedName name="__PJ50" localSheetId="40">#REF!</definedName>
    <definedName name="__PJ50" localSheetId="43">#REF!</definedName>
    <definedName name="__PJ50" localSheetId="52">#REF!</definedName>
    <definedName name="__PJ50" localSheetId="2">#REF!</definedName>
    <definedName name="__PJ50">#REF!</definedName>
    <definedName name="__pj51" localSheetId="6">#REF!</definedName>
    <definedName name="__pj51" localSheetId="7">#REF!</definedName>
    <definedName name="__pj51" localSheetId="9">#REF!</definedName>
    <definedName name="__pj51" localSheetId="4">#REF!</definedName>
    <definedName name="__pj51" localSheetId="12">#REF!</definedName>
    <definedName name="__pj51" localSheetId="13">#REF!</definedName>
    <definedName name="__pj51" localSheetId="29">#REF!</definedName>
    <definedName name="__pj51" localSheetId="33">#REF!</definedName>
    <definedName name="__pj51" localSheetId="38">#REF!</definedName>
    <definedName name="__pj51" localSheetId="40">#REF!</definedName>
    <definedName name="__pj51" localSheetId="43">#REF!</definedName>
    <definedName name="__pj51" localSheetId="52">#REF!</definedName>
    <definedName name="__pj51" localSheetId="2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ef4" localSheetId="6">#REF!</definedName>
    <definedName name="__ref4" localSheetId="7">#REF!</definedName>
    <definedName name="__ref4" localSheetId="9">#REF!</definedName>
    <definedName name="__ref4" localSheetId="4">#REF!</definedName>
    <definedName name="__ref4" localSheetId="12">#REF!</definedName>
    <definedName name="__ref4" localSheetId="13">#REF!</definedName>
    <definedName name="__ref4" localSheetId="29">#REF!</definedName>
    <definedName name="__ref4" localSheetId="33">#REF!</definedName>
    <definedName name="__ref4" localSheetId="38">#REF!</definedName>
    <definedName name="__ref4" localSheetId="40">#REF!</definedName>
    <definedName name="__ref4" localSheetId="43">#REF!</definedName>
    <definedName name="__ref4" localSheetId="52">#REF!</definedName>
    <definedName name="__ref4" localSheetId="2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[2]INV!$A$12:$D$15</definedName>
    <definedName name="__SBC3">[2]INV!$F$12:$I$15</definedName>
    <definedName name="__SBC5">[2]INV!$K$12:$N$15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3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1__123Graph_ACart_Utilidad" hidden="1">[3]EVA!$F$104:$I$104</definedName>
    <definedName name="_123" localSheetId="6" hidden="1">[6]G.G!#REF!</definedName>
    <definedName name="_123" localSheetId="7" hidden="1">[6]G.G!#REF!</definedName>
    <definedName name="_123" localSheetId="9" hidden="1">[6]G.G!#REF!</definedName>
    <definedName name="_123" localSheetId="4" hidden="1">[6]G.G!#REF!</definedName>
    <definedName name="_123" localSheetId="12" hidden="1">[6]G.G!#REF!</definedName>
    <definedName name="_123" localSheetId="13" hidden="1">[6]G.G!#REF!</definedName>
    <definedName name="_123" localSheetId="29" hidden="1">[6]G.G!#REF!</definedName>
    <definedName name="_123" localSheetId="33" hidden="1">[6]G.G!#REF!</definedName>
    <definedName name="_123" localSheetId="38" hidden="1">[6]G.G!#REF!</definedName>
    <definedName name="_123" localSheetId="40" hidden="1">[6]G.G!#REF!</definedName>
    <definedName name="_123" localSheetId="43" hidden="1">[6]G.G!#REF!</definedName>
    <definedName name="_123" localSheetId="52" hidden="1">[6]G.G!#REF!</definedName>
    <definedName name="_123" localSheetId="2" hidden="1">[6]G.G!#REF!</definedName>
    <definedName name="_123" hidden="1">[6]G.G!#REF!</definedName>
    <definedName name="_2__123Graph_BCart_Utilidad" hidden="1">[3]EVA!$F$105:$I$105</definedName>
    <definedName name="_3__123Graph_CCart_Utilidad" hidden="1">[3]EVA!$F$106:$I$106</definedName>
    <definedName name="_4__123Graph_LBL_ACart_Utilidad" hidden="1">[3]EVA!$F$109:$I$109</definedName>
    <definedName name="_5__123Graph_LBL_BCart_Utilidad" hidden="1">[3]EVA!$F$110:$I$110</definedName>
    <definedName name="_6__123Graph_LBL_CCart_Utilidad" hidden="1">[3]EVA!$F$111:$I$111</definedName>
    <definedName name="_7__123Graph_XCart_Utilidad" hidden="1">[3]EVA!$F$103:$I$103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[2]INV!$A$25:$D$28</definedName>
    <definedName name="_AFC3">[2]INV!$F$25:$I$28</definedName>
    <definedName name="_AFC5">[2]INV!$K$25:$N$28</definedName>
    <definedName name="_APU221" localSheetId="6">#REF!</definedName>
    <definedName name="_APU221" localSheetId="7">#REF!</definedName>
    <definedName name="_APU221" localSheetId="9">#REF!</definedName>
    <definedName name="_APU221" localSheetId="4">#REF!</definedName>
    <definedName name="_APU221" localSheetId="12">#REF!</definedName>
    <definedName name="_APU221" localSheetId="13">#REF!</definedName>
    <definedName name="_APU221" localSheetId="29">#REF!</definedName>
    <definedName name="_APU221" localSheetId="33">#REF!</definedName>
    <definedName name="_APU221" localSheetId="38">#REF!</definedName>
    <definedName name="_APU221" localSheetId="40">#REF!</definedName>
    <definedName name="_APU221" localSheetId="43">#REF!</definedName>
    <definedName name="_APU221" localSheetId="52">#REF!</definedName>
    <definedName name="_APU221" localSheetId="2">#REF!</definedName>
    <definedName name="_APU221">#REF!</definedName>
    <definedName name="_APU465" localSheetId="6">[4]!absc</definedName>
    <definedName name="_APU465" localSheetId="7">[4]!absc</definedName>
    <definedName name="_APU465" localSheetId="9">[4]!absc</definedName>
    <definedName name="_APU465" localSheetId="4">[4]!absc</definedName>
    <definedName name="_APU465" localSheetId="12">[4]!absc</definedName>
    <definedName name="_APU465" localSheetId="13">[4]!absc</definedName>
    <definedName name="_APU465" localSheetId="29">[4]!absc</definedName>
    <definedName name="_APU465" localSheetId="33">[4]!absc</definedName>
    <definedName name="_APU465" localSheetId="38">[4]!absc</definedName>
    <definedName name="_APU465" localSheetId="40">[4]!absc</definedName>
    <definedName name="_APU465" localSheetId="43">[4]!absc</definedName>
    <definedName name="_APU465" localSheetId="52">[4]!absc</definedName>
    <definedName name="_APU465" localSheetId="2">[4]!absc</definedName>
    <definedName name="_APU465">[4]!absc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dasd" localSheetId="6" hidden="1">'[7]46W9'!#REF!</definedName>
    <definedName name="_dasd" localSheetId="7" hidden="1">'[7]46W9'!#REF!</definedName>
    <definedName name="_dasd" localSheetId="9" hidden="1">'[7]46W9'!#REF!</definedName>
    <definedName name="_dasd" localSheetId="4" hidden="1">'[7]46W9'!#REF!</definedName>
    <definedName name="_dasd" localSheetId="12" hidden="1">'[7]46W9'!#REF!</definedName>
    <definedName name="_dasd" localSheetId="13" hidden="1">'[7]46W9'!#REF!</definedName>
    <definedName name="_dasd" localSheetId="29" hidden="1">'[7]46W9'!#REF!</definedName>
    <definedName name="_dasd" localSheetId="33" hidden="1">'[7]46W9'!#REF!</definedName>
    <definedName name="_dasd" localSheetId="38" hidden="1">'[7]46W9'!#REF!</definedName>
    <definedName name="_dasd" localSheetId="40" hidden="1">'[7]46W9'!#REF!</definedName>
    <definedName name="_dasd" localSheetId="43" hidden="1">'[7]46W9'!#REF!</definedName>
    <definedName name="_dasd" localSheetId="52" hidden="1">'[7]46W9'!#REF!</definedName>
    <definedName name="_dasd" localSheetId="2" hidden="1">'[7]46W9'!#REF!</definedName>
    <definedName name="_dasd" hidden="1">'[7]46W9'!#REF!</definedName>
    <definedName name="_EST1" localSheetId="6">#REF!</definedName>
    <definedName name="_EST1" localSheetId="7">#REF!</definedName>
    <definedName name="_EST1" localSheetId="9">#REF!</definedName>
    <definedName name="_EST1" localSheetId="4">#REF!</definedName>
    <definedName name="_EST1" localSheetId="12">#REF!</definedName>
    <definedName name="_EST1" localSheetId="13">#REF!</definedName>
    <definedName name="_EST1" localSheetId="29">#REF!</definedName>
    <definedName name="_EST1" localSheetId="33">#REF!</definedName>
    <definedName name="_EST1" localSheetId="38">#REF!</definedName>
    <definedName name="_EST1" localSheetId="40">#REF!</definedName>
    <definedName name="_EST1" localSheetId="43">#REF!</definedName>
    <definedName name="_EST1" localSheetId="52">#REF!</definedName>
    <definedName name="_EST1" localSheetId="2">#REF!</definedName>
    <definedName name="_EST1">#REF!</definedName>
    <definedName name="_EST10" localSheetId="6">#REF!</definedName>
    <definedName name="_EST10" localSheetId="7">#REF!</definedName>
    <definedName name="_EST10" localSheetId="9">#REF!</definedName>
    <definedName name="_EST10" localSheetId="4">#REF!</definedName>
    <definedName name="_EST10" localSheetId="12">#REF!</definedName>
    <definedName name="_EST10" localSheetId="13">#REF!</definedName>
    <definedName name="_EST10" localSheetId="29">#REF!</definedName>
    <definedName name="_EST10" localSheetId="33">#REF!</definedName>
    <definedName name="_EST10" localSheetId="38">#REF!</definedName>
    <definedName name="_EST10" localSheetId="40">#REF!</definedName>
    <definedName name="_EST10" localSheetId="43">#REF!</definedName>
    <definedName name="_EST10" localSheetId="52">#REF!</definedName>
    <definedName name="_EST10" localSheetId="2">#REF!</definedName>
    <definedName name="_EST10">#REF!</definedName>
    <definedName name="_EST11" localSheetId="6">#REF!</definedName>
    <definedName name="_EST11" localSheetId="7">#REF!</definedName>
    <definedName name="_EST11" localSheetId="9">#REF!</definedName>
    <definedName name="_EST11" localSheetId="4">#REF!</definedName>
    <definedName name="_EST11" localSheetId="12">#REF!</definedName>
    <definedName name="_EST11" localSheetId="13">#REF!</definedName>
    <definedName name="_EST11" localSheetId="29">#REF!</definedName>
    <definedName name="_EST11" localSheetId="33">#REF!</definedName>
    <definedName name="_EST11" localSheetId="38">#REF!</definedName>
    <definedName name="_EST11" localSheetId="40">#REF!</definedName>
    <definedName name="_EST11" localSheetId="43">#REF!</definedName>
    <definedName name="_EST11" localSheetId="52">#REF!</definedName>
    <definedName name="_EST11" localSheetId="2">#REF!</definedName>
    <definedName name="_EST11">#REF!</definedName>
    <definedName name="_EST12" localSheetId="6">#REF!</definedName>
    <definedName name="_EST12" localSheetId="7">#REF!</definedName>
    <definedName name="_EST12" localSheetId="9">#REF!</definedName>
    <definedName name="_EST12" localSheetId="4">#REF!</definedName>
    <definedName name="_EST12" localSheetId="12">#REF!</definedName>
    <definedName name="_EST12" localSheetId="13">#REF!</definedName>
    <definedName name="_EST12" localSheetId="29">#REF!</definedName>
    <definedName name="_EST12" localSheetId="33">#REF!</definedName>
    <definedName name="_EST12" localSheetId="38">#REF!</definedName>
    <definedName name="_EST12" localSheetId="40">#REF!</definedName>
    <definedName name="_EST12" localSheetId="43">#REF!</definedName>
    <definedName name="_EST12" localSheetId="52">#REF!</definedName>
    <definedName name="_EST12" localSheetId="2">#REF!</definedName>
    <definedName name="_EST12">#REF!</definedName>
    <definedName name="_EST13" localSheetId="6">#REF!</definedName>
    <definedName name="_EST13" localSheetId="7">#REF!</definedName>
    <definedName name="_EST13" localSheetId="9">#REF!</definedName>
    <definedName name="_EST13" localSheetId="4">#REF!</definedName>
    <definedName name="_EST13" localSheetId="12">#REF!</definedName>
    <definedName name="_EST13" localSheetId="13">#REF!</definedName>
    <definedName name="_EST13" localSheetId="29">#REF!</definedName>
    <definedName name="_EST13" localSheetId="33">#REF!</definedName>
    <definedName name="_EST13" localSheetId="38">#REF!</definedName>
    <definedName name="_EST13" localSheetId="40">#REF!</definedName>
    <definedName name="_EST13" localSheetId="43">#REF!</definedName>
    <definedName name="_EST13" localSheetId="52">#REF!</definedName>
    <definedName name="_EST13" localSheetId="2">#REF!</definedName>
    <definedName name="_EST13">#REF!</definedName>
    <definedName name="_EST14" localSheetId="6">#REF!</definedName>
    <definedName name="_EST14" localSheetId="7">#REF!</definedName>
    <definedName name="_EST14" localSheetId="9">#REF!</definedName>
    <definedName name="_EST14" localSheetId="4">#REF!</definedName>
    <definedName name="_EST14" localSheetId="12">#REF!</definedName>
    <definedName name="_EST14" localSheetId="13">#REF!</definedName>
    <definedName name="_EST14" localSheetId="29">#REF!</definedName>
    <definedName name="_EST14" localSheetId="33">#REF!</definedName>
    <definedName name="_EST14" localSheetId="38">#REF!</definedName>
    <definedName name="_EST14" localSheetId="40">#REF!</definedName>
    <definedName name="_EST14" localSheetId="43">#REF!</definedName>
    <definedName name="_EST14" localSheetId="52">#REF!</definedName>
    <definedName name="_EST14" localSheetId="2">#REF!</definedName>
    <definedName name="_EST14">#REF!</definedName>
    <definedName name="_EST15" localSheetId="6">#REF!</definedName>
    <definedName name="_EST15" localSheetId="7">#REF!</definedName>
    <definedName name="_EST15" localSheetId="9">#REF!</definedName>
    <definedName name="_EST15" localSheetId="4">#REF!</definedName>
    <definedName name="_EST15" localSheetId="12">#REF!</definedName>
    <definedName name="_EST15" localSheetId="13">#REF!</definedName>
    <definedName name="_EST15" localSheetId="29">#REF!</definedName>
    <definedName name="_EST15" localSheetId="33">#REF!</definedName>
    <definedName name="_EST15" localSheetId="38">#REF!</definedName>
    <definedName name="_EST15" localSheetId="40">#REF!</definedName>
    <definedName name="_EST15" localSheetId="43">#REF!</definedName>
    <definedName name="_EST15" localSheetId="52">#REF!</definedName>
    <definedName name="_EST15" localSheetId="2">#REF!</definedName>
    <definedName name="_EST15">#REF!</definedName>
    <definedName name="_EST16" localSheetId="6">#REF!</definedName>
    <definedName name="_EST16" localSheetId="7">#REF!</definedName>
    <definedName name="_EST16" localSheetId="9">#REF!</definedName>
    <definedName name="_EST16" localSheetId="4">#REF!</definedName>
    <definedName name="_EST16" localSheetId="12">#REF!</definedName>
    <definedName name="_EST16" localSheetId="13">#REF!</definedName>
    <definedName name="_EST16" localSheetId="29">#REF!</definedName>
    <definedName name="_EST16" localSheetId="33">#REF!</definedName>
    <definedName name="_EST16" localSheetId="38">#REF!</definedName>
    <definedName name="_EST16" localSheetId="40">#REF!</definedName>
    <definedName name="_EST16" localSheetId="43">#REF!</definedName>
    <definedName name="_EST16" localSheetId="52">#REF!</definedName>
    <definedName name="_EST16" localSheetId="2">#REF!</definedName>
    <definedName name="_EST16">#REF!</definedName>
    <definedName name="_EST17" localSheetId="6">#REF!</definedName>
    <definedName name="_EST17" localSheetId="7">#REF!</definedName>
    <definedName name="_EST17" localSheetId="9">#REF!</definedName>
    <definedName name="_EST17" localSheetId="4">#REF!</definedName>
    <definedName name="_EST17" localSheetId="12">#REF!</definedName>
    <definedName name="_EST17" localSheetId="13">#REF!</definedName>
    <definedName name="_EST17" localSheetId="29">#REF!</definedName>
    <definedName name="_EST17" localSheetId="33">#REF!</definedName>
    <definedName name="_EST17" localSheetId="38">#REF!</definedName>
    <definedName name="_EST17" localSheetId="40">#REF!</definedName>
    <definedName name="_EST17" localSheetId="43">#REF!</definedName>
    <definedName name="_EST17" localSheetId="52">#REF!</definedName>
    <definedName name="_EST17" localSheetId="2">#REF!</definedName>
    <definedName name="_EST17">#REF!</definedName>
    <definedName name="_EST18" localSheetId="6">#REF!</definedName>
    <definedName name="_EST18" localSheetId="7">#REF!</definedName>
    <definedName name="_EST18" localSheetId="9">#REF!</definedName>
    <definedName name="_EST18" localSheetId="4">#REF!</definedName>
    <definedName name="_EST18" localSheetId="12">#REF!</definedName>
    <definedName name="_EST18" localSheetId="13">#REF!</definedName>
    <definedName name="_EST18" localSheetId="29">#REF!</definedName>
    <definedName name="_EST18" localSheetId="33">#REF!</definedName>
    <definedName name="_EST18" localSheetId="38">#REF!</definedName>
    <definedName name="_EST18" localSheetId="40">#REF!</definedName>
    <definedName name="_EST18" localSheetId="43">#REF!</definedName>
    <definedName name="_EST18" localSheetId="52">#REF!</definedName>
    <definedName name="_EST18" localSheetId="2">#REF!</definedName>
    <definedName name="_EST18">#REF!</definedName>
    <definedName name="_EST19" localSheetId="6">#REF!</definedName>
    <definedName name="_EST19" localSheetId="7">#REF!</definedName>
    <definedName name="_EST19" localSheetId="9">#REF!</definedName>
    <definedName name="_EST19" localSheetId="4">#REF!</definedName>
    <definedName name="_EST19" localSheetId="12">#REF!</definedName>
    <definedName name="_EST19" localSheetId="13">#REF!</definedName>
    <definedName name="_EST19" localSheetId="29">#REF!</definedName>
    <definedName name="_EST19" localSheetId="33">#REF!</definedName>
    <definedName name="_EST19" localSheetId="38">#REF!</definedName>
    <definedName name="_EST19" localSheetId="40">#REF!</definedName>
    <definedName name="_EST19" localSheetId="43">#REF!</definedName>
    <definedName name="_EST19" localSheetId="52">#REF!</definedName>
    <definedName name="_EST19" localSheetId="2">#REF!</definedName>
    <definedName name="_EST19">#REF!</definedName>
    <definedName name="_EST2" localSheetId="6">#REF!</definedName>
    <definedName name="_EST2" localSheetId="7">#REF!</definedName>
    <definedName name="_EST2" localSheetId="9">#REF!</definedName>
    <definedName name="_EST2" localSheetId="4">#REF!</definedName>
    <definedName name="_EST2" localSheetId="12">#REF!</definedName>
    <definedName name="_EST2" localSheetId="13">#REF!</definedName>
    <definedName name="_EST2" localSheetId="29">#REF!</definedName>
    <definedName name="_EST2" localSheetId="33">#REF!</definedName>
    <definedName name="_EST2" localSheetId="38">#REF!</definedName>
    <definedName name="_EST2" localSheetId="40">#REF!</definedName>
    <definedName name="_EST2" localSheetId="43">#REF!</definedName>
    <definedName name="_EST2" localSheetId="52">#REF!</definedName>
    <definedName name="_EST2" localSheetId="2">#REF!</definedName>
    <definedName name="_EST2">#REF!</definedName>
    <definedName name="_EST3" localSheetId="6">#REF!</definedName>
    <definedName name="_EST3" localSheetId="7">#REF!</definedName>
    <definedName name="_EST3" localSheetId="9">#REF!</definedName>
    <definedName name="_EST3" localSheetId="4">#REF!</definedName>
    <definedName name="_EST3" localSheetId="12">#REF!</definedName>
    <definedName name="_EST3" localSheetId="13">#REF!</definedName>
    <definedName name="_EST3" localSheetId="29">#REF!</definedName>
    <definedName name="_EST3" localSheetId="33">#REF!</definedName>
    <definedName name="_EST3" localSheetId="38">#REF!</definedName>
    <definedName name="_EST3" localSheetId="40">#REF!</definedName>
    <definedName name="_EST3" localSheetId="43">#REF!</definedName>
    <definedName name="_EST3" localSheetId="52">#REF!</definedName>
    <definedName name="_EST3" localSheetId="2">#REF!</definedName>
    <definedName name="_EST3">#REF!</definedName>
    <definedName name="_EST4" localSheetId="6">#REF!</definedName>
    <definedName name="_EST4" localSheetId="7">#REF!</definedName>
    <definedName name="_EST4" localSheetId="9">#REF!</definedName>
    <definedName name="_EST4" localSheetId="4">#REF!</definedName>
    <definedName name="_EST4" localSheetId="12">#REF!</definedName>
    <definedName name="_EST4" localSheetId="13">#REF!</definedName>
    <definedName name="_EST4" localSheetId="29">#REF!</definedName>
    <definedName name="_EST4" localSheetId="33">#REF!</definedName>
    <definedName name="_EST4" localSheetId="38">#REF!</definedName>
    <definedName name="_EST4" localSheetId="40">#REF!</definedName>
    <definedName name="_EST4" localSheetId="43">#REF!</definedName>
    <definedName name="_EST4" localSheetId="52">#REF!</definedName>
    <definedName name="_EST4" localSheetId="2">#REF!</definedName>
    <definedName name="_EST4">#REF!</definedName>
    <definedName name="_EST5" localSheetId="6">#REF!</definedName>
    <definedName name="_EST5" localSheetId="7">#REF!</definedName>
    <definedName name="_EST5" localSheetId="9">#REF!</definedName>
    <definedName name="_EST5" localSheetId="4">#REF!</definedName>
    <definedName name="_EST5" localSheetId="12">#REF!</definedName>
    <definedName name="_EST5" localSheetId="13">#REF!</definedName>
    <definedName name="_EST5" localSheetId="29">#REF!</definedName>
    <definedName name="_EST5" localSheetId="33">#REF!</definedName>
    <definedName name="_EST5" localSheetId="38">#REF!</definedName>
    <definedName name="_EST5" localSheetId="40">#REF!</definedName>
    <definedName name="_EST5" localSheetId="43">#REF!</definedName>
    <definedName name="_EST5" localSheetId="52">#REF!</definedName>
    <definedName name="_EST5" localSheetId="2">#REF!</definedName>
    <definedName name="_EST5">#REF!</definedName>
    <definedName name="_EST6" localSheetId="6">#REF!</definedName>
    <definedName name="_EST6" localSheetId="7">#REF!</definedName>
    <definedName name="_EST6" localSheetId="9">#REF!</definedName>
    <definedName name="_EST6" localSheetId="4">#REF!</definedName>
    <definedName name="_EST6" localSheetId="12">#REF!</definedName>
    <definedName name="_EST6" localSheetId="13">#REF!</definedName>
    <definedName name="_EST6" localSheetId="29">#REF!</definedName>
    <definedName name="_EST6" localSheetId="33">#REF!</definedName>
    <definedName name="_EST6" localSheetId="38">#REF!</definedName>
    <definedName name="_EST6" localSheetId="40">#REF!</definedName>
    <definedName name="_EST6" localSheetId="43">#REF!</definedName>
    <definedName name="_EST6" localSheetId="52">#REF!</definedName>
    <definedName name="_EST6" localSheetId="2">#REF!</definedName>
    <definedName name="_EST6">#REF!</definedName>
    <definedName name="_EST7" localSheetId="6">#REF!</definedName>
    <definedName name="_EST7" localSheetId="7">#REF!</definedName>
    <definedName name="_EST7" localSheetId="9">#REF!</definedName>
    <definedName name="_EST7" localSheetId="4">#REF!</definedName>
    <definedName name="_EST7" localSheetId="12">#REF!</definedName>
    <definedName name="_EST7" localSheetId="13">#REF!</definedName>
    <definedName name="_EST7" localSheetId="29">#REF!</definedName>
    <definedName name="_EST7" localSheetId="33">#REF!</definedName>
    <definedName name="_EST7" localSheetId="38">#REF!</definedName>
    <definedName name="_EST7" localSheetId="40">#REF!</definedName>
    <definedName name="_EST7" localSheetId="43">#REF!</definedName>
    <definedName name="_EST7" localSheetId="52">#REF!</definedName>
    <definedName name="_EST7" localSheetId="2">#REF!</definedName>
    <definedName name="_EST7">#REF!</definedName>
    <definedName name="_EST8" localSheetId="6">#REF!</definedName>
    <definedName name="_EST8" localSheetId="7">#REF!</definedName>
    <definedName name="_EST8" localSheetId="9">#REF!</definedName>
    <definedName name="_EST8" localSheetId="4">#REF!</definedName>
    <definedName name="_EST8" localSheetId="12">#REF!</definedName>
    <definedName name="_EST8" localSheetId="13">#REF!</definedName>
    <definedName name="_EST8" localSheetId="29">#REF!</definedName>
    <definedName name="_EST8" localSheetId="33">#REF!</definedName>
    <definedName name="_EST8" localSheetId="38">#REF!</definedName>
    <definedName name="_EST8" localSheetId="40">#REF!</definedName>
    <definedName name="_EST8" localSheetId="43">#REF!</definedName>
    <definedName name="_EST8" localSheetId="52">#REF!</definedName>
    <definedName name="_EST8" localSheetId="2">#REF!</definedName>
    <definedName name="_EST8">#REF!</definedName>
    <definedName name="_EST9" localSheetId="6">#REF!</definedName>
    <definedName name="_EST9" localSheetId="7">#REF!</definedName>
    <definedName name="_EST9" localSheetId="9">#REF!</definedName>
    <definedName name="_EST9" localSheetId="4">#REF!</definedName>
    <definedName name="_EST9" localSheetId="12">#REF!</definedName>
    <definedName name="_EST9" localSheetId="13">#REF!</definedName>
    <definedName name="_EST9" localSheetId="29">#REF!</definedName>
    <definedName name="_EST9" localSheetId="33">#REF!</definedName>
    <definedName name="_EST9" localSheetId="38">#REF!</definedName>
    <definedName name="_EST9" localSheetId="40">#REF!</definedName>
    <definedName name="_EST9" localSheetId="43">#REF!</definedName>
    <definedName name="_EST9" localSheetId="52">#REF!</definedName>
    <definedName name="_EST9" localSheetId="2">#REF!</definedName>
    <definedName name="_EST9">#REF!</definedName>
    <definedName name="_EXC1" localSheetId="6">#REF!</definedName>
    <definedName name="_EXC1" localSheetId="7">#REF!</definedName>
    <definedName name="_EXC1" localSheetId="9">#REF!</definedName>
    <definedName name="_EXC1" localSheetId="4">#REF!</definedName>
    <definedName name="_EXC1" localSheetId="12">#REF!</definedName>
    <definedName name="_EXC1" localSheetId="13">#REF!</definedName>
    <definedName name="_EXC1" localSheetId="29">#REF!</definedName>
    <definedName name="_EXC1" localSheetId="33">#REF!</definedName>
    <definedName name="_EXC1" localSheetId="38">#REF!</definedName>
    <definedName name="_EXC1" localSheetId="40">#REF!</definedName>
    <definedName name="_EXC1" localSheetId="43">#REF!</definedName>
    <definedName name="_EXC1" localSheetId="52">#REF!</definedName>
    <definedName name="_EXC1" localSheetId="2">#REF!</definedName>
    <definedName name="_EXC1">#REF!</definedName>
    <definedName name="_EXC10" localSheetId="6">#REF!</definedName>
    <definedName name="_EXC10" localSheetId="7">#REF!</definedName>
    <definedName name="_EXC10" localSheetId="9">#REF!</definedName>
    <definedName name="_EXC10" localSheetId="4">#REF!</definedName>
    <definedName name="_EXC10" localSheetId="12">#REF!</definedName>
    <definedName name="_EXC10" localSheetId="13">#REF!</definedName>
    <definedName name="_EXC10" localSheetId="29">#REF!</definedName>
    <definedName name="_EXC10" localSheetId="33">#REF!</definedName>
    <definedName name="_EXC10" localSheetId="38">#REF!</definedName>
    <definedName name="_EXC10" localSheetId="40">#REF!</definedName>
    <definedName name="_EXC10" localSheetId="43">#REF!</definedName>
    <definedName name="_EXC10" localSheetId="52">#REF!</definedName>
    <definedName name="_EXC10" localSheetId="2">#REF!</definedName>
    <definedName name="_EXC10">#REF!</definedName>
    <definedName name="_EXC11" localSheetId="6">#REF!</definedName>
    <definedName name="_EXC11" localSheetId="7">#REF!</definedName>
    <definedName name="_EXC11" localSheetId="9">#REF!</definedName>
    <definedName name="_EXC11" localSheetId="4">#REF!</definedName>
    <definedName name="_EXC11" localSheetId="12">#REF!</definedName>
    <definedName name="_EXC11" localSheetId="13">#REF!</definedName>
    <definedName name="_EXC11" localSheetId="29">#REF!</definedName>
    <definedName name="_EXC11" localSheetId="33">#REF!</definedName>
    <definedName name="_EXC11" localSheetId="38">#REF!</definedName>
    <definedName name="_EXC11" localSheetId="40">#REF!</definedName>
    <definedName name="_EXC11" localSheetId="43">#REF!</definedName>
    <definedName name="_EXC11" localSheetId="52">#REF!</definedName>
    <definedName name="_EXC11" localSheetId="2">#REF!</definedName>
    <definedName name="_EXC11">#REF!</definedName>
    <definedName name="_EXC12" localSheetId="6">#REF!</definedName>
    <definedName name="_EXC12" localSheetId="7">#REF!</definedName>
    <definedName name="_EXC12" localSheetId="9">#REF!</definedName>
    <definedName name="_EXC12" localSheetId="4">#REF!</definedName>
    <definedName name="_EXC12" localSheetId="12">#REF!</definedName>
    <definedName name="_EXC12" localSheetId="13">#REF!</definedName>
    <definedName name="_EXC12" localSheetId="29">#REF!</definedName>
    <definedName name="_EXC12" localSheetId="33">#REF!</definedName>
    <definedName name="_EXC12" localSheetId="38">#REF!</definedName>
    <definedName name="_EXC12" localSheetId="40">#REF!</definedName>
    <definedName name="_EXC12" localSheetId="43">#REF!</definedName>
    <definedName name="_EXC12" localSheetId="52">#REF!</definedName>
    <definedName name="_EXC12" localSheetId="2">#REF!</definedName>
    <definedName name="_EXC12">#REF!</definedName>
    <definedName name="_EXC2" localSheetId="6">#REF!</definedName>
    <definedName name="_EXC2" localSheetId="7">#REF!</definedName>
    <definedName name="_EXC2" localSheetId="9">#REF!</definedName>
    <definedName name="_EXC2" localSheetId="4">#REF!</definedName>
    <definedName name="_EXC2" localSheetId="12">#REF!</definedName>
    <definedName name="_EXC2" localSheetId="13">#REF!</definedName>
    <definedName name="_EXC2" localSheetId="29">#REF!</definedName>
    <definedName name="_EXC2" localSheetId="33">#REF!</definedName>
    <definedName name="_EXC2" localSheetId="38">#REF!</definedName>
    <definedName name="_EXC2" localSheetId="40">#REF!</definedName>
    <definedName name="_EXC2" localSheetId="43">#REF!</definedName>
    <definedName name="_EXC2" localSheetId="52">#REF!</definedName>
    <definedName name="_EXC2" localSheetId="2">#REF!</definedName>
    <definedName name="_EXC2">#REF!</definedName>
    <definedName name="_EXC3" localSheetId="6">#REF!</definedName>
    <definedName name="_EXC3" localSheetId="7">#REF!</definedName>
    <definedName name="_EXC3" localSheetId="9">#REF!</definedName>
    <definedName name="_EXC3" localSheetId="4">#REF!</definedName>
    <definedName name="_EXC3" localSheetId="12">#REF!</definedName>
    <definedName name="_EXC3" localSheetId="13">#REF!</definedName>
    <definedName name="_EXC3" localSheetId="29">#REF!</definedName>
    <definedName name="_EXC3" localSheetId="33">#REF!</definedName>
    <definedName name="_EXC3" localSheetId="38">#REF!</definedName>
    <definedName name="_EXC3" localSheetId="40">#REF!</definedName>
    <definedName name="_EXC3" localSheetId="43">#REF!</definedName>
    <definedName name="_EXC3" localSheetId="52">#REF!</definedName>
    <definedName name="_EXC3" localSheetId="2">#REF!</definedName>
    <definedName name="_EXC3">#REF!</definedName>
    <definedName name="_EXC4" localSheetId="6">#REF!</definedName>
    <definedName name="_EXC4" localSheetId="7">#REF!</definedName>
    <definedName name="_EXC4" localSheetId="9">#REF!</definedName>
    <definedName name="_EXC4" localSheetId="4">#REF!</definedName>
    <definedName name="_EXC4" localSheetId="12">#REF!</definedName>
    <definedName name="_EXC4" localSheetId="13">#REF!</definedName>
    <definedName name="_EXC4" localSheetId="29">#REF!</definedName>
    <definedName name="_EXC4" localSheetId="33">#REF!</definedName>
    <definedName name="_EXC4" localSheetId="38">#REF!</definedName>
    <definedName name="_EXC4" localSheetId="40">#REF!</definedName>
    <definedName name="_EXC4" localSheetId="43">#REF!</definedName>
    <definedName name="_EXC4" localSheetId="52">#REF!</definedName>
    <definedName name="_EXC4" localSheetId="2">#REF!</definedName>
    <definedName name="_EXC4">#REF!</definedName>
    <definedName name="_EXC5" localSheetId="6">#REF!</definedName>
    <definedName name="_EXC5" localSheetId="7">#REF!</definedName>
    <definedName name="_EXC5" localSheetId="9">#REF!</definedName>
    <definedName name="_EXC5" localSheetId="4">#REF!</definedName>
    <definedName name="_EXC5" localSheetId="12">#REF!</definedName>
    <definedName name="_EXC5" localSheetId="13">#REF!</definedName>
    <definedName name="_EXC5" localSheetId="29">#REF!</definedName>
    <definedName name="_EXC5" localSheetId="33">#REF!</definedName>
    <definedName name="_EXC5" localSheetId="38">#REF!</definedName>
    <definedName name="_EXC5" localSheetId="40">#REF!</definedName>
    <definedName name="_EXC5" localSheetId="43">#REF!</definedName>
    <definedName name="_EXC5" localSheetId="52">#REF!</definedName>
    <definedName name="_EXC5" localSheetId="2">#REF!</definedName>
    <definedName name="_EXC5">#REF!</definedName>
    <definedName name="_EXC6" localSheetId="6">#REF!</definedName>
    <definedName name="_EXC6" localSheetId="7">#REF!</definedName>
    <definedName name="_EXC6" localSheetId="9">#REF!</definedName>
    <definedName name="_EXC6" localSheetId="4">#REF!</definedName>
    <definedName name="_EXC6" localSheetId="12">#REF!</definedName>
    <definedName name="_EXC6" localSheetId="13">#REF!</definedName>
    <definedName name="_EXC6" localSheetId="29">#REF!</definedName>
    <definedName name="_EXC6" localSheetId="33">#REF!</definedName>
    <definedName name="_EXC6" localSheetId="38">#REF!</definedName>
    <definedName name="_EXC6" localSheetId="40">#REF!</definedName>
    <definedName name="_EXC6" localSheetId="43">#REF!</definedName>
    <definedName name="_EXC6" localSheetId="52">#REF!</definedName>
    <definedName name="_EXC6" localSheetId="2">#REF!</definedName>
    <definedName name="_EXC6">#REF!</definedName>
    <definedName name="_EXC7" localSheetId="6">#REF!</definedName>
    <definedName name="_EXC7" localSheetId="7">#REF!</definedName>
    <definedName name="_EXC7" localSheetId="9">#REF!</definedName>
    <definedName name="_EXC7" localSheetId="4">#REF!</definedName>
    <definedName name="_EXC7" localSheetId="12">#REF!</definedName>
    <definedName name="_EXC7" localSheetId="13">#REF!</definedName>
    <definedName name="_EXC7" localSheetId="29">#REF!</definedName>
    <definedName name="_EXC7" localSheetId="33">#REF!</definedName>
    <definedName name="_EXC7" localSheetId="38">#REF!</definedName>
    <definedName name="_EXC7" localSheetId="40">#REF!</definedName>
    <definedName name="_EXC7" localSheetId="43">#REF!</definedName>
    <definedName name="_EXC7" localSheetId="52">#REF!</definedName>
    <definedName name="_EXC7" localSheetId="2">#REF!</definedName>
    <definedName name="_EXC7">#REF!</definedName>
    <definedName name="_EXC8" localSheetId="6">#REF!</definedName>
    <definedName name="_EXC8" localSheetId="7">#REF!</definedName>
    <definedName name="_EXC8" localSheetId="9">#REF!</definedName>
    <definedName name="_EXC8" localSheetId="4">#REF!</definedName>
    <definedName name="_EXC8" localSheetId="12">#REF!</definedName>
    <definedName name="_EXC8" localSheetId="13">#REF!</definedName>
    <definedName name="_EXC8" localSheetId="29">#REF!</definedName>
    <definedName name="_EXC8" localSheetId="33">#REF!</definedName>
    <definedName name="_EXC8" localSheetId="38">#REF!</definedName>
    <definedName name="_EXC8" localSheetId="40">#REF!</definedName>
    <definedName name="_EXC8" localSheetId="43">#REF!</definedName>
    <definedName name="_EXC8" localSheetId="52">#REF!</definedName>
    <definedName name="_EXC8" localSheetId="2">#REF!</definedName>
    <definedName name="_EXC8">#REF!</definedName>
    <definedName name="_EXC9" localSheetId="6">#REF!</definedName>
    <definedName name="_EXC9" localSheetId="7">#REF!</definedName>
    <definedName name="_EXC9" localSheetId="9">#REF!</definedName>
    <definedName name="_EXC9" localSheetId="4">#REF!</definedName>
    <definedName name="_EXC9" localSheetId="12">#REF!</definedName>
    <definedName name="_EXC9" localSheetId="13">#REF!</definedName>
    <definedName name="_EXC9" localSheetId="29">#REF!</definedName>
    <definedName name="_EXC9" localSheetId="33">#REF!</definedName>
    <definedName name="_EXC9" localSheetId="38">#REF!</definedName>
    <definedName name="_EXC9" localSheetId="40">#REF!</definedName>
    <definedName name="_EXC9" localSheetId="43">#REF!</definedName>
    <definedName name="_EXC9" localSheetId="52">#REF!</definedName>
    <definedName name="_EXC9" localSheetId="2">#REF!</definedName>
    <definedName name="_EXC9">#REF!</definedName>
    <definedName name="_F">#N/A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4" hidden="1">#REF!</definedName>
    <definedName name="_Fill" localSheetId="12" hidden="1">#REF!</definedName>
    <definedName name="_Fill" localSheetId="13" hidden="1">#REF!</definedName>
    <definedName name="_Fill" localSheetId="29" hidden="1">#REF!</definedName>
    <definedName name="_Fill" localSheetId="33" hidden="1">#REF!</definedName>
    <definedName name="_Fill" localSheetId="38" hidden="1">#REF!</definedName>
    <definedName name="_Fill" localSheetId="40" hidden="1">#REF!</definedName>
    <definedName name="_Fill" localSheetId="43" hidden="1">#REF!</definedName>
    <definedName name="_Fill" localSheetId="52" hidden="1">#REF!</definedName>
    <definedName name="_Fill" localSheetId="2" hidden="1">#REF!</definedName>
    <definedName name="_Fill" hidden="1">#REF!</definedName>
    <definedName name="_xlnm._FilterDatabase" localSheetId="6" hidden="1">'[7]46W9'!#REF!</definedName>
    <definedName name="_xlnm._FilterDatabase" localSheetId="7" hidden="1">'[7]46W9'!#REF!</definedName>
    <definedName name="_xlnm._FilterDatabase" localSheetId="9" hidden="1">'[7]46W9'!#REF!</definedName>
    <definedName name="_xlnm._FilterDatabase" localSheetId="4" hidden="1">'[7]46W9'!#REF!</definedName>
    <definedName name="_xlnm._FilterDatabase" localSheetId="12" hidden="1">'[7]46W9'!#REF!</definedName>
    <definedName name="_xlnm._FilterDatabase" localSheetId="13" hidden="1">'[7]46W9'!#REF!</definedName>
    <definedName name="_xlnm._FilterDatabase" localSheetId="29" hidden="1">'[7]46W9'!#REF!</definedName>
    <definedName name="_xlnm._FilterDatabase" localSheetId="33" hidden="1">'[7]46W9'!#REF!</definedName>
    <definedName name="_xlnm._FilterDatabase" localSheetId="38" hidden="1">'[7]46W9'!#REF!</definedName>
    <definedName name="_xlnm._FilterDatabase" localSheetId="40" hidden="1">'[7]46W9'!#REF!</definedName>
    <definedName name="_xlnm._FilterDatabase" localSheetId="43" hidden="1">'[7]46W9'!#REF!</definedName>
    <definedName name="_xlnm._FilterDatabase" localSheetId="52" hidden="1">'[7]46W9'!#REF!</definedName>
    <definedName name="_xlnm._FilterDatabase" localSheetId="2" hidden="1">Cantidades!$F$9:$F$67</definedName>
    <definedName name="_xlnm._FilterDatabase" hidden="1">'[7]46W9'!#REF!</definedName>
    <definedName name="_FS0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RILL" localSheetId="6" hidden="1">#REF!</definedName>
    <definedName name="_GRILL" localSheetId="7" hidden="1">#REF!</definedName>
    <definedName name="_GRILL" localSheetId="9" hidden="1">#REF!</definedName>
    <definedName name="_GRILL" localSheetId="4" hidden="1">#REF!</definedName>
    <definedName name="_GRILL" localSheetId="12" hidden="1">#REF!</definedName>
    <definedName name="_GRILL" localSheetId="13" hidden="1">#REF!</definedName>
    <definedName name="_GRILL" localSheetId="29" hidden="1">#REF!</definedName>
    <definedName name="_GRILL" localSheetId="33" hidden="1">#REF!</definedName>
    <definedName name="_GRILL" localSheetId="38" hidden="1">#REF!</definedName>
    <definedName name="_GRILL" localSheetId="40" hidden="1">#REF!</definedName>
    <definedName name="_GRILL" localSheetId="43" hidden="1">#REF!</definedName>
    <definedName name="_GRILL" localSheetId="52" hidden="1">#REF!</definedName>
    <definedName name="_GRILL" localSheetId="2" hidden="1">#REF!</definedName>
    <definedName name="_GRILL" hidden="1">#REF!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PC2002" localSheetId="6">#REF!</definedName>
    <definedName name="_IPC2002" localSheetId="7">#REF!</definedName>
    <definedName name="_IPC2002" localSheetId="9">#REF!</definedName>
    <definedName name="_IPC2002" localSheetId="4">#REF!</definedName>
    <definedName name="_IPC2002" localSheetId="12">#REF!</definedName>
    <definedName name="_IPC2002" localSheetId="13">#REF!</definedName>
    <definedName name="_IPC2002" localSheetId="29">#REF!</definedName>
    <definedName name="_IPC2002" localSheetId="33">#REF!</definedName>
    <definedName name="_IPC2002" localSheetId="38">#REF!</definedName>
    <definedName name="_IPC2002" localSheetId="40">#REF!</definedName>
    <definedName name="_IPC2002" localSheetId="43">#REF!</definedName>
    <definedName name="_IPC2002" localSheetId="52">#REF!</definedName>
    <definedName name="_IPC2002" localSheetId="2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4" hidden="1">#REF!</definedName>
    <definedName name="_Key1" localSheetId="12" hidden="1">#REF!</definedName>
    <definedName name="_Key1" localSheetId="13" hidden="1">#REF!</definedName>
    <definedName name="_Key1" localSheetId="29" hidden="1">#REF!</definedName>
    <definedName name="_Key1" localSheetId="33" hidden="1">#REF!</definedName>
    <definedName name="_Key1" localSheetId="38" hidden="1">#REF!</definedName>
    <definedName name="_Key1" localSheetId="40" hidden="1">#REF!</definedName>
    <definedName name="_Key1" localSheetId="43" hidden="1">#REF!</definedName>
    <definedName name="_Key1" localSheetId="52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9" hidden="1">#REF!</definedName>
    <definedName name="_Key2" localSheetId="4" hidden="1">#REF!</definedName>
    <definedName name="_Key2" localSheetId="12" hidden="1">#REF!</definedName>
    <definedName name="_Key2" localSheetId="13" hidden="1">#REF!</definedName>
    <definedName name="_Key2" localSheetId="29" hidden="1">#REF!</definedName>
    <definedName name="_Key2" localSheetId="33" hidden="1">#REF!</definedName>
    <definedName name="_Key2" localSheetId="38" hidden="1">#REF!</definedName>
    <definedName name="_Key2" localSheetId="40" hidden="1">#REF!</definedName>
    <definedName name="_Key2" localSheetId="43" hidden="1">#REF!</definedName>
    <definedName name="_Key2" localSheetId="52" hidden="1">#REF!</definedName>
    <definedName name="_Key2" localSheetId="2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r03" localSheetId="6">#REF!</definedName>
    <definedName name="_lar03" localSheetId="7">#REF!</definedName>
    <definedName name="_lar03" localSheetId="9">#REF!</definedName>
    <definedName name="_lar03" localSheetId="4">#REF!</definedName>
    <definedName name="_lar03" localSheetId="12">#REF!</definedName>
    <definedName name="_lar03" localSheetId="13">#REF!</definedName>
    <definedName name="_lar03" localSheetId="29">#REF!</definedName>
    <definedName name="_lar03" localSheetId="33">#REF!</definedName>
    <definedName name="_lar03" localSheetId="38">#REF!</definedName>
    <definedName name="_lar03" localSheetId="40">#REF!</definedName>
    <definedName name="_lar03" localSheetId="43">#REF!</definedName>
    <definedName name="_lar03" localSheetId="52">#REF!</definedName>
    <definedName name="_lar03" localSheetId="2">#REF!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6">#REF!</definedName>
    <definedName name="_MA2" localSheetId="7">#REF!</definedName>
    <definedName name="_MA2" localSheetId="9">#REF!</definedName>
    <definedName name="_MA2" localSheetId="4">#REF!</definedName>
    <definedName name="_MA2" localSheetId="12">#REF!</definedName>
    <definedName name="_MA2" localSheetId="13">#REF!</definedName>
    <definedName name="_MA2" localSheetId="29">#REF!</definedName>
    <definedName name="_MA2" localSheetId="33">#REF!</definedName>
    <definedName name="_MA2" localSheetId="38">#REF!</definedName>
    <definedName name="_MA2" localSheetId="40">#REF!</definedName>
    <definedName name="_MA2" localSheetId="43">#REF!</definedName>
    <definedName name="_MA2" localSheetId="52">#REF!</definedName>
    <definedName name="_MA2" localSheetId="2">#REF!</definedName>
    <definedName name="_MA2">#REF!</definedName>
    <definedName name="_mun2" localSheetId="6">[5]PESOS!#REF!</definedName>
    <definedName name="_mun2" localSheetId="7">[5]PESOS!#REF!</definedName>
    <definedName name="_mun2" localSheetId="9">[5]PESOS!#REF!</definedName>
    <definedName name="_mun2" localSheetId="4">[5]PESOS!#REF!</definedName>
    <definedName name="_mun2" localSheetId="12">[5]PESOS!#REF!</definedName>
    <definedName name="_mun2" localSheetId="13">[5]PESOS!#REF!</definedName>
    <definedName name="_mun2" localSheetId="29">[5]PESOS!#REF!</definedName>
    <definedName name="_mun2" localSheetId="33">[5]PESOS!#REF!</definedName>
    <definedName name="_mun2" localSheetId="38">[5]PESOS!#REF!</definedName>
    <definedName name="_mun2" localSheetId="40">[5]PESOS!#REF!</definedName>
    <definedName name="_mun2" localSheetId="43">[5]PESOS!#REF!</definedName>
    <definedName name="_mun2" localSheetId="52">[5]PESOS!#REF!</definedName>
    <definedName name="_mun2" localSheetId="2">[5]PESOS!#REF!</definedName>
    <definedName name="_mun2">[5]PESOS!#REF!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 localSheetId="6">#REF!</definedName>
    <definedName name="_num10" localSheetId="7">#REF!</definedName>
    <definedName name="_num10" localSheetId="9">#REF!</definedName>
    <definedName name="_num10" localSheetId="4">#REF!</definedName>
    <definedName name="_num10" localSheetId="12">#REF!</definedName>
    <definedName name="_num10" localSheetId="13">#REF!</definedName>
    <definedName name="_num10" localSheetId="29">#REF!</definedName>
    <definedName name="_num10" localSheetId="33">#REF!</definedName>
    <definedName name="_num10" localSheetId="38">#REF!</definedName>
    <definedName name="_num10" localSheetId="40">#REF!</definedName>
    <definedName name="_num10" localSheetId="43">#REF!</definedName>
    <definedName name="_num10" localSheetId="52">#REF!</definedName>
    <definedName name="_num10" localSheetId="2">#REF!</definedName>
    <definedName name="_num10">#REF!</definedName>
    <definedName name="_num2" localSheetId="6">#REF!</definedName>
    <definedName name="_num2" localSheetId="7">#REF!</definedName>
    <definedName name="_num2" localSheetId="9">#REF!</definedName>
    <definedName name="_num2" localSheetId="4">#REF!</definedName>
    <definedName name="_num2" localSheetId="12">#REF!</definedName>
    <definedName name="_num2" localSheetId="13">#REF!</definedName>
    <definedName name="_num2" localSheetId="29">#REF!</definedName>
    <definedName name="_num2" localSheetId="33">#REF!</definedName>
    <definedName name="_num2" localSheetId="38">#REF!</definedName>
    <definedName name="_num2" localSheetId="40">#REF!</definedName>
    <definedName name="_num2" localSheetId="43">#REF!</definedName>
    <definedName name="_num2" localSheetId="52">#REF!</definedName>
    <definedName name="_num2" localSheetId="2">#REF!</definedName>
    <definedName name="_num2">#REF!</definedName>
    <definedName name="_num3" localSheetId="6">#REF!</definedName>
    <definedName name="_num3" localSheetId="7">#REF!</definedName>
    <definedName name="_num3" localSheetId="9">#REF!</definedName>
    <definedName name="_num3" localSheetId="4">#REF!</definedName>
    <definedName name="_num3" localSheetId="12">#REF!</definedName>
    <definedName name="_num3" localSheetId="13">#REF!</definedName>
    <definedName name="_num3" localSheetId="29">#REF!</definedName>
    <definedName name="_num3" localSheetId="33">#REF!</definedName>
    <definedName name="_num3" localSheetId="38">#REF!</definedName>
    <definedName name="_num3" localSheetId="40">#REF!</definedName>
    <definedName name="_num3" localSheetId="43">#REF!</definedName>
    <definedName name="_num3" localSheetId="52">#REF!</definedName>
    <definedName name="_num3" localSheetId="2">#REF!</definedName>
    <definedName name="_num3">#REF!</definedName>
    <definedName name="_num4" localSheetId="6">#REF!</definedName>
    <definedName name="_num4" localSheetId="7">#REF!</definedName>
    <definedName name="_num4" localSheetId="9">#REF!</definedName>
    <definedName name="_num4" localSheetId="4">#REF!</definedName>
    <definedName name="_num4" localSheetId="12">#REF!</definedName>
    <definedName name="_num4" localSheetId="13">#REF!</definedName>
    <definedName name="_num4" localSheetId="29">#REF!</definedName>
    <definedName name="_num4" localSheetId="33">#REF!</definedName>
    <definedName name="_num4" localSheetId="38">#REF!</definedName>
    <definedName name="_num4" localSheetId="40">#REF!</definedName>
    <definedName name="_num4" localSheetId="43">#REF!</definedName>
    <definedName name="_num4" localSheetId="52">#REF!</definedName>
    <definedName name="_num4" localSheetId="2">#REF!</definedName>
    <definedName name="_num4">#REF!</definedName>
    <definedName name="_num5" localSheetId="6">#REF!</definedName>
    <definedName name="_num5" localSheetId="7">#REF!</definedName>
    <definedName name="_num5" localSheetId="9">#REF!</definedName>
    <definedName name="_num5" localSheetId="4">#REF!</definedName>
    <definedName name="_num5" localSheetId="12">#REF!</definedName>
    <definedName name="_num5" localSheetId="13">#REF!</definedName>
    <definedName name="_num5" localSheetId="29">#REF!</definedName>
    <definedName name="_num5" localSheetId="33">#REF!</definedName>
    <definedName name="_num5" localSheetId="38">#REF!</definedName>
    <definedName name="_num5" localSheetId="40">#REF!</definedName>
    <definedName name="_num5" localSheetId="43">#REF!</definedName>
    <definedName name="_num5" localSheetId="52">#REF!</definedName>
    <definedName name="_num5" localSheetId="2">#REF!</definedName>
    <definedName name="_num5">#REF!</definedName>
    <definedName name="_num6" localSheetId="6">#REF!</definedName>
    <definedName name="_num6" localSheetId="7">#REF!</definedName>
    <definedName name="_num6" localSheetId="9">#REF!</definedName>
    <definedName name="_num6" localSheetId="4">#REF!</definedName>
    <definedName name="_num6" localSheetId="12">#REF!</definedName>
    <definedName name="_num6" localSheetId="13">#REF!</definedName>
    <definedName name="_num6" localSheetId="29">#REF!</definedName>
    <definedName name="_num6" localSheetId="33">#REF!</definedName>
    <definedName name="_num6" localSheetId="38">#REF!</definedName>
    <definedName name="_num6" localSheetId="40">#REF!</definedName>
    <definedName name="_num6" localSheetId="43">#REF!</definedName>
    <definedName name="_num6" localSheetId="52">#REF!</definedName>
    <definedName name="_num6" localSheetId="2">#REF!</definedName>
    <definedName name="_num6">#REF!</definedName>
    <definedName name="_num7" localSheetId="6">#REF!</definedName>
    <definedName name="_num7" localSheetId="7">#REF!</definedName>
    <definedName name="_num7" localSheetId="9">#REF!</definedName>
    <definedName name="_num7" localSheetId="4">#REF!</definedName>
    <definedName name="_num7" localSheetId="12">#REF!</definedName>
    <definedName name="_num7" localSheetId="13">#REF!</definedName>
    <definedName name="_num7" localSheetId="29">#REF!</definedName>
    <definedName name="_num7" localSheetId="33">#REF!</definedName>
    <definedName name="_num7" localSheetId="38">#REF!</definedName>
    <definedName name="_num7" localSheetId="40">#REF!</definedName>
    <definedName name="_num7" localSheetId="43">#REF!</definedName>
    <definedName name="_num7" localSheetId="52">#REF!</definedName>
    <definedName name="_num7" localSheetId="2">#REF!</definedName>
    <definedName name="_num7">#REF!</definedName>
    <definedName name="_num8" localSheetId="6">#REF!</definedName>
    <definedName name="_num8" localSheetId="7">#REF!</definedName>
    <definedName name="_num8" localSheetId="9">#REF!</definedName>
    <definedName name="_num8" localSheetId="4">#REF!</definedName>
    <definedName name="_num8" localSheetId="12">#REF!</definedName>
    <definedName name="_num8" localSheetId="13">#REF!</definedName>
    <definedName name="_num8" localSheetId="29">#REF!</definedName>
    <definedName name="_num8" localSheetId="33">#REF!</definedName>
    <definedName name="_num8" localSheetId="38">#REF!</definedName>
    <definedName name="_num8" localSheetId="40">#REF!</definedName>
    <definedName name="_num8" localSheetId="43">#REF!</definedName>
    <definedName name="_num8" localSheetId="52">#REF!</definedName>
    <definedName name="_num8" localSheetId="2">#REF!</definedName>
    <definedName name="_num8">#REF!</definedName>
    <definedName name="_num9" localSheetId="6">#REF!</definedName>
    <definedName name="_num9" localSheetId="7">#REF!</definedName>
    <definedName name="_num9" localSheetId="9">#REF!</definedName>
    <definedName name="_num9" localSheetId="4">#REF!</definedName>
    <definedName name="_num9" localSheetId="12">#REF!</definedName>
    <definedName name="_num9" localSheetId="13">#REF!</definedName>
    <definedName name="_num9" localSheetId="29">#REF!</definedName>
    <definedName name="_num9" localSheetId="33">#REF!</definedName>
    <definedName name="_num9" localSheetId="38">#REF!</definedName>
    <definedName name="_num9" localSheetId="40">#REF!</definedName>
    <definedName name="_num9" localSheetId="43">#REF!</definedName>
    <definedName name="_num9" localSheetId="52">#REF!</definedName>
    <definedName name="_num9" localSheetId="2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localSheetId="6" hidden="1">#REF!</definedName>
    <definedName name="_Parse_Out" localSheetId="7" hidden="1">#REF!</definedName>
    <definedName name="_Parse_Out" localSheetId="9" hidden="1">#REF!</definedName>
    <definedName name="_Parse_Out" localSheetId="4" hidden="1">#REF!</definedName>
    <definedName name="_Parse_Out" localSheetId="12" hidden="1">#REF!</definedName>
    <definedName name="_Parse_Out" localSheetId="13" hidden="1">#REF!</definedName>
    <definedName name="_Parse_Out" localSheetId="29" hidden="1">#REF!</definedName>
    <definedName name="_Parse_Out" localSheetId="33" hidden="1">#REF!</definedName>
    <definedName name="_Parse_Out" localSheetId="38" hidden="1">#REF!</definedName>
    <definedName name="_Parse_Out" localSheetId="40" hidden="1">#REF!</definedName>
    <definedName name="_Parse_Out" localSheetId="43" hidden="1">#REF!</definedName>
    <definedName name="_Parse_Out" localSheetId="52" hidden="1">#REF!</definedName>
    <definedName name="_Parse_Out" localSheetId="2" hidden="1">#REF!</definedName>
    <definedName name="_Parse_Out" hidden="1">#REF!</definedName>
    <definedName name="_PJ50" localSheetId="6">#REF!</definedName>
    <definedName name="_PJ50" localSheetId="7">#REF!</definedName>
    <definedName name="_PJ50" localSheetId="9">#REF!</definedName>
    <definedName name="_PJ50" localSheetId="4">#REF!</definedName>
    <definedName name="_PJ50" localSheetId="12">#REF!</definedName>
    <definedName name="_PJ50" localSheetId="13">#REF!</definedName>
    <definedName name="_PJ50" localSheetId="29">#REF!</definedName>
    <definedName name="_PJ50" localSheetId="33">#REF!</definedName>
    <definedName name="_PJ50" localSheetId="38">#REF!</definedName>
    <definedName name="_PJ50" localSheetId="40">#REF!</definedName>
    <definedName name="_PJ50" localSheetId="43">#REF!</definedName>
    <definedName name="_PJ50" localSheetId="52">#REF!</definedName>
    <definedName name="_PJ50" localSheetId="2">#REF!</definedName>
    <definedName name="_PJ50">#REF!</definedName>
    <definedName name="_pj51" localSheetId="6">#REF!</definedName>
    <definedName name="_pj51" localSheetId="7">#REF!</definedName>
    <definedName name="_pj51" localSheetId="9">#REF!</definedName>
    <definedName name="_pj51" localSheetId="4">#REF!</definedName>
    <definedName name="_pj51" localSheetId="12">#REF!</definedName>
    <definedName name="_pj51" localSheetId="13">#REF!</definedName>
    <definedName name="_pj51" localSheetId="29">#REF!</definedName>
    <definedName name="_pj51" localSheetId="33">#REF!</definedName>
    <definedName name="_pj51" localSheetId="38">#REF!</definedName>
    <definedName name="_pj51" localSheetId="40">#REF!</definedName>
    <definedName name="_pj51" localSheetId="43">#REF!</definedName>
    <definedName name="_pj51" localSheetId="52">#REF!</definedName>
    <definedName name="_pj51" localSheetId="2">#REF!</definedName>
    <definedName name="_pj51">#REF!</definedName>
    <definedName name="_PRE1" localSheetId="6">#REF!</definedName>
    <definedName name="_PRE1" localSheetId="7">#REF!</definedName>
    <definedName name="_PRE1" localSheetId="9">#REF!</definedName>
    <definedName name="_PRE1" localSheetId="4">#REF!</definedName>
    <definedName name="_PRE1" localSheetId="12">#REF!</definedName>
    <definedName name="_PRE1" localSheetId="13">#REF!</definedName>
    <definedName name="_PRE1" localSheetId="29">#REF!</definedName>
    <definedName name="_PRE1" localSheetId="33">#REF!</definedName>
    <definedName name="_PRE1" localSheetId="38">#REF!</definedName>
    <definedName name="_PRE1" localSheetId="40">#REF!</definedName>
    <definedName name="_PRE1" localSheetId="43">#REF!</definedName>
    <definedName name="_PRE1" localSheetId="52">#REF!</definedName>
    <definedName name="_PRE1" localSheetId="2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f4" localSheetId="6">#REF!</definedName>
    <definedName name="_ref4" localSheetId="7">#REF!</definedName>
    <definedName name="_ref4" localSheetId="9">#REF!</definedName>
    <definedName name="_ref4" localSheetId="4">#REF!</definedName>
    <definedName name="_ref4" localSheetId="12">#REF!</definedName>
    <definedName name="_ref4" localSheetId="13">#REF!</definedName>
    <definedName name="_ref4" localSheetId="29">#REF!</definedName>
    <definedName name="_ref4" localSheetId="33">#REF!</definedName>
    <definedName name="_ref4" localSheetId="38">#REF!</definedName>
    <definedName name="_ref4" localSheetId="40">#REF!</definedName>
    <definedName name="_ref4" localSheetId="43">#REF!</definedName>
    <definedName name="_ref4" localSheetId="52">#REF!</definedName>
    <definedName name="_ref4" localSheetId="2">#REF!</definedName>
    <definedName name="_ref4">#REF!</definedName>
    <definedName name="_Regression_Out" localSheetId="6" hidden="1">#REF!</definedName>
    <definedName name="_Regression_Out" localSheetId="7" hidden="1">#REF!</definedName>
    <definedName name="_Regression_Out" localSheetId="9" hidden="1">#REF!</definedName>
    <definedName name="_Regression_Out" localSheetId="4" hidden="1">#REF!</definedName>
    <definedName name="_Regression_Out" localSheetId="12" hidden="1">#REF!</definedName>
    <definedName name="_Regression_Out" localSheetId="13" hidden="1">#REF!</definedName>
    <definedName name="_Regression_Out" localSheetId="29" hidden="1">#REF!</definedName>
    <definedName name="_Regression_Out" localSheetId="33" hidden="1">#REF!</definedName>
    <definedName name="_Regression_Out" localSheetId="38" hidden="1">#REF!</definedName>
    <definedName name="_Regression_Out" localSheetId="40" hidden="1">#REF!</definedName>
    <definedName name="_Regression_Out" localSheetId="43" hidden="1">#REF!</definedName>
    <definedName name="_Regression_Out" localSheetId="52" hidden="1">#REF!</definedName>
    <definedName name="_Regression_Out" localSheetId="2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9" hidden="1">#REF!</definedName>
    <definedName name="_Regression_X" localSheetId="4" hidden="1">#REF!</definedName>
    <definedName name="_Regression_X" localSheetId="12" hidden="1">#REF!</definedName>
    <definedName name="_Regression_X" localSheetId="13" hidden="1">#REF!</definedName>
    <definedName name="_Regression_X" localSheetId="29" hidden="1">#REF!</definedName>
    <definedName name="_Regression_X" localSheetId="33" hidden="1">#REF!</definedName>
    <definedName name="_Regression_X" localSheetId="38" hidden="1">#REF!</definedName>
    <definedName name="_Regression_X" localSheetId="40" hidden="1">#REF!</definedName>
    <definedName name="_Regression_X" localSheetId="43" hidden="1">#REF!</definedName>
    <definedName name="_Regression_X" localSheetId="52" hidden="1">#REF!</definedName>
    <definedName name="_Regression_X" localSheetId="2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9" hidden="1">#REF!</definedName>
    <definedName name="_Regression_Y" localSheetId="4" hidden="1">#REF!</definedName>
    <definedName name="_Regression_Y" localSheetId="12" hidden="1">#REF!</definedName>
    <definedName name="_Regression_Y" localSheetId="13" hidden="1">#REF!</definedName>
    <definedName name="_Regression_Y" localSheetId="29" hidden="1">#REF!</definedName>
    <definedName name="_Regression_Y" localSheetId="33" hidden="1">#REF!</definedName>
    <definedName name="_Regression_Y" localSheetId="38" hidden="1">#REF!</definedName>
    <definedName name="_Regression_Y" localSheetId="40" hidden="1">#REF!</definedName>
    <definedName name="_Regression_Y" localSheetId="43" hidden="1">#REF!</definedName>
    <definedName name="_Regression_Y" localSheetId="52" hidden="1">#REF!</definedName>
    <definedName name="_Regression_Y" localSheetId="2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4" hidden="1">#REF!</definedName>
    <definedName name="_Sort" localSheetId="12" hidden="1">#REF!</definedName>
    <definedName name="_Sort" localSheetId="13" hidden="1">#REF!</definedName>
    <definedName name="_Sort" localSheetId="29" hidden="1">#REF!</definedName>
    <definedName name="_Sort" localSheetId="33" hidden="1">#REF!</definedName>
    <definedName name="_Sort" localSheetId="38" hidden="1">#REF!</definedName>
    <definedName name="_Sort" localSheetId="40" hidden="1">#REF!</definedName>
    <definedName name="_Sort" localSheetId="43" hidden="1">#REF!</definedName>
    <definedName name="_Sort" localSheetId="52" hidden="1">#REF!</definedName>
    <definedName name="_Sort" localSheetId="2" hidden="1">#REF!</definedName>
    <definedName name="_Sort" hidden="1">#REF!</definedName>
    <definedName name="_srn001" localSheetId="6">#REF!</definedName>
    <definedName name="_srn001" localSheetId="7">#REF!</definedName>
    <definedName name="_srn001" localSheetId="9">#REF!</definedName>
    <definedName name="_srn001" localSheetId="4">#REF!</definedName>
    <definedName name="_srn001" localSheetId="12">#REF!</definedName>
    <definedName name="_srn001" localSheetId="13">#REF!</definedName>
    <definedName name="_srn001" localSheetId="29">#REF!</definedName>
    <definedName name="_srn001" localSheetId="33">#REF!</definedName>
    <definedName name="_srn001" localSheetId="38">#REF!</definedName>
    <definedName name="_srn001" localSheetId="40">#REF!</definedName>
    <definedName name="_srn001" localSheetId="43">#REF!</definedName>
    <definedName name="_srn001" localSheetId="52">#REF!</definedName>
    <definedName name="_srn001" localSheetId="2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6">'[8]DUB-823'!#REF!</definedName>
    <definedName name="a" localSheetId="7">'[8]DUB-823'!#REF!</definedName>
    <definedName name="a" localSheetId="9">'[8]DUB-823'!#REF!</definedName>
    <definedName name="a" localSheetId="4">'[8]DUB-823'!#REF!</definedName>
    <definedName name="a" localSheetId="12">'[8]DUB-823'!#REF!</definedName>
    <definedName name="a" localSheetId="13">'[8]DUB-823'!#REF!</definedName>
    <definedName name="a" localSheetId="29">'[8]DUB-823'!#REF!</definedName>
    <definedName name="a" localSheetId="33">'[8]DUB-823'!#REF!</definedName>
    <definedName name="a" localSheetId="38">'[8]DUB-823'!#REF!</definedName>
    <definedName name="a" localSheetId="40">'[8]DUB-823'!#REF!</definedName>
    <definedName name="a" localSheetId="43">'[8]DUB-823'!#REF!</definedName>
    <definedName name="a" localSheetId="52">'[8]DUB-823'!#REF!</definedName>
    <definedName name="a" localSheetId="2">'[8]DUB-823'!#REF!</definedName>
    <definedName name="a">'[8]DUB-823'!#REF!</definedName>
    <definedName name="A_impresión_IM" localSheetId="6">#REF!</definedName>
    <definedName name="A_impresión_IM" localSheetId="7">#REF!</definedName>
    <definedName name="A_impresión_IM" localSheetId="9">#REF!</definedName>
    <definedName name="A_impresión_IM" localSheetId="4">#REF!</definedName>
    <definedName name="A_impresión_IM" localSheetId="12">#REF!</definedName>
    <definedName name="A_impresión_IM" localSheetId="13">#REF!</definedName>
    <definedName name="A_impresión_IM" localSheetId="29">#REF!</definedName>
    <definedName name="A_impresión_IM" localSheetId="33">#REF!</definedName>
    <definedName name="A_impresión_IM" localSheetId="38">#REF!</definedName>
    <definedName name="A_impresión_IM" localSheetId="40">#REF!</definedName>
    <definedName name="A_impresión_IM" localSheetId="43">#REF!</definedName>
    <definedName name="A_impresión_IM" localSheetId="52">#REF!</definedName>
    <definedName name="A_impresión_IM" localSheetId="2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#N/A</definedName>
    <definedName name="AAA">#N/A</definedName>
    <definedName name="aaaaaa">[9]otros!$C$5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s" hidden="1">{"TAB1",#N/A,TRUE,"GENERAL";"TAB2",#N/A,TRUE,"GENERAL";"TAB3",#N/A,TRUE,"GENERAL";"TAB4",#N/A,TRUE,"GENERAL";"TAB5",#N/A,TRUE,"GENERAL"}</definedName>
    <definedName name="abc" localSheetId="6">#REF!</definedName>
    <definedName name="abc" localSheetId="7">#REF!</definedName>
    <definedName name="abc" localSheetId="9">#REF!</definedName>
    <definedName name="abc" localSheetId="4">#REF!</definedName>
    <definedName name="abc" localSheetId="12">#REF!</definedName>
    <definedName name="abc" localSheetId="13">#REF!</definedName>
    <definedName name="abc" localSheetId="29">#REF!</definedName>
    <definedName name="abc" localSheetId="33">#REF!</definedName>
    <definedName name="abc" localSheetId="38">#REF!</definedName>
    <definedName name="abc" localSheetId="40">#REF!</definedName>
    <definedName name="abc" localSheetId="43">#REF!</definedName>
    <definedName name="abc" localSheetId="52">#REF!</definedName>
    <definedName name="abc" localSheetId="2">#REF!</definedName>
    <definedName name="abc">#REF!</definedName>
    <definedName name="ABG">[2]AASHTO!$A$2:$F$5</definedName>
    <definedName name="absc" localSheetId="6">[10]!absc</definedName>
    <definedName name="absc" localSheetId="7">[10]!absc</definedName>
    <definedName name="absc" localSheetId="9">[10]!absc</definedName>
    <definedName name="absc" localSheetId="4">[10]!absc</definedName>
    <definedName name="absc" localSheetId="12">[10]!absc</definedName>
    <definedName name="absc" localSheetId="13">[10]!absc</definedName>
    <definedName name="absc" localSheetId="29">[10]!absc</definedName>
    <definedName name="absc" localSheetId="33">[10]!absc</definedName>
    <definedName name="absc" localSheetId="38">[10]!absc</definedName>
    <definedName name="absc" localSheetId="40">[10]!absc</definedName>
    <definedName name="absc" localSheetId="43">[10]!absc</definedName>
    <definedName name="absc" localSheetId="52">[10]!absc</definedName>
    <definedName name="absc" localSheetId="2">[10]!absc</definedName>
    <definedName name="absc">[10]!absc</definedName>
    <definedName name="absc_" localSheetId="6">[11]!absc</definedName>
    <definedName name="absc_" localSheetId="7">[11]!absc</definedName>
    <definedName name="absc_" localSheetId="9">[11]!absc</definedName>
    <definedName name="absc_" localSheetId="4">[11]!absc</definedName>
    <definedName name="absc_" localSheetId="12">[11]!absc</definedName>
    <definedName name="absc_" localSheetId="13">[11]!absc</definedName>
    <definedName name="absc_" localSheetId="29">[11]!absc</definedName>
    <definedName name="absc_" localSheetId="33">[11]!absc</definedName>
    <definedName name="absc_" localSheetId="38">[11]!absc</definedName>
    <definedName name="absc_" localSheetId="40">[11]!absc</definedName>
    <definedName name="absc_" localSheetId="43">[11]!absc</definedName>
    <definedName name="absc_" localSheetId="52">[11]!absc</definedName>
    <definedName name="absc_" localSheetId="2">[11]!absc</definedName>
    <definedName name="absc_">[11]!absc</definedName>
    <definedName name="absc_1" localSheetId="6">[11]!absc</definedName>
    <definedName name="absc_1" localSheetId="7">[11]!absc</definedName>
    <definedName name="absc_1" localSheetId="9">[11]!absc</definedName>
    <definedName name="absc_1" localSheetId="4">[11]!absc</definedName>
    <definedName name="absc_1" localSheetId="12">[11]!absc</definedName>
    <definedName name="absc_1" localSheetId="13">[11]!absc</definedName>
    <definedName name="absc_1" localSheetId="29">[11]!absc</definedName>
    <definedName name="absc_1" localSheetId="33">[11]!absc</definedName>
    <definedName name="absc_1" localSheetId="38">[11]!absc</definedName>
    <definedName name="absc_1" localSheetId="40">[11]!absc</definedName>
    <definedName name="absc_1" localSheetId="43">[11]!absc</definedName>
    <definedName name="absc_1" localSheetId="52">[11]!absc</definedName>
    <definedName name="absc_1" localSheetId="2">[11]!absc</definedName>
    <definedName name="absc_1">[11]!absc</definedName>
    <definedName name="absc1" localSheetId="6">[12]!absc</definedName>
    <definedName name="absc1" localSheetId="7">[12]!absc</definedName>
    <definedName name="absc1" localSheetId="9">[12]!absc</definedName>
    <definedName name="absc1" localSheetId="4">[12]!absc</definedName>
    <definedName name="absc1" localSheetId="12">[12]!absc</definedName>
    <definedName name="absc1" localSheetId="13">[12]!absc</definedName>
    <definedName name="absc1" localSheetId="29">[12]!absc</definedName>
    <definedName name="absc1" localSheetId="33">[12]!absc</definedName>
    <definedName name="absc1" localSheetId="38">[12]!absc</definedName>
    <definedName name="absc1" localSheetId="40">[12]!absc</definedName>
    <definedName name="absc1" localSheetId="43">[12]!absc</definedName>
    <definedName name="absc1" localSheetId="52">[12]!absc</definedName>
    <definedName name="absc1" localSheetId="2">[12]!absc</definedName>
    <definedName name="absc1">[12]!absc</definedName>
    <definedName name="AccessDatabase" hidden="1">"C:\C-314\VOLUMENES\volfin4.mdb"</definedName>
    <definedName name="ad" localSheetId="6">#REF!</definedName>
    <definedName name="ad" localSheetId="7">#REF!</definedName>
    <definedName name="ad" localSheetId="9">#REF!</definedName>
    <definedName name="ad" localSheetId="4">#REF!</definedName>
    <definedName name="ad" localSheetId="12">#REF!</definedName>
    <definedName name="ad" localSheetId="13">#REF!</definedName>
    <definedName name="ad" localSheetId="29">#REF!</definedName>
    <definedName name="ad" localSheetId="33">#REF!</definedName>
    <definedName name="ad" localSheetId="38">#REF!</definedName>
    <definedName name="ad" localSheetId="40">#REF!</definedName>
    <definedName name="ad" localSheetId="43">#REF!</definedName>
    <definedName name="ad" localSheetId="52">#REF!</definedName>
    <definedName name="ad" localSheetId="2">#REF!</definedName>
    <definedName name="ad">#REF!</definedName>
    <definedName name="ADFGSDB" hidden="1">{"via1",#N/A,TRUE,"general";"via2",#N/A,TRUE,"general";"via3",#N/A,TRUE,"general"}</definedName>
    <definedName name="ADM">[9]otros!$C$2</definedName>
    <definedName name="administrador">[13]Informacion!$B$15</definedName>
    <definedName name="adoc1" localSheetId="6">[12]!absc</definedName>
    <definedName name="adoc1" localSheetId="7">[12]!absc</definedName>
    <definedName name="adoc1" localSheetId="9">[12]!absc</definedName>
    <definedName name="adoc1" localSheetId="4">[12]!absc</definedName>
    <definedName name="adoc1" localSheetId="12">[12]!absc</definedName>
    <definedName name="adoc1" localSheetId="13">[12]!absc</definedName>
    <definedName name="adoc1" localSheetId="29">[12]!absc</definedName>
    <definedName name="adoc1" localSheetId="33">[12]!absc</definedName>
    <definedName name="adoc1" localSheetId="38">[12]!absc</definedName>
    <definedName name="adoc1" localSheetId="40">[12]!absc</definedName>
    <definedName name="adoc1" localSheetId="43">[12]!absc</definedName>
    <definedName name="adoc1" localSheetId="52">[12]!absc</definedName>
    <definedName name="adoc1" localSheetId="2">[12]!absc</definedName>
    <definedName name="adoc1">[12]!absc</definedName>
    <definedName name="ADOC125" localSheetId="6">[12]!absc</definedName>
    <definedName name="ADOC125" localSheetId="7">[12]!absc</definedName>
    <definedName name="ADOC125" localSheetId="9">[12]!absc</definedName>
    <definedName name="ADOC125" localSheetId="4">[12]!absc</definedName>
    <definedName name="ADOC125" localSheetId="12">[12]!absc</definedName>
    <definedName name="ADOC125" localSheetId="13">[12]!absc</definedName>
    <definedName name="ADOC125" localSheetId="29">[12]!absc</definedName>
    <definedName name="ADOC125" localSheetId="33">[12]!absc</definedName>
    <definedName name="ADOC125" localSheetId="38">[12]!absc</definedName>
    <definedName name="ADOC125" localSheetId="40">[12]!absc</definedName>
    <definedName name="ADOC125" localSheetId="43">[12]!absc</definedName>
    <definedName name="ADOC125" localSheetId="52">[12]!absc</definedName>
    <definedName name="ADOC125" localSheetId="2">[12]!absc</definedName>
    <definedName name="ADOC125">[12]!absc</definedName>
    <definedName name="adoq" localSheetId="6">[14]!absc</definedName>
    <definedName name="adoq" localSheetId="7">[14]!absc</definedName>
    <definedName name="adoq" localSheetId="9">[14]!absc</definedName>
    <definedName name="adoq" localSheetId="4">[14]!absc</definedName>
    <definedName name="adoq" localSheetId="12">[14]!absc</definedName>
    <definedName name="adoq" localSheetId="13">[14]!absc</definedName>
    <definedName name="adoq" localSheetId="29">[14]!absc</definedName>
    <definedName name="adoq" localSheetId="33">[14]!absc</definedName>
    <definedName name="adoq" localSheetId="38">[14]!absc</definedName>
    <definedName name="adoq" localSheetId="40">[14]!absc</definedName>
    <definedName name="adoq" localSheetId="43">[14]!absc</definedName>
    <definedName name="adoq" localSheetId="52">[14]!absc</definedName>
    <definedName name="adoq" localSheetId="2">[14]!absc</definedName>
    <definedName name="adoq">[14]!absc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" localSheetId="6">#REF!</definedName>
    <definedName name="AIU" localSheetId="7">#REF!</definedName>
    <definedName name="AIU" localSheetId="9">#REF!</definedName>
    <definedName name="AIU" localSheetId="4">#REF!</definedName>
    <definedName name="AIU" localSheetId="12">#REF!</definedName>
    <definedName name="AIU" localSheetId="13">#REF!</definedName>
    <definedName name="AIU" localSheetId="29">#REF!</definedName>
    <definedName name="AIU" localSheetId="33">#REF!</definedName>
    <definedName name="AIU" localSheetId="38">#REF!</definedName>
    <definedName name="AIU" localSheetId="40">#REF!</definedName>
    <definedName name="AIU" localSheetId="43">#REF!</definedName>
    <definedName name="AIU" localSheetId="52">#REF!</definedName>
    <definedName name="AIU" localSheetId="2">#REF!</definedName>
    <definedName name="AIU">#REF!</definedName>
    <definedName name="AJUS">[15]Hoja2!$A$1:$B$1639</definedName>
    <definedName name="AjustDelAIU" localSheetId="6">#REF!</definedName>
    <definedName name="AjustDelAIU" localSheetId="7">#REF!</definedName>
    <definedName name="AjustDelAIU" localSheetId="9">#REF!</definedName>
    <definedName name="AjustDelAIU" localSheetId="4">#REF!</definedName>
    <definedName name="AjustDelAIU" localSheetId="12">#REF!</definedName>
    <definedName name="AjustDelAIU" localSheetId="13">#REF!</definedName>
    <definedName name="AjustDelAIU" localSheetId="29">#REF!</definedName>
    <definedName name="AjustDelAIU" localSheetId="33">#REF!</definedName>
    <definedName name="AjustDelAIU" localSheetId="38">#REF!</definedName>
    <definedName name="AjustDelAIU" localSheetId="40">#REF!</definedName>
    <definedName name="AjustDelAIU" localSheetId="43">#REF!</definedName>
    <definedName name="AjustDelAIU" localSheetId="52">#REF!</definedName>
    <definedName name="AjustDelAIU" localSheetId="2">#REF!</definedName>
    <definedName name="AjustDelAIU">#REF!</definedName>
    <definedName name="AJUSTE">'[15]Hoja2 (2)'!$A$1:$C$589</definedName>
    <definedName name="alc" localSheetId="6">[16]!absc</definedName>
    <definedName name="alc" localSheetId="7">[16]!absc</definedName>
    <definedName name="alc" localSheetId="9">[16]!absc</definedName>
    <definedName name="alc" localSheetId="4">[16]!absc</definedName>
    <definedName name="alc" localSheetId="12">[16]!absc</definedName>
    <definedName name="alc" localSheetId="13">[16]!absc</definedName>
    <definedName name="alc" localSheetId="29">[16]!absc</definedName>
    <definedName name="alc" localSheetId="33">[16]!absc</definedName>
    <definedName name="alc" localSheetId="38">[16]!absc</definedName>
    <definedName name="alc" localSheetId="40">[16]!absc</definedName>
    <definedName name="alc" localSheetId="43">[16]!absc</definedName>
    <definedName name="alc" localSheetId="52">[16]!absc</definedName>
    <definedName name="alc" localSheetId="2">[16]!absc</definedName>
    <definedName name="alc">[16]!absc</definedName>
    <definedName name="ANCLAJE" localSheetId="6">'[17]MC SF GAVIONES'!#REF!</definedName>
    <definedName name="ANCLAJE" localSheetId="7">'[17]MC SF GAVIONES'!#REF!</definedName>
    <definedName name="ANCLAJE" localSheetId="9">'[17]MC SF GAVIONES'!#REF!</definedName>
    <definedName name="ANCLAJE" localSheetId="4">'[17]MC SF GAVIONES'!#REF!</definedName>
    <definedName name="ANCLAJE" localSheetId="12">'[17]MC SF GAVIONES'!#REF!</definedName>
    <definedName name="ANCLAJE" localSheetId="13">'[17]MC SF GAVIONES'!#REF!</definedName>
    <definedName name="ANCLAJE" localSheetId="29">'[17]MC SF GAVIONES'!#REF!</definedName>
    <definedName name="ANCLAJE" localSheetId="33">'[17]MC SF GAVIONES'!#REF!</definedName>
    <definedName name="ANCLAJE" localSheetId="38">'[17]MC SF GAVIONES'!#REF!</definedName>
    <definedName name="ANCLAJE" localSheetId="40">'[17]MC SF GAVIONES'!#REF!</definedName>
    <definedName name="ANCLAJE" localSheetId="43">'[17]MC SF GAVIONES'!#REF!</definedName>
    <definedName name="ANCLAJE" localSheetId="52">'[17]MC SF GAVIONES'!#REF!</definedName>
    <definedName name="ANCLAJE" localSheetId="2">'[17]MC SF GAVIONES'!#REF!</definedName>
    <definedName name="ANCLAJE">'[17]MC SF GAVIONES'!#REF!</definedName>
    <definedName name="ANT">[18]DATOS!$B$2:$H$513</definedName>
    <definedName name="ANTI">'[19]ESTADO FINANCIERO'!$A$25:$J$72</definedName>
    <definedName name="Antic">[20]BASES!$B$33</definedName>
    <definedName name="ANTICIPO">[21]BASES!$B$33</definedName>
    <definedName name="AÑO">[9]PRESUPUESTO!$D$13</definedName>
    <definedName name="AÑOWUIE">'[22]Res-Accide-10'!$R$2:$R$7</definedName>
    <definedName name="APS">[23]PROPUESTA!$A$9:$J$325</definedName>
    <definedName name="APU">'[24]PROPUESTA PRESENTADA'!$A$13:$J$139</definedName>
    <definedName name="APU_directos" localSheetId="6">#REF!</definedName>
    <definedName name="APU_directos" localSheetId="7">#REF!</definedName>
    <definedName name="APU_directos" localSheetId="9">#REF!</definedName>
    <definedName name="APU_directos" localSheetId="4">#REF!</definedName>
    <definedName name="APU_directos" localSheetId="12">#REF!</definedName>
    <definedName name="APU_directos" localSheetId="13">#REF!</definedName>
    <definedName name="APU_directos" localSheetId="29">#REF!</definedName>
    <definedName name="APU_directos" localSheetId="33">#REF!</definedName>
    <definedName name="APU_directos" localSheetId="38">#REF!</definedName>
    <definedName name="APU_directos" localSheetId="40">#REF!</definedName>
    <definedName name="APU_directos" localSheetId="43">#REF!</definedName>
    <definedName name="APU_directos" localSheetId="52">#REF!</definedName>
    <definedName name="APU_directos" localSheetId="2">#REF!</definedName>
    <definedName name="APU_directos">#REF!</definedName>
    <definedName name="APU221.1" localSheetId="6">#REF!</definedName>
    <definedName name="APU221.1" localSheetId="7">#REF!</definedName>
    <definedName name="APU221.1" localSheetId="9">#REF!</definedName>
    <definedName name="APU221.1" localSheetId="4">#REF!</definedName>
    <definedName name="APU221.1" localSheetId="12">#REF!</definedName>
    <definedName name="APU221.1" localSheetId="13">#REF!</definedName>
    <definedName name="APU221.1" localSheetId="29">#REF!</definedName>
    <definedName name="APU221.1" localSheetId="33">#REF!</definedName>
    <definedName name="APU221.1" localSheetId="38">#REF!</definedName>
    <definedName name="APU221.1" localSheetId="40">#REF!</definedName>
    <definedName name="APU221.1" localSheetId="43">#REF!</definedName>
    <definedName name="APU221.1" localSheetId="52">#REF!</definedName>
    <definedName name="APU221.1" localSheetId="2">#REF!</definedName>
    <definedName name="APU221.1">#REF!</definedName>
    <definedName name="APU221.2" localSheetId="6">#REF!</definedName>
    <definedName name="APU221.2" localSheetId="7">#REF!</definedName>
    <definedName name="APU221.2" localSheetId="9">#REF!</definedName>
    <definedName name="APU221.2" localSheetId="4">#REF!</definedName>
    <definedName name="APU221.2" localSheetId="12">#REF!</definedName>
    <definedName name="APU221.2" localSheetId="13">#REF!</definedName>
    <definedName name="APU221.2" localSheetId="29">#REF!</definedName>
    <definedName name="APU221.2" localSheetId="33">#REF!</definedName>
    <definedName name="APU221.2" localSheetId="38">#REF!</definedName>
    <definedName name="APU221.2" localSheetId="40">#REF!</definedName>
    <definedName name="APU221.2" localSheetId="43">#REF!</definedName>
    <definedName name="APU221.2" localSheetId="52">#REF!</definedName>
    <definedName name="APU221.2" localSheetId="2">#REF!</definedName>
    <definedName name="APU221.2">#REF!</definedName>
    <definedName name="aq">#N/A</definedName>
    <definedName name="aqaq" hidden="1">{"TAB1",#N/A,TRUE,"GENERAL";"TAB2",#N/A,TRUE,"GENERAL";"TAB3",#N/A,TRUE,"GENERAL";"TAB4",#N/A,TRUE,"GENERAL";"TAB5",#N/A,TRUE,"GENERAL"}</definedName>
    <definedName name="_xlnm.Print_Area" localSheetId="6">#REF!</definedName>
    <definedName name="_xlnm.Print_Area" localSheetId="7">#REF!</definedName>
    <definedName name="_xlnm.Print_Area" localSheetId="9">#REF!</definedName>
    <definedName name="_xlnm.Print_Area" localSheetId="4">#REF!</definedName>
    <definedName name="_xlnm.Print_Area" localSheetId="12">#REF!</definedName>
    <definedName name="_xlnm.Print_Area" localSheetId="13">#REF!</definedName>
    <definedName name="_xlnm.Print_Area" localSheetId="29">#REF!</definedName>
    <definedName name="_xlnm.Print_Area" localSheetId="33">#REF!</definedName>
    <definedName name="_xlnm.Print_Area" localSheetId="38">#REF!</definedName>
    <definedName name="_xlnm.Print_Area" localSheetId="40">#REF!</definedName>
    <definedName name="_xlnm.Print_Area" localSheetId="43">#REF!</definedName>
    <definedName name="_xlnm.Print_Area" localSheetId="52">#REF!</definedName>
    <definedName name="_xlnm.Print_Area" localSheetId="1">'AIU1'!$A$1:$I$78</definedName>
    <definedName name="_xlnm.Print_Area" localSheetId="2">Cantidades!$A$1:$V$71</definedName>
    <definedName name="_xlnm.Print_Area" localSheetId="0">Ppto1!$A$3:$J$96</definedName>
    <definedName name="_xlnm.Print_Area">#REF!</definedName>
    <definedName name="ARENA">[25]MATERIALES!$D$2</definedName>
    <definedName name="armuve">#N/A</definedName>
    <definedName name="as">#N/A</definedName>
    <definedName name="ASB">[2]AASHTO!$A$8:$F$11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#N/A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 localSheetId="6">#REF!</definedName>
    <definedName name="auto1" localSheetId="7">#REF!</definedName>
    <definedName name="auto1" localSheetId="9">#REF!</definedName>
    <definedName name="auto1" localSheetId="4">#REF!</definedName>
    <definedName name="auto1" localSheetId="12">#REF!</definedName>
    <definedName name="auto1" localSheetId="13">#REF!</definedName>
    <definedName name="auto1" localSheetId="29">#REF!</definedName>
    <definedName name="auto1" localSheetId="33">#REF!</definedName>
    <definedName name="auto1" localSheetId="38">#REF!</definedName>
    <definedName name="auto1" localSheetId="40">#REF!</definedName>
    <definedName name="auto1" localSheetId="43">#REF!</definedName>
    <definedName name="auto1" localSheetId="52">#REF!</definedName>
    <definedName name="auto1" localSheetId="2">#REF!</definedName>
    <definedName name="auto1">#REF!</definedName>
    <definedName name="auto123" localSheetId="6">#REF!</definedName>
    <definedName name="auto123" localSheetId="7">#REF!</definedName>
    <definedName name="auto123" localSheetId="9">#REF!</definedName>
    <definedName name="auto123" localSheetId="4">#REF!</definedName>
    <definedName name="auto123" localSheetId="12">#REF!</definedName>
    <definedName name="auto123" localSheetId="13">#REF!</definedName>
    <definedName name="auto123" localSheetId="29">#REF!</definedName>
    <definedName name="auto123" localSheetId="33">#REF!</definedName>
    <definedName name="auto123" localSheetId="38">#REF!</definedName>
    <definedName name="auto123" localSheetId="40">#REF!</definedName>
    <definedName name="auto123" localSheetId="43">#REF!</definedName>
    <definedName name="auto123" localSheetId="52">#REF!</definedName>
    <definedName name="auto123" localSheetId="2">#REF!</definedName>
    <definedName name="auto123">#REF!</definedName>
    <definedName name="auto2" localSheetId="6">#REF!</definedName>
    <definedName name="auto2" localSheetId="7">#REF!</definedName>
    <definedName name="auto2" localSheetId="9">#REF!</definedName>
    <definedName name="auto2" localSheetId="4">#REF!</definedName>
    <definedName name="auto2" localSheetId="12">#REF!</definedName>
    <definedName name="auto2" localSheetId="13">#REF!</definedName>
    <definedName name="auto2" localSheetId="29">#REF!</definedName>
    <definedName name="auto2" localSheetId="33">#REF!</definedName>
    <definedName name="auto2" localSheetId="38">#REF!</definedName>
    <definedName name="auto2" localSheetId="40">#REF!</definedName>
    <definedName name="auto2" localSheetId="43">#REF!</definedName>
    <definedName name="auto2" localSheetId="52">#REF!</definedName>
    <definedName name="auto2" localSheetId="2">#REF!</definedName>
    <definedName name="auto2">#REF!</definedName>
    <definedName name="AW" localSheetId="6">#REF!</definedName>
    <definedName name="AW" localSheetId="7">#REF!</definedName>
    <definedName name="AW" localSheetId="9">#REF!</definedName>
    <definedName name="AW" localSheetId="4">#REF!</definedName>
    <definedName name="AW" localSheetId="12">#REF!</definedName>
    <definedName name="AW" localSheetId="13">#REF!</definedName>
    <definedName name="AW" localSheetId="29">#REF!</definedName>
    <definedName name="AW" localSheetId="33">#REF!</definedName>
    <definedName name="AW" localSheetId="38">#REF!</definedName>
    <definedName name="AW" localSheetId="40">#REF!</definedName>
    <definedName name="AW" localSheetId="43">#REF!</definedName>
    <definedName name="AW" localSheetId="52">#REF!</definedName>
    <definedName name="AW" localSheetId="2">#REF!</definedName>
    <definedName name="AW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6">#REF!</definedName>
    <definedName name="_xlnm.Database" localSheetId="7">#REF!</definedName>
    <definedName name="_xlnm.Database" localSheetId="9">#REF!</definedName>
    <definedName name="_xlnm.Database" localSheetId="4">#REF!</definedName>
    <definedName name="_xlnm.Database" localSheetId="12">#REF!</definedName>
    <definedName name="_xlnm.Database" localSheetId="13">#REF!</definedName>
    <definedName name="_xlnm.Database" localSheetId="29">#REF!</definedName>
    <definedName name="_xlnm.Database" localSheetId="33">#REF!</definedName>
    <definedName name="_xlnm.Database" localSheetId="38">#REF!</definedName>
    <definedName name="_xlnm.Database" localSheetId="40">#REF!</definedName>
    <definedName name="_xlnm.Database" localSheetId="43">#REF!</definedName>
    <definedName name="_xlnm.Database" localSheetId="52">#REF!</definedName>
    <definedName name="_xlnm.Database" localSheetId="2">#REF!</definedName>
    <definedName name="_xlnm.Database">#REF!</definedName>
    <definedName name="BB">#N/A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mestre">'[25]ESTADO RED'!$E$8</definedName>
    <definedName name="bn" localSheetId="6">#REF!</definedName>
    <definedName name="bn" localSheetId="7">#REF!</definedName>
    <definedName name="bn" localSheetId="9">#REF!</definedName>
    <definedName name="bn" localSheetId="4">#REF!</definedName>
    <definedName name="bn" localSheetId="12">#REF!</definedName>
    <definedName name="bn" localSheetId="13">#REF!</definedName>
    <definedName name="bn" localSheetId="29">#REF!</definedName>
    <definedName name="bn" localSheetId="33">#REF!</definedName>
    <definedName name="bn" localSheetId="38">#REF!</definedName>
    <definedName name="bn" localSheetId="40">#REF!</definedName>
    <definedName name="bn" localSheetId="43">#REF!</definedName>
    <definedName name="bn" localSheetId="52">#REF!</definedName>
    <definedName name="bn" localSheetId="2">#REF!</definedName>
    <definedName name="bn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6">#REF!</definedName>
    <definedName name="C_" localSheetId="7">#REF!</definedName>
    <definedName name="C_" localSheetId="9">#REF!</definedName>
    <definedName name="C_" localSheetId="4">#REF!</definedName>
    <definedName name="C_" localSheetId="12">#REF!</definedName>
    <definedName name="C_" localSheetId="13">#REF!</definedName>
    <definedName name="C_" localSheetId="29">#REF!</definedName>
    <definedName name="C_" localSheetId="33">#REF!</definedName>
    <definedName name="C_" localSheetId="38">#REF!</definedName>
    <definedName name="C_" localSheetId="40">#REF!</definedName>
    <definedName name="C_" localSheetId="43">#REF!</definedName>
    <definedName name="C_" localSheetId="52">#REF!</definedName>
    <definedName name="C_" localSheetId="2">#REF!</definedName>
    <definedName name="C_">#REF!</definedName>
    <definedName name="CANT" localSheetId="6">#REF!</definedName>
    <definedName name="CANT" localSheetId="7">#REF!</definedName>
    <definedName name="CANT" localSheetId="9">#REF!</definedName>
    <definedName name="CANT" localSheetId="4">#REF!</definedName>
    <definedName name="CANT" localSheetId="12">#REF!</definedName>
    <definedName name="CANT" localSheetId="13">#REF!</definedName>
    <definedName name="CANT" localSheetId="29">#REF!</definedName>
    <definedName name="CANT" localSheetId="33">#REF!</definedName>
    <definedName name="CANT" localSheetId="38">#REF!</definedName>
    <definedName name="CANT" localSheetId="40">#REF!</definedName>
    <definedName name="CANT" localSheetId="43">#REF!</definedName>
    <definedName name="CANT" localSheetId="52">#REF!</definedName>
    <definedName name="CANT" localSheetId="2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 localSheetId="6">'[26]A. P. U.'!#REF!</definedName>
    <definedName name="CCCCCC" localSheetId="7">'[26]A. P. U.'!#REF!</definedName>
    <definedName name="CCCCCC" localSheetId="9">'[26]A. P. U.'!#REF!</definedName>
    <definedName name="CCCCCC" localSheetId="4">'[26]A. P. U.'!#REF!</definedName>
    <definedName name="CCCCCC" localSheetId="12">'[26]A. P. U.'!#REF!</definedName>
    <definedName name="CCCCCC" localSheetId="13">'[26]A. P. U.'!#REF!</definedName>
    <definedName name="CCCCCC" localSheetId="29">'[26]A. P. U.'!#REF!</definedName>
    <definedName name="CCCCCC" localSheetId="33">'[26]A. P. U.'!#REF!</definedName>
    <definedName name="CCCCCC" localSheetId="38">'[26]A. P. U.'!#REF!</definedName>
    <definedName name="CCCCCC" localSheetId="40">'[26]A. P. U.'!#REF!</definedName>
    <definedName name="CCCCCC" localSheetId="43">'[26]A. P. U.'!#REF!</definedName>
    <definedName name="CCCCCC" localSheetId="52">'[26]A. P. U.'!#REF!</definedName>
    <definedName name="CCCCCC" localSheetId="2">'[26]A. P. U.'!#REF!</definedName>
    <definedName name="CCCCCC">'[26]A. P. U.'!#REF!</definedName>
    <definedName name="ccto210" localSheetId="6">#REF!</definedName>
    <definedName name="ccto210" localSheetId="7">#REF!</definedName>
    <definedName name="ccto210" localSheetId="9">#REF!</definedName>
    <definedName name="ccto210" localSheetId="4">#REF!</definedName>
    <definedName name="ccto210" localSheetId="12">#REF!</definedName>
    <definedName name="ccto210" localSheetId="13">#REF!</definedName>
    <definedName name="ccto210" localSheetId="29">#REF!</definedName>
    <definedName name="ccto210" localSheetId="33">#REF!</definedName>
    <definedName name="ccto210" localSheetId="38">#REF!</definedName>
    <definedName name="ccto210" localSheetId="40">#REF!</definedName>
    <definedName name="ccto210" localSheetId="43">#REF!</definedName>
    <definedName name="ccto210" localSheetId="52">#REF!</definedName>
    <definedName name="ccto210" localSheetId="2">#REF!</definedName>
    <definedName name="ccto210">#REF!</definedName>
    <definedName name="cd">[27]Hoja1!$C$81</definedName>
    <definedName name="cdcd" localSheetId="6" hidden="1">#REF!</definedName>
    <definedName name="cdcd" localSheetId="7" hidden="1">#REF!</definedName>
    <definedName name="cdcd" localSheetId="9" hidden="1">#REF!</definedName>
    <definedName name="cdcd" localSheetId="4" hidden="1">#REF!</definedName>
    <definedName name="cdcd" localSheetId="12" hidden="1">#REF!</definedName>
    <definedName name="cdcd" localSheetId="13" hidden="1">#REF!</definedName>
    <definedName name="cdcd" localSheetId="29" hidden="1">#REF!</definedName>
    <definedName name="cdcd" localSheetId="33" hidden="1">#REF!</definedName>
    <definedName name="cdcd" localSheetId="38" hidden="1">#REF!</definedName>
    <definedName name="cdcd" localSheetId="40" hidden="1">#REF!</definedName>
    <definedName name="cdcd" localSheetId="43" hidden="1">#REF!</definedName>
    <definedName name="cdcd" localSheetId="52" hidden="1">#REF!</definedName>
    <definedName name="cdcd" localSheetId="2" hidden="1">#REF!</definedName>
    <definedName name="cdcd" hidden="1">#REF!</definedName>
    <definedName name="cdcdc" hidden="1">{"via1",#N/A,TRUE,"general";"via2",#N/A,TRUE,"general";"via3",#N/A,TRUE,"general"}</definedName>
    <definedName name="CDctrl">[20]CDItem!$G$8</definedName>
    <definedName name="cds" hidden="1">{#N/A,#N/A,FALSE,"sumi ";#N/A,#N/A,FALSE,"RESUMEN"}</definedName>
    <definedName name="ceerf" hidden="1">{"TAB1",#N/A,TRUE,"GENERAL";"TAB2",#N/A,TRUE,"GENERAL";"TAB3",#N/A,TRUE,"GENERAL";"TAB4",#N/A,TRUE,"GENERAL";"TAB5",#N/A,TRUE,"GENERAL"}</definedName>
    <definedName name="CEMENTO">[28]Insum!$A$3:$H$63</definedName>
    <definedName name="Centenas">{"";"c";"dosc";"tresc";"cuatroc";"quin";"seisc";"setec";"ochoc";"novec"}&amp;"ient"</definedName>
    <definedName name="COPIA">#N/A</definedName>
    <definedName name="copiao4">#N/A</definedName>
    <definedName name="corri">#N/A</definedName>
    <definedName name="COSTODIRECTO" localSheetId="6">#REF!</definedName>
    <definedName name="COSTODIRECTO" localSheetId="7">#REF!</definedName>
    <definedName name="COSTODIRECTO" localSheetId="9">#REF!</definedName>
    <definedName name="COSTODIRECTO" localSheetId="4">#REF!</definedName>
    <definedName name="COSTODIRECTO" localSheetId="12">#REF!</definedName>
    <definedName name="COSTODIRECTO" localSheetId="13">#REF!</definedName>
    <definedName name="COSTODIRECTO" localSheetId="29">#REF!</definedName>
    <definedName name="COSTODIRECTO" localSheetId="33">#REF!</definedName>
    <definedName name="COSTODIRECTO" localSheetId="38">#REF!</definedName>
    <definedName name="COSTODIRECTO" localSheetId="40">#REF!</definedName>
    <definedName name="COSTODIRECTO" localSheetId="43">#REF!</definedName>
    <definedName name="COSTODIRECTO" localSheetId="52">#REF!</definedName>
    <definedName name="COSTODIRECTO" localSheetId="2">#REF!</definedName>
    <definedName name="COSTODIRECTO">#REF!</definedName>
    <definedName name="COSTOS">[29]TARIFAS!$A$1:$F$52</definedName>
    <definedName name="CTA" localSheetId="6">#REF!</definedName>
    <definedName name="CTA" localSheetId="7">#REF!</definedName>
    <definedName name="CTA" localSheetId="9">#REF!</definedName>
    <definedName name="CTA" localSheetId="4">#REF!</definedName>
    <definedName name="CTA" localSheetId="12">#REF!</definedName>
    <definedName name="CTA" localSheetId="13">#REF!</definedName>
    <definedName name="CTA" localSheetId="29">#REF!</definedName>
    <definedName name="CTA" localSheetId="33">#REF!</definedName>
    <definedName name="CTA" localSheetId="38">#REF!</definedName>
    <definedName name="CTA" localSheetId="40">#REF!</definedName>
    <definedName name="CTA" localSheetId="43">#REF!</definedName>
    <definedName name="CTA" localSheetId="52">#REF!</definedName>
    <definedName name="CTA" localSheetId="2">#REF!</definedName>
    <definedName name="CTA">#REF!</definedName>
    <definedName name="CUAL">#N/A</definedName>
    <definedName name="CUBS" localSheetId="6">#REF!</definedName>
    <definedName name="CUBS" localSheetId="7">#REF!</definedName>
    <definedName name="CUBS" localSheetId="9">#REF!</definedName>
    <definedName name="CUBS" localSheetId="4">#REF!</definedName>
    <definedName name="CUBS" localSheetId="12">#REF!</definedName>
    <definedName name="CUBS" localSheetId="13">#REF!</definedName>
    <definedName name="CUBS" localSheetId="29">#REF!</definedName>
    <definedName name="CUBS" localSheetId="33">#REF!</definedName>
    <definedName name="CUBS" localSheetId="38">#REF!</definedName>
    <definedName name="CUBS" localSheetId="40">#REF!</definedName>
    <definedName name="CUBS" localSheetId="43">#REF!</definedName>
    <definedName name="CUBS" localSheetId="52">#REF!</definedName>
    <definedName name="CUBS" localSheetId="2">#REF!</definedName>
    <definedName name="CUBS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rio" localSheetId="6">'[8]GPI 526'!#REF!</definedName>
    <definedName name="dario" localSheetId="7">'[8]GPI 526'!#REF!</definedName>
    <definedName name="dario" localSheetId="9">'[8]GPI 526'!#REF!</definedName>
    <definedName name="dario" localSheetId="4">'[8]GPI 526'!#REF!</definedName>
    <definedName name="dario" localSheetId="12">'[8]GPI 526'!#REF!</definedName>
    <definedName name="dario" localSheetId="13">'[8]GPI 526'!#REF!</definedName>
    <definedName name="dario" localSheetId="29">'[8]GPI 526'!#REF!</definedName>
    <definedName name="dario" localSheetId="33">'[8]GPI 526'!#REF!</definedName>
    <definedName name="dario" localSheetId="38">'[8]GPI 526'!#REF!</definedName>
    <definedName name="dario" localSheetId="40">'[8]GPI 526'!#REF!</definedName>
    <definedName name="dario" localSheetId="43">'[8]GPI 526'!#REF!</definedName>
    <definedName name="dario" localSheetId="52">'[8]GPI 526'!#REF!</definedName>
    <definedName name="dario" localSheetId="2">'[8]GPI 526'!#REF!</definedName>
    <definedName name="dario">'[8]GPI 526'!#REF!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 localSheetId="6">#REF!</definedName>
    <definedName name="Dbgcm" localSheetId="7">#REF!</definedName>
    <definedName name="Dbgcm" localSheetId="9">#REF!</definedName>
    <definedName name="Dbgcm" localSheetId="4">#REF!</definedName>
    <definedName name="Dbgcm" localSheetId="12">#REF!</definedName>
    <definedName name="Dbgcm" localSheetId="13">#REF!</definedName>
    <definedName name="Dbgcm" localSheetId="29">#REF!</definedName>
    <definedName name="Dbgcm" localSheetId="33">#REF!</definedName>
    <definedName name="Dbgcm" localSheetId="38">#REF!</definedName>
    <definedName name="Dbgcm" localSheetId="40">#REF!</definedName>
    <definedName name="Dbgcm" localSheetId="43">#REF!</definedName>
    <definedName name="Dbgcm" localSheetId="52">#REF!</definedName>
    <definedName name="Dbgcm" localSheetId="2">#REF!</definedName>
    <definedName name="Dbgcm">#REF!</definedName>
    <definedName name="Dcacm" localSheetId="6">#REF!</definedName>
    <definedName name="Dcacm" localSheetId="7">#REF!</definedName>
    <definedName name="Dcacm" localSheetId="9">#REF!</definedName>
    <definedName name="Dcacm" localSheetId="4">#REF!</definedName>
    <definedName name="Dcacm" localSheetId="12">#REF!</definedName>
    <definedName name="Dcacm" localSheetId="13">#REF!</definedName>
    <definedName name="Dcacm" localSheetId="29">#REF!</definedName>
    <definedName name="Dcacm" localSheetId="33">#REF!</definedName>
    <definedName name="Dcacm" localSheetId="38">#REF!</definedName>
    <definedName name="Dcacm" localSheetId="40">#REF!</definedName>
    <definedName name="Dcacm" localSheetId="43">#REF!</definedName>
    <definedName name="Dcacm" localSheetId="52">#REF!</definedName>
    <definedName name="Dcacm" localSheetId="2">#REF!</definedName>
    <definedName name="Dcacm">#REF!</definedName>
    <definedName name="DCSDCTV" hidden="1">{"via1",#N/A,TRUE,"general";"via2",#N/A,TRUE,"general";"via3",#N/A,TRUE,"general"}</definedName>
    <definedName name="dd" localSheetId="6" hidden="1">#REF!</definedName>
    <definedName name="dd" localSheetId="7" hidden="1">#REF!</definedName>
    <definedName name="dd" localSheetId="9" hidden="1">#REF!</definedName>
    <definedName name="dd" localSheetId="4" hidden="1">#REF!</definedName>
    <definedName name="dd" localSheetId="12" hidden="1">#REF!</definedName>
    <definedName name="dd" localSheetId="13" hidden="1">#REF!</definedName>
    <definedName name="dd" localSheetId="29" hidden="1">#REF!</definedName>
    <definedName name="dd" localSheetId="33" hidden="1">#REF!</definedName>
    <definedName name="dd" localSheetId="38" hidden="1">#REF!</definedName>
    <definedName name="dd" localSheetId="40" hidden="1">#REF!</definedName>
    <definedName name="dd" localSheetId="43" hidden="1">#REF!</definedName>
    <definedName name="dd" localSheetId="52" hidden="1">#REF!</definedName>
    <definedName name="dd" localSheetId="2" hidden="1">#REF!</definedName>
    <definedName name="dd" hidden="1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cenas">{"";"";"";"trei";"cuare";"cincue";"sese";"sete";"oche";"nove"}&amp;"nta "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 localSheetId="6">#REF!</definedName>
    <definedName name="demanto" localSheetId="7">#REF!</definedName>
    <definedName name="demanto" localSheetId="9">#REF!</definedName>
    <definedName name="demanto" localSheetId="4">#REF!</definedName>
    <definedName name="demanto" localSheetId="12">#REF!</definedName>
    <definedName name="demanto" localSheetId="13">#REF!</definedName>
    <definedName name="demanto" localSheetId="29">#REF!</definedName>
    <definedName name="demanto" localSheetId="33">#REF!</definedName>
    <definedName name="demanto" localSheetId="38">#REF!</definedName>
    <definedName name="demanto" localSheetId="40">#REF!</definedName>
    <definedName name="demanto" localSheetId="43">#REF!</definedName>
    <definedName name="demanto" localSheetId="52">#REF!</definedName>
    <definedName name="demanto" localSheetId="2">#REF!</definedName>
    <definedName name="demanto">#REF!</definedName>
    <definedName name="DEX" localSheetId="6">#REF!</definedName>
    <definedName name="DEX" localSheetId="7">#REF!</definedName>
    <definedName name="DEX" localSheetId="9">#REF!</definedName>
    <definedName name="DEX" localSheetId="4">#REF!</definedName>
    <definedName name="DEX" localSheetId="12">#REF!</definedName>
    <definedName name="DEX" localSheetId="13">#REF!</definedName>
    <definedName name="DEX" localSheetId="29">#REF!</definedName>
    <definedName name="DEX" localSheetId="33">#REF!</definedName>
    <definedName name="DEX" localSheetId="38">#REF!</definedName>
    <definedName name="DEX" localSheetId="40">#REF!</definedName>
    <definedName name="DEX" localSheetId="43">#REF!</definedName>
    <definedName name="DEX" localSheetId="52">#REF!</definedName>
    <definedName name="DEX" localSheetId="2">#REF!</definedName>
    <definedName name="DEX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[9]PRESUPUESTO!$B$13</definedName>
    <definedName name="DistanciasPRS7801">[30]Hoja1!$K$3:$L$55</definedName>
    <definedName name="DistanciasPRS9003">[30]Hoja1!$A$3:$B$52</definedName>
    <definedName name="DistanciasPRS9004">[30]Hoja1!$F$3:$G$33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 localSheetId="6">#REF!</definedName>
    <definedName name="Dsbcm" localSheetId="7">#REF!</definedName>
    <definedName name="Dsbcm" localSheetId="9">#REF!</definedName>
    <definedName name="Dsbcm" localSheetId="4">#REF!</definedName>
    <definedName name="Dsbcm" localSheetId="12">#REF!</definedName>
    <definedName name="Dsbcm" localSheetId="13">#REF!</definedName>
    <definedName name="Dsbcm" localSheetId="29">#REF!</definedName>
    <definedName name="Dsbcm" localSheetId="33">#REF!</definedName>
    <definedName name="Dsbcm" localSheetId="38">#REF!</definedName>
    <definedName name="Dsbcm" localSheetId="40">#REF!</definedName>
    <definedName name="Dsbcm" localSheetId="43">#REF!</definedName>
    <definedName name="Dsbcm" localSheetId="52">#REF!</definedName>
    <definedName name="Dsbcm" localSheetId="2">#REF!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#N/A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FI">'[31]ESTADO FINANCIERO'!$A$25:$X$72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[9]PRESUPUESTO!$E$7</definedName>
    <definedName name="emanto" localSheetId="6">#REF!</definedName>
    <definedName name="emanto" localSheetId="7">#REF!</definedName>
    <definedName name="emanto" localSheetId="9">#REF!</definedName>
    <definedName name="emanto" localSheetId="4">#REF!</definedName>
    <definedName name="emanto" localSheetId="12">#REF!</definedName>
    <definedName name="emanto" localSheetId="13">#REF!</definedName>
    <definedName name="emanto" localSheetId="29">#REF!</definedName>
    <definedName name="emanto" localSheetId="33">#REF!</definedName>
    <definedName name="emanto" localSheetId="38">#REF!</definedName>
    <definedName name="emanto" localSheetId="40">#REF!</definedName>
    <definedName name="emanto" localSheetId="43">#REF!</definedName>
    <definedName name="emanto" localSheetId="52">#REF!</definedName>
    <definedName name="emanto" localSheetId="2">#REF!</definedName>
    <definedName name="emanto">#REF!</definedName>
    <definedName name="eme">#N/A</definedName>
    <definedName name="ENTRADASP" localSheetId="6">#REF!</definedName>
    <definedName name="ENTRADASP" localSheetId="7">#REF!</definedName>
    <definedName name="ENTRADASP" localSheetId="9">#REF!</definedName>
    <definedName name="ENTRADASP" localSheetId="4">#REF!</definedName>
    <definedName name="ENTRADASP" localSheetId="12">#REF!</definedName>
    <definedName name="ENTRADASP" localSheetId="13">#REF!</definedName>
    <definedName name="ENTRADASP" localSheetId="29">#REF!</definedName>
    <definedName name="ENTRADASP" localSheetId="33">#REF!</definedName>
    <definedName name="ENTRADASP" localSheetId="38">#REF!</definedName>
    <definedName name="ENTRADASP" localSheetId="40">#REF!</definedName>
    <definedName name="ENTRADASP" localSheetId="43">#REF!</definedName>
    <definedName name="ENTRADASP" localSheetId="52">#REF!</definedName>
    <definedName name="ENTRADASP" localSheetId="2">#REF!</definedName>
    <definedName name="ENTRADASP">#REF!</definedName>
    <definedName name="equipo">[32]Equipo!$A$7:$A$65536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#N/A</definedName>
    <definedName name="ESP220.1">'[33]220.1'!$H$52</definedName>
    <definedName name="ESP320.1">'[34]320.1'!$H$52</definedName>
    <definedName name="ESP330.1">'[33]330.1'!$H$52</definedName>
    <definedName name="ESP330.2">'[34]330.2'!$H$52</definedName>
    <definedName name="ESP640.1.2">'[33]640.1.2'!$H$50</definedName>
    <definedName name="ESP673.1">'[33]673.1'!$H$49</definedName>
    <definedName name="ESP673.2">'[33]673.2'!$H$53</definedName>
    <definedName name="ESP700.1">'[34]700.1'!$H$52</definedName>
    <definedName name="ESPECIFICACION" localSheetId="6">#REF!</definedName>
    <definedName name="ESPECIFICACION" localSheetId="7">#REF!</definedName>
    <definedName name="ESPECIFICACION" localSheetId="9">#REF!</definedName>
    <definedName name="ESPECIFICACION" localSheetId="4">#REF!</definedName>
    <definedName name="ESPECIFICACION" localSheetId="12">#REF!</definedName>
    <definedName name="ESPECIFICACION" localSheetId="13">#REF!</definedName>
    <definedName name="ESPECIFICACION" localSheetId="29">#REF!</definedName>
    <definedName name="ESPECIFICACION" localSheetId="33">#REF!</definedName>
    <definedName name="ESPECIFICACION" localSheetId="38">#REF!</definedName>
    <definedName name="ESPECIFICACION" localSheetId="40">#REF!</definedName>
    <definedName name="ESPECIFICACION" localSheetId="43">#REF!</definedName>
    <definedName name="ESPECIFICACION" localSheetId="52">#REF!</definedName>
    <definedName name="ESPECIFICACION" localSheetId="2">#REF!</definedName>
    <definedName name="ESPECIFICACION">#REF!</definedName>
    <definedName name="Especificación" localSheetId="6">#REF!</definedName>
    <definedName name="Especificación" localSheetId="7">#REF!</definedName>
    <definedName name="Especificación" localSheetId="9">#REF!</definedName>
    <definedName name="Especificación" localSheetId="4">#REF!</definedName>
    <definedName name="Especificación" localSheetId="12">#REF!</definedName>
    <definedName name="Especificación" localSheetId="13">#REF!</definedName>
    <definedName name="Especificación" localSheetId="29">#REF!</definedName>
    <definedName name="Especificación" localSheetId="33">#REF!</definedName>
    <definedName name="Especificación" localSheetId="38">#REF!</definedName>
    <definedName name="Especificación" localSheetId="40">#REF!</definedName>
    <definedName name="Especificación" localSheetId="43">#REF!</definedName>
    <definedName name="Especificación" localSheetId="52">#REF!</definedName>
    <definedName name="Especificación" localSheetId="2">#REF!</definedName>
    <definedName name="Especificación">#REF!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 localSheetId="6">#REF!</definedName>
    <definedName name="EXC" localSheetId="7">#REF!</definedName>
    <definedName name="EXC" localSheetId="9">#REF!</definedName>
    <definedName name="EXC" localSheetId="4">#REF!</definedName>
    <definedName name="EXC" localSheetId="12">#REF!</definedName>
    <definedName name="EXC" localSheetId="13">#REF!</definedName>
    <definedName name="EXC" localSheetId="29">#REF!</definedName>
    <definedName name="EXC" localSheetId="33">#REF!</definedName>
    <definedName name="EXC" localSheetId="38">#REF!</definedName>
    <definedName name="EXC" localSheetId="40">#REF!</definedName>
    <definedName name="EXC" localSheetId="43">#REF!</definedName>
    <definedName name="EXC" localSheetId="52">#REF!</definedName>
    <definedName name="EXC" localSheetId="2">#REF!</definedName>
    <definedName name="EXC">#REF!</definedName>
    <definedName name="exCEL" localSheetId="6">#REF!</definedName>
    <definedName name="exCEL" localSheetId="7">#REF!</definedName>
    <definedName name="exCEL" localSheetId="9">#REF!</definedName>
    <definedName name="exCEL" localSheetId="4">#REF!</definedName>
    <definedName name="exCEL" localSheetId="12">#REF!</definedName>
    <definedName name="exCEL" localSheetId="13">#REF!</definedName>
    <definedName name="exCEL" localSheetId="29">#REF!</definedName>
    <definedName name="exCEL" localSheetId="33">#REF!</definedName>
    <definedName name="exCEL" localSheetId="38">#REF!</definedName>
    <definedName name="exCEL" localSheetId="40">#REF!</definedName>
    <definedName name="exCEL" localSheetId="43">#REF!</definedName>
    <definedName name="exCEL" localSheetId="52">#REF!</definedName>
    <definedName name="exCEL" localSheetId="2">#REF!</definedName>
    <definedName name="exCEL">#REF!</definedName>
    <definedName name="Excel_BuiltIn_Print_Area_3" localSheetId="6">#REF!</definedName>
    <definedName name="Excel_BuiltIn_Print_Area_3" localSheetId="7">#REF!</definedName>
    <definedName name="Excel_BuiltIn_Print_Area_3" localSheetId="9">#REF!</definedName>
    <definedName name="Excel_BuiltIn_Print_Area_3" localSheetId="4">#REF!</definedName>
    <definedName name="Excel_BuiltIn_Print_Area_3" localSheetId="12">#REF!</definedName>
    <definedName name="Excel_BuiltIn_Print_Area_3" localSheetId="13">#REF!</definedName>
    <definedName name="Excel_BuiltIn_Print_Area_3" localSheetId="29">#REF!</definedName>
    <definedName name="Excel_BuiltIn_Print_Area_3" localSheetId="33">#REF!</definedName>
    <definedName name="Excel_BuiltIn_Print_Area_3" localSheetId="38">#REF!</definedName>
    <definedName name="Excel_BuiltIn_Print_Area_3" localSheetId="40">#REF!</definedName>
    <definedName name="Excel_BuiltIn_Print_Area_3" localSheetId="43">#REF!</definedName>
    <definedName name="Excel_BuiltIn_Print_Area_3" localSheetId="52">#REF!</definedName>
    <definedName name="Excel_BuiltIn_Print_Area_3" localSheetId="2">#REF!</definedName>
    <definedName name="Excel_BuiltIn_Print_Area_3">#REF!</definedName>
    <definedName name="Excel_BuiltIn_Print_Area_3_X" localSheetId="6">#REF!</definedName>
    <definedName name="Excel_BuiltIn_Print_Area_3_X" localSheetId="7">#REF!</definedName>
    <definedName name="Excel_BuiltIn_Print_Area_3_X" localSheetId="9">#REF!</definedName>
    <definedName name="Excel_BuiltIn_Print_Area_3_X" localSheetId="4">#REF!</definedName>
    <definedName name="Excel_BuiltIn_Print_Area_3_X" localSheetId="12">#REF!</definedName>
    <definedName name="Excel_BuiltIn_Print_Area_3_X" localSheetId="13">#REF!</definedName>
    <definedName name="Excel_BuiltIn_Print_Area_3_X" localSheetId="29">#REF!</definedName>
    <definedName name="Excel_BuiltIn_Print_Area_3_X" localSheetId="33">#REF!</definedName>
    <definedName name="Excel_BuiltIn_Print_Area_3_X" localSheetId="38">#REF!</definedName>
    <definedName name="Excel_BuiltIn_Print_Area_3_X" localSheetId="40">#REF!</definedName>
    <definedName name="Excel_BuiltIn_Print_Area_3_X" localSheetId="43">#REF!</definedName>
    <definedName name="Excel_BuiltIn_Print_Area_3_X" localSheetId="52">#REF!</definedName>
    <definedName name="Excel_BuiltIn_Print_Area_3_X" localSheetId="2">#REF!</definedName>
    <definedName name="Excel_BuiltIn_Print_Area_3_X">#REF!</definedName>
    <definedName name="Excel_BuiltIn_Print_Titles_10" localSheetId="6">[8]SKJ452!#REF!</definedName>
    <definedName name="Excel_BuiltIn_Print_Titles_10" localSheetId="7">[8]SKJ452!#REF!</definedName>
    <definedName name="Excel_BuiltIn_Print_Titles_10" localSheetId="9">[8]SKJ452!#REF!</definedName>
    <definedName name="Excel_BuiltIn_Print_Titles_10" localSheetId="4">[8]SKJ452!#REF!</definedName>
    <definedName name="Excel_BuiltIn_Print_Titles_10" localSheetId="12">[8]SKJ452!#REF!</definedName>
    <definedName name="Excel_BuiltIn_Print_Titles_10" localSheetId="13">[8]SKJ452!#REF!</definedName>
    <definedName name="Excel_BuiltIn_Print_Titles_10" localSheetId="29">[8]SKJ452!#REF!</definedName>
    <definedName name="Excel_BuiltIn_Print_Titles_10" localSheetId="33">[8]SKJ452!#REF!</definedName>
    <definedName name="Excel_BuiltIn_Print_Titles_10" localSheetId="38">[8]SKJ452!#REF!</definedName>
    <definedName name="Excel_BuiltIn_Print_Titles_10" localSheetId="40">[8]SKJ452!#REF!</definedName>
    <definedName name="Excel_BuiltIn_Print_Titles_10" localSheetId="43">[8]SKJ452!#REF!</definedName>
    <definedName name="Excel_BuiltIn_Print_Titles_10" localSheetId="52">[8]SKJ452!#REF!</definedName>
    <definedName name="Excel_BuiltIn_Print_Titles_10" localSheetId="2">[8]SKJ452!#REF!</definedName>
    <definedName name="Excel_BuiltIn_Print_Titles_10">[8]SKJ452!#REF!</definedName>
    <definedName name="Excel_BuiltIn_Print_Titles_11" localSheetId="6">[8]ITA878!#REF!</definedName>
    <definedName name="Excel_BuiltIn_Print_Titles_11" localSheetId="7">[8]ITA878!#REF!</definedName>
    <definedName name="Excel_BuiltIn_Print_Titles_11" localSheetId="9">[8]ITA878!#REF!</definedName>
    <definedName name="Excel_BuiltIn_Print_Titles_11" localSheetId="4">[8]ITA878!#REF!</definedName>
    <definedName name="Excel_BuiltIn_Print_Titles_11" localSheetId="12">[8]ITA878!#REF!</definedName>
    <definedName name="Excel_BuiltIn_Print_Titles_11" localSheetId="13">[8]ITA878!#REF!</definedName>
    <definedName name="Excel_BuiltIn_Print_Titles_11" localSheetId="29">[8]ITA878!#REF!</definedName>
    <definedName name="Excel_BuiltIn_Print_Titles_11" localSheetId="33">[8]ITA878!#REF!</definedName>
    <definedName name="Excel_BuiltIn_Print_Titles_11" localSheetId="38">[8]ITA878!#REF!</definedName>
    <definedName name="Excel_BuiltIn_Print_Titles_11" localSheetId="40">[8]ITA878!#REF!</definedName>
    <definedName name="Excel_BuiltIn_Print_Titles_11" localSheetId="43">[8]ITA878!#REF!</definedName>
    <definedName name="Excel_BuiltIn_Print_Titles_11" localSheetId="52">[8]ITA878!#REF!</definedName>
    <definedName name="Excel_BuiltIn_Print_Titles_11" localSheetId="2">[8]ITA878!#REF!</definedName>
    <definedName name="Excel_BuiltIn_Print_Titles_11">[8]ITA878!#REF!</definedName>
    <definedName name="Excel_BuiltIn_Print_Titles_12" localSheetId="6">'[8]AEA-944'!#REF!</definedName>
    <definedName name="Excel_BuiltIn_Print_Titles_12" localSheetId="7">'[8]AEA-944'!#REF!</definedName>
    <definedName name="Excel_BuiltIn_Print_Titles_12" localSheetId="9">'[8]AEA-944'!#REF!</definedName>
    <definedName name="Excel_BuiltIn_Print_Titles_12" localSheetId="4">'[8]AEA-944'!#REF!</definedName>
    <definedName name="Excel_BuiltIn_Print_Titles_12" localSheetId="12">'[8]AEA-944'!#REF!</definedName>
    <definedName name="Excel_BuiltIn_Print_Titles_12" localSheetId="13">'[8]AEA-944'!#REF!</definedName>
    <definedName name="Excel_BuiltIn_Print_Titles_12" localSheetId="29">'[8]AEA-944'!#REF!</definedName>
    <definedName name="Excel_BuiltIn_Print_Titles_12" localSheetId="33">'[8]AEA-944'!#REF!</definedName>
    <definedName name="Excel_BuiltIn_Print_Titles_12" localSheetId="38">'[8]AEA-944'!#REF!</definedName>
    <definedName name="Excel_BuiltIn_Print_Titles_12" localSheetId="40">'[8]AEA-944'!#REF!</definedName>
    <definedName name="Excel_BuiltIn_Print_Titles_12" localSheetId="43">'[8]AEA-944'!#REF!</definedName>
    <definedName name="Excel_BuiltIn_Print_Titles_12" localSheetId="52">'[8]AEA-944'!#REF!</definedName>
    <definedName name="Excel_BuiltIn_Print_Titles_12" localSheetId="2">'[8]AEA-944'!#REF!</definedName>
    <definedName name="Excel_BuiltIn_Print_Titles_12">'[8]AEA-944'!#REF!</definedName>
    <definedName name="Excel_BuiltIn_Print_Titles_13" localSheetId="6">'[8]DUB-823'!#REF!</definedName>
    <definedName name="Excel_BuiltIn_Print_Titles_13" localSheetId="7">'[8]DUB-823'!#REF!</definedName>
    <definedName name="Excel_BuiltIn_Print_Titles_13" localSheetId="9">'[8]DUB-823'!#REF!</definedName>
    <definedName name="Excel_BuiltIn_Print_Titles_13" localSheetId="4">'[8]DUB-823'!#REF!</definedName>
    <definedName name="Excel_BuiltIn_Print_Titles_13" localSheetId="12">'[8]DUB-823'!#REF!</definedName>
    <definedName name="Excel_BuiltIn_Print_Titles_13" localSheetId="13">'[8]DUB-823'!#REF!</definedName>
    <definedName name="Excel_BuiltIn_Print_Titles_13" localSheetId="29">'[8]DUB-823'!#REF!</definedName>
    <definedName name="Excel_BuiltIn_Print_Titles_13" localSheetId="33">'[8]DUB-823'!#REF!</definedName>
    <definedName name="Excel_BuiltIn_Print_Titles_13" localSheetId="38">'[8]DUB-823'!#REF!</definedName>
    <definedName name="Excel_BuiltIn_Print_Titles_13" localSheetId="40">'[8]DUB-823'!#REF!</definedName>
    <definedName name="Excel_BuiltIn_Print_Titles_13" localSheetId="43">'[8]DUB-823'!#REF!</definedName>
    <definedName name="Excel_BuiltIn_Print_Titles_13" localSheetId="52">'[8]DUB-823'!#REF!</definedName>
    <definedName name="Excel_BuiltIn_Print_Titles_13" localSheetId="2">'[8]DUB-823'!#REF!</definedName>
    <definedName name="Excel_BuiltIn_Print_Titles_13">'[8]DUB-823'!#REF!</definedName>
    <definedName name="Excel_BuiltIn_Print_Titles_14" localSheetId="6">'[8]GPI 526'!#REF!</definedName>
    <definedName name="Excel_BuiltIn_Print_Titles_14" localSheetId="7">'[8]GPI 526'!#REF!</definedName>
    <definedName name="Excel_BuiltIn_Print_Titles_14" localSheetId="9">'[8]GPI 526'!#REF!</definedName>
    <definedName name="Excel_BuiltIn_Print_Titles_14" localSheetId="4">'[8]GPI 526'!#REF!</definedName>
    <definedName name="Excel_BuiltIn_Print_Titles_14" localSheetId="12">'[8]GPI 526'!#REF!</definedName>
    <definedName name="Excel_BuiltIn_Print_Titles_14" localSheetId="13">'[8]GPI 526'!#REF!</definedName>
    <definedName name="Excel_BuiltIn_Print_Titles_14" localSheetId="29">'[8]GPI 526'!#REF!</definedName>
    <definedName name="Excel_BuiltIn_Print_Titles_14" localSheetId="33">'[8]GPI 526'!#REF!</definedName>
    <definedName name="Excel_BuiltIn_Print_Titles_14" localSheetId="38">'[8]GPI 526'!#REF!</definedName>
    <definedName name="Excel_BuiltIn_Print_Titles_14" localSheetId="40">'[8]GPI 526'!#REF!</definedName>
    <definedName name="Excel_BuiltIn_Print_Titles_14" localSheetId="43">'[8]GPI 526'!#REF!</definedName>
    <definedName name="Excel_BuiltIn_Print_Titles_14" localSheetId="52">'[8]GPI 526'!#REF!</definedName>
    <definedName name="Excel_BuiltIn_Print_Titles_14" localSheetId="2">'[8]GPI 526'!#REF!</definedName>
    <definedName name="Excel_BuiltIn_Print_Titles_14">'[8]GPI 526'!#REF!</definedName>
    <definedName name="Excel_BuiltIn_Print_Titles_15" localSheetId="6">#REF!</definedName>
    <definedName name="Excel_BuiltIn_Print_Titles_15" localSheetId="7">#REF!</definedName>
    <definedName name="Excel_BuiltIn_Print_Titles_15" localSheetId="9">#REF!</definedName>
    <definedName name="Excel_BuiltIn_Print_Titles_15" localSheetId="4">#REF!</definedName>
    <definedName name="Excel_BuiltIn_Print_Titles_15" localSheetId="12">#REF!</definedName>
    <definedName name="Excel_BuiltIn_Print_Titles_15" localSheetId="13">#REF!</definedName>
    <definedName name="Excel_BuiltIn_Print_Titles_15" localSheetId="29">#REF!</definedName>
    <definedName name="Excel_BuiltIn_Print_Titles_15" localSheetId="33">#REF!</definedName>
    <definedName name="Excel_BuiltIn_Print_Titles_15" localSheetId="38">#REF!</definedName>
    <definedName name="Excel_BuiltIn_Print_Titles_15" localSheetId="40">#REF!</definedName>
    <definedName name="Excel_BuiltIn_Print_Titles_15" localSheetId="43">#REF!</definedName>
    <definedName name="Excel_BuiltIn_Print_Titles_15" localSheetId="52">#REF!</definedName>
    <definedName name="Excel_BuiltIn_Print_Titles_15" localSheetId="2">#REF!</definedName>
    <definedName name="Excel_BuiltIn_Print_Titles_15">#REF!</definedName>
    <definedName name="Excel_BuiltIn_Print_Titles_16" localSheetId="6">#REF!</definedName>
    <definedName name="Excel_BuiltIn_Print_Titles_16" localSheetId="7">#REF!</definedName>
    <definedName name="Excel_BuiltIn_Print_Titles_16" localSheetId="9">#REF!</definedName>
    <definedName name="Excel_BuiltIn_Print_Titles_16" localSheetId="4">#REF!</definedName>
    <definedName name="Excel_BuiltIn_Print_Titles_16" localSheetId="12">#REF!</definedName>
    <definedName name="Excel_BuiltIn_Print_Titles_16" localSheetId="13">#REF!</definedName>
    <definedName name="Excel_BuiltIn_Print_Titles_16" localSheetId="29">#REF!</definedName>
    <definedName name="Excel_BuiltIn_Print_Titles_16" localSheetId="33">#REF!</definedName>
    <definedName name="Excel_BuiltIn_Print_Titles_16" localSheetId="38">#REF!</definedName>
    <definedName name="Excel_BuiltIn_Print_Titles_16" localSheetId="40">#REF!</definedName>
    <definedName name="Excel_BuiltIn_Print_Titles_16" localSheetId="43">#REF!</definedName>
    <definedName name="Excel_BuiltIn_Print_Titles_16" localSheetId="52">#REF!</definedName>
    <definedName name="Excel_BuiltIn_Print_Titles_16" localSheetId="2">#REF!</definedName>
    <definedName name="Excel_BuiltIn_Print_Titles_16">#REF!</definedName>
    <definedName name="Excel_BuiltIn_Print_Titles_17" localSheetId="6">#REF!</definedName>
    <definedName name="Excel_BuiltIn_Print_Titles_17" localSheetId="7">#REF!</definedName>
    <definedName name="Excel_BuiltIn_Print_Titles_17" localSheetId="9">#REF!</definedName>
    <definedName name="Excel_BuiltIn_Print_Titles_17" localSheetId="4">#REF!</definedName>
    <definedName name="Excel_BuiltIn_Print_Titles_17" localSheetId="12">#REF!</definedName>
    <definedName name="Excel_BuiltIn_Print_Titles_17" localSheetId="13">#REF!</definedName>
    <definedName name="Excel_BuiltIn_Print_Titles_17" localSheetId="29">#REF!</definedName>
    <definedName name="Excel_BuiltIn_Print_Titles_17" localSheetId="33">#REF!</definedName>
    <definedName name="Excel_BuiltIn_Print_Titles_17" localSheetId="38">#REF!</definedName>
    <definedName name="Excel_BuiltIn_Print_Titles_17" localSheetId="40">#REF!</definedName>
    <definedName name="Excel_BuiltIn_Print_Titles_17" localSheetId="43">#REF!</definedName>
    <definedName name="Excel_BuiltIn_Print_Titles_17" localSheetId="52">#REF!</definedName>
    <definedName name="Excel_BuiltIn_Print_Titles_17" localSheetId="2">#REF!</definedName>
    <definedName name="Excel_BuiltIn_Print_Titles_17">#REF!</definedName>
    <definedName name="Excel_BuiltIn_Print_Titles_18" localSheetId="6">#REF!</definedName>
    <definedName name="Excel_BuiltIn_Print_Titles_18" localSheetId="7">#REF!</definedName>
    <definedName name="Excel_BuiltIn_Print_Titles_18" localSheetId="9">#REF!</definedName>
    <definedName name="Excel_BuiltIn_Print_Titles_18" localSheetId="4">#REF!</definedName>
    <definedName name="Excel_BuiltIn_Print_Titles_18" localSheetId="12">#REF!</definedName>
    <definedName name="Excel_BuiltIn_Print_Titles_18" localSheetId="13">#REF!</definedName>
    <definedName name="Excel_BuiltIn_Print_Titles_18" localSheetId="29">#REF!</definedName>
    <definedName name="Excel_BuiltIn_Print_Titles_18" localSheetId="33">#REF!</definedName>
    <definedName name="Excel_BuiltIn_Print_Titles_18" localSheetId="38">#REF!</definedName>
    <definedName name="Excel_BuiltIn_Print_Titles_18" localSheetId="40">#REF!</definedName>
    <definedName name="Excel_BuiltIn_Print_Titles_18" localSheetId="43">#REF!</definedName>
    <definedName name="Excel_BuiltIn_Print_Titles_18" localSheetId="52">#REF!</definedName>
    <definedName name="Excel_BuiltIn_Print_Titles_18" localSheetId="2">#REF!</definedName>
    <definedName name="Excel_BuiltIn_Print_Titles_18">#REF!</definedName>
    <definedName name="Excel_BuiltIn_Print_Titles_19" localSheetId="6">[8]XXJ617!#REF!</definedName>
    <definedName name="Excel_BuiltIn_Print_Titles_19" localSheetId="7">[8]XXJ617!#REF!</definedName>
    <definedName name="Excel_BuiltIn_Print_Titles_19" localSheetId="9">[8]XXJ617!#REF!</definedName>
    <definedName name="Excel_BuiltIn_Print_Titles_19" localSheetId="4">[8]XXJ617!#REF!</definedName>
    <definedName name="Excel_BuiltIn_Print_Titles_19" localSheetId="12">[8]XXJ617!#REF!</definedName>
    <definedName name="Excel_BuiltIn_Print_Titles_19" localSheetId="13">[8]XXJ617!#REF!</definedName>
    <definedName name="Excel_BuiltIn_Print_Titles_19" localSheetId="29">[8]XXJ617!#REF!</definedName>
    <definedName name="Excel_BuiltIn_Print_Titles_19" localSheetId="33">[8]XXJ617!#REF!</definedName>
    <definedName name="Excel_BuiltIn_Print_Titles_19" localSheetId="38">[8]XXJ617!#REF!</definedName>
    <definedName name="Excel_BuiltIn_Print_Titles_19" localSheetId="40">[8]XXJ617!#REF!</definedName>
    <definedName name="Excel_BuiltIn_Print_Titles_19" localSheetId="43">[8]XXJ617!#REF!</definedName>
    <definedName name="Excel_BuiltIn_Print_Titles_19" localSheetId="52">[8]XXJ617!#REF!</definedName>
    <definedName name="Excel_BuiltIn_Print_Titles_19" localSheetId="2">[8]XXJ617!#REF!</definedName>
    <definedName name="Excel_BuiltIn_Print_Titles_19">[8]XXJ617!#REF!</definedName>
    <definedName name="Excel_BuiltIn_Print_Titles_20" localSheetId="6">#REF!</definedName>
    <definedName name="Excel_BuiltIn_Print_Titles_20" localSheetId="7">#REF!</definedName>
    <definedName name="Excel_BuiltIn_Print_Titles_20" localSheetId="9">#REF!</definedName>
    <definedName name="Excel_BuiltIn_Print_Titles_20" localSheetId="4">#REF!</definedName>
    <definedName name="Excel_BuiltIn_Print_Titles_20" localSheetId="12">#REF!</definedName>
    <definedName name="Excel_BuiltIn_Print_Titles_20" localSheetId="13">#REF!</definedName>
    <definedName name="Excel_BuiltIn_Print_Titles_20" localSheetId="29">#REF!</definedName>
    <definedName name="Excel_BuiltIn_Print_Titles_20" localSheetId="33">#REF!</definedName>
    <definedName name="Excel_BuiltIn_Print_Titles_20" localSheetId="38">#REF!</definedName>
    <definedName name="Excel_BuiltIn_Print_Titles_20" localSheetId="40">#REF!</definedName>
    <definedName name="Excel_BuiltIn_Print_Titles_20" localSheetId="43">#REF!</definedName>
    <definedName name="Excel_BuiltIn_Print_Titles_20" localSheetId="52">#REF!</definedName>
    <definedName name="Excel_BuiltIn_Print_Titles_20" localSheetId="2">#REF!</definedName>
    <definedName name="Excel_BuiltIn_Print_Titles_20">#REF!</definedName>
    <definedName name="Excel_BuiltIn_Print_Titles_21" localSheetId="6">[8]SNG_855!#REF!</definedName>
    <definedName name="Excel_BuiltIn_Print_Titles_21" localSheetId="7">[8]SNG_855!#REF!</definedName>
    <definedName name="Excel_BuiltIn_Print_Titles_21" localSheetId="9">[8]SNG_855!#REF!</definedName>
    <definedName name="Excel_BuiltIn_Print_Titles_21" localSheetId="4">[8]SNG_855!#REF!</definedName>
    <definedName name="Excel_BuiltIn_Print_Titles_21" localSheetId="12">[8]SNG_855!#REF!</definedName>
    <definedName name="Excel_BuiltIn_Print_Titles_21" localSheetId="13">[8]SNG_855!#REF!</definedName>
    <definedName name="Excel_BuiltIn_Print_Titles_21" localSheetId="29">[8]SNG_855!#REF!</definedName>
    <definedName name="Excel_BuiltIn_Print_Titles_21" localSheetId="33">[8]SNG_855!#REF!</definedName>
    <definedName name="Excel_BuiltIn_Print_Titles_21" localSheetId="38">[8]SNG_855!#REF!</definedName>
    <definedName name="Excel_BuiltIn_Print_Titles_21" localSheetId="40">[8]SNG_855!#REF!</definedName>
    <definedName name="Excel_BuiltIn_Print_Titles_21" localSheetId="43">[8]SNG_855!#REF!</definedName>
    <definedName name="Excel_BuiltIn_Print_Titles_21" localSheetId="52">[8]SNG_855!#REF!</definedName>
    <definedName name="Excel_BuiltIn_Print_Titles_21" localSheetId="2">[8]SNG_855!#REF!</definedName>
    <definedName name="Excel_BuiltIn_Print_Titles_21">[8]SNG_855!#REF!</definedName>
    <definedName name="Excel_BuiltIn_Print_Titles_23" localSheetId="6">#REF!</definedName>
    <definedName name="Excel_BuiltIn_Print_Titles_23" localSheetId="7">#REF!</definedName>
    <definedName name="Excel_BuiltIn_Print_Titles_23" localSheetId="9">#REF!</definedName>
    <definedName name="Excel_BuiltIn_Print_Titles_23" localSheetId="4">#REF!</definedName>
    <definedName name="Excel_BuiltIn_Print_Titles_23" localSheetId="12">#REF!</definedName>
    <definedName name="Excel_BuiltIn_Print_Titles_23" localSheetId="13">#REF!</definedName>
    <definedName name="Excel_BuiltIn_Print_Titles_23" localSheetId="29">#REF!</definedName>
    <definedName name="Excel_BuiltIn_Print_Titles_23" localSheetId="33">#REF!</definedName>
    <definedName name="Excel_BuiltIn_Print_Titles_23" localSheetId="38">#REF!</definedName>
    <definedName name="Excel_BuiltIn_Print_Titles_23" localSheetId="40">#REF!</definedName>
    <definedName name="Excel_BuiltIn_Print_Titles_23" localSheetId="43">#REF!</definedName>
    <definedName name="Excel_BuiltIn_Print_Titles_23" localSheetId="52">#REF!</definedName>
    <definedName name="Excel_BuiltIn_Print_Titles_23" localSheetId="2">#REF!</definedName>
    <definedName name="Excel_BuiltIn_Print_Titles_23">#REF!</definedName>
    <definedName name="Excel_BuiltIn_Print_Titles_3" localSheetId="6">#REF!</definedName>
    <definedName name="Excel_BuiltIn_Print_Titles_3" localSheetId="7">#REF!</definedName>
    <definedName name="Excel_BuiltIn_Print_Titles_3" localSheetId="9">#REF!</definedName>
    <definedName name="Excel_BuiltIn_Print_Titles_3" localSheetId="4">#REF!</definedName>
    <definedName name="Excel_BuiltIn_Print_Titles_3" localSheetId="12">#REF!</definedName>
    <definedName name="Excel_BuiltIn_Print_Titles_3" localSheetId="13">#REF!</definedName>
    <definedName name="Excel_BuiltIn_Print_Titles_3" localSheetId="29">#REF!</definedName>
    <definedName name="Excel_BuiltIn_Print_Titles_3" localSheetId="33">#REF!</definedName>
    <definedName name="Excel_BuiltIn_Print_Titles_3" localSheetId="38">#REF!</definedName>
    <definedName name="Excel_BuiltIn_Print_Titles_3" localSheetId="40">#REF!</definedName>
    <definedName name="Excel_BuiltIn_Print_Titles_3" localSheetId="43">#REF!</definedName>
    <definedName name="Excel_BuiltIn_Print_Titles_3" localSheetId="52">#REF!</definedName>
    <definedName name="Excel_BuiltIn_Print_Titles_3" localSheetId="2">#REF!</definedName>
    <definedName name="Excel_BuiltIn_Print_Titles_3">#REF!</definedName>
    <definedName name="Excel_BuiltIn_Print_Titles_5" localSheetId="6">'[8]VEA 374'!#REF!</definedName>
    <definedName name="Excel_BuiltIn_Print_Titles_5" localSheetId="7">'[8]VEA 374'!#REF!</definedName>
    <definedName name="Excel_BuiltIn_Print_Titles_5" localSheetId="9">'[8]VEA 374'!#REF!</definedName>
    <definedName name="Excel_BuiltIn_Print_Titles_5" localSheetId="4">'[8]VEA 374'!#REF!</definedName>
    <definedName name="Excel_BuiltIn_Print_Titles_5" localSheetId="12">'[8]VEA 374'!#REF!</definedName>
    <definedName name="Excel_BuiltIn_Print_Titles_5" localSheetId="13">'[8]VEA 374'!#REF!</definedName>
    <definedName name="Excel_BuiltIn_Print_Titles_5" localSheetId="29">'[8]VEA 374'!#REF!</definedName>
    <definedName name="Excel_BuiltIn_Print_Titles_5" localSheetId="33">'[8]VEA 374'!#REF!</definedName>
    <definedName name="Excel_BuiltIn_Print_Titles_5" localSheetId="38">'[8]VEA 374'!#REF!</definedName>
    <definedName name="Excel_BuiltIn_Print_Titles_5" localSheetId="40">'[8]VEA 374'!#REF!</definedName>
    <definedName name="Excel_BuiltIn_Print_Titles_5" localSheetId="43">'[8]VEA 374'!#REF!</definedName>
    <definedName name="Excel_BuiltIn_Print_Titles_5" localSheetId="52">'[8]VEA 374'!#REF!</definedName>
    <definedName name="Excel_BuiltIn_Print_Titles_5" localSheetId="2">'[8]VEA 374'!#REF!</definedName>
    <definedName name="Excel_BuiltIn_Print_Titles_5">'[8]VEA 374'!#REF!</definedName>
    <definedName name="Excel_BuiltIn_Print_Titles_5_XX" localSheetId="6">'[8]VEA 374'!#REF!</definedName>
    <definedName name="Excel_BuiltIn_Print_Titles_5_XX" localSheetId="7">'[8]VEA 374'!#REF!</definedName>
    <definedName name="Excel_BuiltIn_Print_Titles_5_XX" localSheetId="9">'[8]VEA 374'!#REF!</definedName>
    <definedName name="Excel_BuiltIn_Print_Titles_5_XX" localSheetId="4">'[8]VEA 374'!#REF!</definedName>
    <definedName name="Excel_BuiltIn_Print_Titles_5_XX" localSheetId="12">'[8]VEA 374'!#REF!</definedName>
    <definedName name="Excel_BuiltIn_Print_Titles_5_XX" localSheetId="13">'[8]VEA 374'!#REF!</definedName>
    <definedName name="Excel_BuiltIn_Print_Titles_5_XX" localSheetId="29">'[8]VEA 374'!#REF!</definedName>
    <definedName name="Excel_BuiltIn_Print_Titles_5_XX" localSheetId="33">'[8]VEA 374'!#REF!</definedName>
    <definedName name="Excel_BuiltIn_Print_Titles_5_XX" localSheetId="38">'[8]VEA 374'!#REF!</definedName>
    <definedName name="Excel_BuiltIn_Print_Titles_5_XX" localSheetId="40">'[8]VEA 374'!#REF!</definedName>
    <definedName name="Excel_BuiltIn_Print_Titles_5_XX" localSheetId="43">'[8]VEA 374'!#REF!</definedName>
    <definedName name="Excel_BuiltIn_Print_Titles_5_XX" localSheetId="52">'[8]VEA 374'!#REF!</definedName>
    <definedName name="Excel_BuiltIn_Print_Titles_5_XX" localSheetId="2">'[8]VEA 374'!#REF!</definedName>
    <definedName name="Excel_BuiltIn_Print_Titles_5_XX">'[8]VEA 374'!#REF!</definedName>
    <definedName name="Excel_BuiltIn_Print_Titles_6" localSheetId="6">#REF!</definedName>
    <definedName name="Excel_BuiltIn_Print_Titles_6" localSheetId="7">#REF!</definedName>
    <definedName name="Excel_BuiltIn_Print_Titles_6" localSheetId="9">#REF!</definedName>
    <definedName name="Excel_BuiltIn_Print_Titles_6" localSheetId="4">#REF!</definedName>
    <definedName name="Excel_BuiltIn_Print_Titles_6" localSheetId="12">#REF!</definedName>
    <definedName name="Excel_BuiltIn_Print_Titles_6" localSheetId="13">#REF!</definedName>
    <definedName name="Excel_BuiltIn_Print_Titles_6" localSheetId="29">#REF!</definedName>
    <definedName name="Excel_BuiltIn_Print_Titles_6" localSheetId="33">#REF!</definedName>
    <definedName name="Excel_BuiltIn_Print_Titles_6" localSheetId="38">#REF!</definedName>
    <definedName name="Excel_BuiltIn_Print_Titles_6" localSheetId="40">#REF!</definedName>
    <definedName name="Excel_BuiltIn_Print_Titles_6" localSheetId="43">#REF!</definedName>
    <definedName name="Excel_BuiltIn_Print_Titles_6" localSheetId="52">#REF!</definedName>
    <definedName name="Excel_BuiltIn_Print_Titles_6" localSheetId="2">#REF!</definedName>
    <definedName name="Excel_BuiltIn_Print_Titles_6">#REF!</definedName>
    <definedName name="Excel_BuiltIn_Print_Titles_7" localSheetId="6">[8]HFB024!#REF!</definedName>
    <definedName name="Excel_BuiltIn_Print_Titles_7" localSheetId="7">[8]HFB024!#REF!</definedName>
    <definedName name="Excel_BuiltIn_Print_Titles_7" localSheetId="9">[8]HFB024!#REF!</definedName>
    <definedName name="Excel_BuiltIn_Print_Titles_7" localSheetId="4">[8]HFB024!#REF!</definedName>
    <definedName name="Excel_BuiltIn_Print_Titles_7" localSheetId="12">[8]HFB024!#REF!</definedName>
    <definedName name="Excel_BuiltIn_Print_Titles_7" localSheetId="13">[8]HFB024!#REF!</definedName>
    <definedName name="Excel_BuiltIn_Print_Titles_7" localSheetId="29">[8]HFB024!#REF!</definedName>
    <definedName name="Excel_BuiltIn_Print_Titles_7" localSheetId="33">[8]HFB024!#REF!</definedName>
    <definedName name="Excel_BuiltIn_Print_Titles_7" localSheetId="38">[8]HFB024!#REF!</definedName>
    <definedName name="Excel_BuiltIn_Print_Titles_7" localSheetId="40">[8]HFB024!#REF!</definedName>
    <definedName name="Excel_BuiltIn_Print_Titles_7" localSheetId="43">[8]HFB024!#REF!</definedName>
    <definedName name="Excel_BuiltIn_Print_Titles_7" localSheetId="52">[8]HFB024!#REF!</definedName>
    <definedName name="Excel_BuiltIn_Print_Titles_7" localSheetId="2">[8]HFB024!#REF!</definedName>
    <definedName name="Excel_BuiltIn_Print_Titles_7">[8]HFB024!#REF!</definedName>
    <definedName name="Excel_BuiltIn_Print_Titles_8" localSheetId="6">#REF!</definedName>
    <definedName name="Excel_BuiltIn_Print_Titles_8" localSheetId="7">#REF!</definedName>
    <definedName name="Excel_BuiltIn_Print_Titles_8" localSheetId="9">#REF!</definedName>
    <definedName name="Excel_BuiltIn_Print_Titles_8" localSheetId="4">#REF!</definedName>
    <definedName name="Excel_BuiltIn_Print_Titles_8" localSheetId="12">#REF!</definedName>
    <definedName name="Excel_BuiltIn_Print_Titles_8" localSheetId="13">#REF!</definedName>
    <definedName name="Excel_BuiltIn_Print_Titles_8" localSheetId="29">#REF!</definedName>
    <definedName name="Excel_BuiltIn_Print_Titles_8" localSheetId="33">#REF!</definedName>
    <definedName name="Excel_BuiltIn_Print_Titles_8" localSheetId="38">#REF!</definedName>
    <definedName name="Excel_BuiltIn_Print_Titles_8" localSheetId="40">#REF!</definedName>
    <definedName name="Excel_BuiltIn_Print_Titles_8" localSheetId="43">#REF!</definedName>
    <definedName name="Excel_BuiltIn_Print_Titles_8" localSheetId="52">#REF!</definedName>
    <definedName name="Excel_BuiltIn_Print_Titles_8" localSheetId="2">#REF!</definedName>
    <definedName name="Excel_BuiltIn_Print_Titles_8">#REF!</definedName>
    <definedName name="Excel_BuiltIn_Print_Titles_9" localSheetId="6">[8]PAJ825!#REF!</definedName>
    <definedName name="Excel_BuiltIn_Print_Titles_9" localSheetId="7">[8]PAJ825!#REF!</definedName>
    <definedName name="Excel_BuiltIn_Print_Titles_9" localSheetId="9">[8]PAJ825!#REF!</definedName>
    <definedName name="Excel_BuiltIn_Print_Titles_9" localSheetId="4">[8]PAJ825!#REF!</definedName>
    <definedName name="Excel_BuiltIn_Print_Titles_9" localSheetId="12">[8]PAJ825!#REF!</definedName>
    <definedName name="Excel_BuiltIn_Print_Titles_9" localSheetId="13">[8]PAJ825!#REF!</definedName>
    <definedName name="Excel_BuiltIn_Print_Titles_9" localSheetId="29">[8]PAJ825!#REF!</definedName>
    <definedName name="Excel_BuiltIn_Print_Titles_9" localSheetId="33">[8]PAJ825!#REF!</definedName>
    <definedName name="Excel_BuiltIn_Print_Titles_9" localSheetId="38">[8]PAJ825!#REF!</definedName>
    <definedName name="Excel_BuiltIn_Print_Titles_9" localSheetId="40">[8]PAJ825!#REF!</definedName>
    <definedName name="Excel_BuiltIn_Print_Titles_9" localSheetId="43">[8]PAJ825!#REF!</definedName>
    <definedName name="Excel_BuiltIn_Print_Titles_9" localSheetId="52">[8]PAJ825!#REF!</definedName>
    <definedName name="Excel_BuiltIn_Print_Titles_9" localSheetId="2">[8]PAJ825!#REF!</definedName>
    <definedName name="Excel_BuiltIn_Print_Titles_9">[8]PAJ825!#REF!</definedName>
    <definedName name="EXCROC">'[35]Análisis de precios'!$H$52</definedName>
    <definedName name="FAC" localSheetId="6" hidden="1">#REF!</definedName>
    <definedName name="FAC" localSheetId="7" hidden="1">#REF!</definedName>
    <definedName name="FAC" localSheetId="9" hidden="1">#REF!</definedName>
    <definedName name="FAC" localSheetId="4" hidden="1">#REF!</definedName>
    <definedName name="FAC" localSheetId="12" hidden="1">#REF!</definedName>
    <definedName name="FAC" localSheetId="13" hidden="1">#REF!</definedName>
    <definedName name="FAC" localSheetId="29" hidden="1">#REF!</definedName>
    <definedName name="FAC" localSheetId="33" hidden="1">#REF!</definedName>
    <definedName name="FAC" localSheetId="38" hidden="1">#REF!</definedName>
    <definedName name="FAC" localSheetId="40" hidden="1">#REF!</definedName>
    <definedName name="FAC" localSheetId="43" hidden="1">#REF!</definedName>
    <definedName name="FAC" localSheetId="52" hidden="1">#REF!</definedName>
    <definedName name="FAC" localSheetId="2" hidden="1">#REF!</definedName>
    <definedName name="FAC" hidden="1">#REF!</definedName>
    <definedName name="FD">#N/A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" localSheetId="6">'[22]Res-Accide-10'!#REF!</definedName>
    <definedName name="fer" localSheetId="7">'[22]Res-Accide-10'!#REF!</definedName>
    <definedName name="fer" localSheetId="9">'[22]Res-Accide-10'!#REF!</definedName>
    <definedName name="fer" localSheetId="4">'[22]Res-Accide-10'!#REF!</definedName>
    <definedName name="fer" localSheetId="12">'[22]Res-Accide-10'!#REF!</definedName>
    <definedName name="fer" localSheetId="13">'[22]Res-Accide-10'!#REF!</definedName>
    <definedName name="fer" localSheetId="29">'[22]Res-Accide-10'!#REF!</definedName>
    <definedName name="fer" localSheetId="33">'[22]Res-Accide-10'!#REF!</definedName>
    <definedName name="fer" localSheetId="38">'[22]Res-Accide-10'!#REF!</definedName>
    <definedName name="fer" localSheetId="40">'[22]Res-Accide-10'!#REF!</definedName>
    <definedName name="fer" localSheetId="43">'[22]Res-Accide-10'!#REF!</definedName>
    <definedName name="fer" localSheetId="52">'[22]Res-Accide-10'!#REF!</definedName>
    <definedName name="fer" localSheetId="2">'[22]Res-Accide-10'!#REF!</definedName>
    <definedName name="fer">'[22]Res-Accide-10'!#REF!</definedName>
    <definedName name="ferfer" hidden="1">{"via1",#N/A,TRUE,"general";"via2",#N/A,TRUE,"general";"via3",#N/A,TRUE,"general"}</definedName>
    <definedName name="ff">#N/A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#N/A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NCIACION">#N/A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#N/A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J" localSheetId="6">#REF!</definedName>
    <definedName name="GAJ" localSheetId="7">#REF!</definedName>
    <definedName name="GAJ" localSheetId="9">#REF!</definedName>
    <definedName name="GAJ" localSheetId="4">#REF!</definedName>
    <definedName name="GAJ" localSheetId="12">#REF!</definedName>
    <definedName name="GAJ" localSheetId="13">#REF!</definedName>
    <definedName name="GAJ" localSheetId="29">#REF!</definedName>
    <definedName name="GAJ" localSheetId="33">#REF!</definedName>
    <definedName name="GAJ" localSheetId="38">#REF!</definedName>
    <definedName name="GAJ" localSheetId="40">#REF!</definedName>
    <definedName name="GAJ" localSheetId="43">#REF!</definedName>
    <definedName name="GAJ" localSheetId="52">#REF!</definedName>
    <definedName name="GAJ" localSheetId="2">#REF!</definedName>
    <definedName name="GAJ">#REF!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 localSheetId="6">#REF!</definedName>
    <definedName name="Geotex" localSheetId="7">#REF!</definedName>
    <definedName name="Geotex" localSheetId="9">#REF!</definedName>
    <definedName name="Geotex" localSheetId="4">#REF!</definedName>
    <definedName name="Geotex" localSheetId="12">#REF!</definedName>
    <definedName name="Geotex" localSheetId="13">#REF!</definedName>
    <definedName name="Geotex" localSheetId="29">#REF!</definedName>
    <definedName name="Geotex" localSheetId="33">#REF!</definedName>
    <definedName name="Geotex" localSheetId="38">#REF!</definedName>
    <definedName name="Geotex" localSheetId="40">#REF!</definedName>
    <definedName name="Geotex" localSheetId="43">#REF!</definedName>
    <definedName name="Geotex" localSheetId="52">#REF!</definedName>
    <definedName name="Geotex" localSheetId="2">#REF!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#N/A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6">#REF!</definedName>
    <definedName name="GRAF2" localSheetId="7">#REF!</definedName>
    <definedName name="GRAF2" localSheetId="9">#REF!</definedName>
    <definedName name="GRAF2" localSheetId="4">#REF!</definedName>
    <definedName name="GRAF2" localSheetId="12">#REF!</definedName>
    <definedName name="GRAF2" localSheetId="13">#REF!</definedName>
    <definedName name="GRAF2" localSheetId="29">#REF!</definedName>
    <definedName name="GRAF2" localSheetId="33">#REF!</definedName>
    <definedName name="GRAF2" localSheetId="38">#REF!</definedName>
    <definedName name="GRAF2" localSheetId="40">#REF!</definedName>
    <definedName name="GRAF2" localSheetId="43">#REF!</definedName>
    <definedName name="GRAF2" localSheetId="52">#REF!</definedName>
    <definedName name="GRAF2" localSheetId="2">#REF!</definedName>
    <definedName name="GRAF2">#REF!</definedName>
    <definedName name="GRAF3" localSheetId="6">#REF!</definedName>
    <definedName name="GRAF3" localSheetId="7">#REF!</definedName>
    <definedName name="GRAF3" localSheetId="9">#REF!</definedName>
    <definedName name="GRAF3" localSheetId="4">#REF!</definedName>
    <definedName name="GRAF3" localSheetId="12">#REF!</definedName>
    <definedName name="GRAF3" localSheetId="13">#REF!</definedName>
    <definedName name="GRAF3" localSheetId="29">#REF!</definedName>
    <definedName name="GRAF3" localSheetId="33">#REF!</definedName>
    <definedName name="GRAF3" localSheetId="38">#REF!</definedName>
    <definedName name="GRAF3" localSheetId="40">#REF!</definedName>
    <definedName name="GRAF3" localSheetId="43">#REF!</definedName>
    <definedName name="GRAF3" localSheetId="52">#REF!</definedName>
    <definedName name="GRAF3" localSheetId="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 localSheetId="6">#REF!</definedName>
    <definedName name="GRUPO1" localSheetId="7">#REF!</definedName>
    <definedName name="GRUPO1" localSheetId="9">#REF!</definedName>
    <definedName name="GRUPO1" localSheetId="4">#REF!</definedName>
    <definedName name="GRUPO1" localSheetId="12">#REF!</definedName>
    <definedName name="GRUPO1" localSheetId="13">#REF!</definedName>
    <definedName name="GRUPO1" localSheetId="29">#REF!</definedName>
    <definedName name="GRUPO1" localSheetId="33">#REF!</definedName>
    <definedName name="GRUPO1" localSheetId="38">#REF!</definedName>
    <definedName name="GRUPO1" localSheetId="40">#REF!</definedName>
    <definedName name="GRUPO1" localSheetId="43">#REF!</definedName>
    <definedName name="GRUPO1" localSheetId="52">#REF!</definedName>
    <definedName name="GRUPO1" localSheetId="2">#REF!</definedName>
    <definedName name="GRUPO1">#REF!</definedName>
    <definedName name="GRUPO123" localSheetId="6">#REF!</definedName>
    <definedName name="GRUPO123" localSheetId="7">#REF!</definedName>
    <definedName name="GRUPO123" localSheetId="9">#REF!</definedName>
    <definedName name="GRUPO123" localSheetId="4">#REF!</definedName>
    <definedName name="GRUPO123" localSheetId="12">#REF!</definedName>
    <definedName name="GRUPO123" localSheetId="13">#REF!</definedName>
    <definedName name="GRUPO123" localSheetId="29">#REF!</definedName>
    <definedName name="GRUPO123" localSheetId="33">#REF!</definedName>
    <definedName name="GRUPO123" localSheetId="38">#REF!</definedName>
    <definedName name="GRUPO123" localSheetId="40">#REF!</definedName>
    <definedName name="GRUPO123" localSheetId="43">#REF!</definedName>
    <definedName name="GRUPO123" localSheetId="52">#REF!</definedName>
    <definedName name="GRUPO123" localSheetId="2">#REF!</definedName>
    <definedName name="GRUPO123">#REF!</definedName>
    <definedName name="GRUPO13" localSheetId="6">#REF!</definedName>
    <definedName name="GRUPO13" localSheetId="7">#REF!</definedName>
    <definedName name="GRUPO13" localSheetId="9">#REF!</definedName>
    <definedName name="GRUPO13" localSheetId="4">#REF!</definedName>
    <definedName name="GRUPO13" localSheetId="12">#REF!</definedName>
    <definedName name="GRUPO13" localSheetId="13">#REF!</definedName>
    <definedName name="GRUPO13" localSheetId="29">#REF!</definedName>
    <definedName name="GRUPO13" localSheetId="33">#REF!</definedName>
    <definedName name="GRUPO13" localSheetId="38">#REF!</definedName>
    <definedName name="GRUPO13" localSheetId="40">#REF!</definedName>
    <definedName name="GRUPO13" localSheetId="43">#REF!</definedName>
    <definedName name="GRUPO13" localSheetId="52">#REF!</definedName>
    <definedName name="GRUPO13" localSheetId="2">#REF!</definedName>
    <definedName name="GRUPO13">#REF!</definedName>
    <definedName name="GRUPO2" localSheetId="6">#REF!</definedName>
    <definedName name="GRUPO2" localSheetId="7">#REF!</definedName>
    <definedName name="GRUPO2" localSheetId="9">#REF!</definedName>
    <definedName name="GRUPO2" localSheetId="4">#REF!</definedName>
    <definedName name="GRUPO2" localSheetId="12">#REF!</definedName>
    <definedName name="GRUPO2" localSheetId="13">#REF!</definedName>
    <definedName name="GRUPO2" localSheetId="29">#REF!</definedName>
    <definedName name="GRUPO2" localSheetId="33">#REF!</definedName>
    <definedName name="GRUPO2" localSheetId="38">#REF!</definedName>
    <definedName name="GRUPO2" localSheetId="40">#REF!</definedName>
    <definedName name="GRUPO2" localSheetId="43">#REF!</definedName>
    <definedName name="GRUPO2" localSheetId="52">#REF!</definedName>
    <definedName name="GRUPO2" localSheetId="2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[36]BASE!$C$4:$H$255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 localSheetId="6">#REF!</definedName>
    <definedName name="GTRE" localSheetId="7">#REF!</definedName>
    <definedName name="GTRE" localSheetId="9">#REF!</definedName>
    <definedName name="GTRE" localSheetId="4">#REF!</definedName>
    <definedName name="GTRE" localSheetId="12">#REF!</definedName>
    <definedName name="GTRE" localSheetId="13">#REF!</definedName>
    <definedName name="GTRE" localSheetId="29">#REF!</definedName>
    <definedName name="GTRE" localSheetId="33">#REF!</definedName>
    <definedName name="GTRE" localSheetId="38">#REF!</definedName>
    <definedName name="GTRE" localSheetId="40">#REF!</definedName>
    <definedName name="GTRE" localSheetId="43">#REF!</definedName>
    <definedName name="GTRE" localSheetId="52">#REF!</definedName>
    <definedName name="GTRE" localSheetId="2">#REF!</definedName>
    <definedName name="GTRE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#N/A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#N/A</definedName>
    <definedName name="hn" hidden="1">{"TAB1",#N/A,TRUE,"GENERAL";"TAB2",#N/A,TRUE,"GENERAL";"TAB3",#N/A,TRUE,"GENERAL";"TAB4",#N/A,TRUE,"GENERAL";"TAB5",#N/A,TRUE,"GENERAL"}</definedName>
    <definedName name="HOJA1" localSheetId="6">#REF!</definedName>
    <definedName name="HOJA1" localSheetId="7">#REF!</definedName>
    <definedName name="HOJA1" localSheetId="9">#REF!</definedName>
    <definedName name="HOJA1" localSheetId="4">#REF!</definedName>
    <definedName name="HOJA1" localSheetId="12">#REF!</definedName>
    <definedName name="HOJA1" localSheetId="13">#REF!</definedName>
    <definedName name="HOJA1" localSheetId="29">#REF!</definedName>
    <definedName name="HOJA1" localSheetId="33">#REF!</definedName>
    <definedName name="HOJA1" localSheetId="38">#REF!</definedName>
    <definedName name="HOJA1" localSheetId="40">#REF!</definedName>
    <definedName name="HOJA1" localSheetId="43">#REF!</definedName>
    <definedName name="HOJA1" localSheetId="52">#REF!</definedName>
    <definedName name="HOJA1" localSheetId="2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6">#REF!</definedName>
    <definedName name="I" localSheetId="7">#REF!</definedName>
    <definedName name="I" localSheetId="9">#REF!</definedName>
    <definedName name="I" localSheetId="4">#REF!</definedName>
    <definedName name="I" localSheetId="12">#REF!</definedName>
    <definedName name="I" localSheetId="13">#REF!</definedName>
    <definedName name="I" localSheetId="29">#REF!</definedName>
    <definedName name="I" localSheetId="33">#REF!</definedName>
    <definedName name="I" localSheetId="38">#REF!</definedName>
    <definedName name="I" localSheetId="40">#REF!</definedName>
    <definedName name="I" localSheetId="43">#REF!</definedName>
    <definedName name="I" localSheetId="52">#REF!</definedName>
    <definedName name="I" localSheetId="2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#N/A</definedName>
    <definedName name="IF" localSheetId="6">'[26]A. P. U.'!#REF!</definedName>
    <definedName name="IF" localSheetId="7">'[26]A. P. U.'!#REF!</definedName>
    <definedName name="IF" localSheetId="9">'[26]A. P. U.'!#REF!</definedName>
    <definedName name="IF" localSheetId="4">'[26]A. P. U.'!#REF!</definedName>
    <definedName name="IF" localSheetId="12">'[26]A. P. U.'!#REF!</definedName>
    <definedName name="IF" localSheetId="13">'[26]A. P. U.'!#REF!</definedName>
    <definedName name="IF" localSheetId="29">'[26]A. P. U.'!#REF!</definedName>
    <definedName name="IF" localSheetId="33">'[26]A. P. U.'!#REF!</definedName>
    <definedName name="IF" localSheetId="38">'[26]A. P. U.'!#REF!</definedName>
    <definedName name="IF" localSheetId="40">'[26]A. P. U.'!#REF!</definedName>
    <definedName name="IF" localSheetId="43">'[26]A. P. U.'!#REF!</definedName>
    <definedName name="IF" localSheetId="52">'[26]A. P. U.'!#REF!</definedName>
    <definedName name="IF" localSheetId="2">'[26]A. P. U.'!#REF!</definedName>
    <definedName name="IF">'[26]A.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[9]otros!$C$3</definedName>
    <definedName name="INDICE" localSheetId="6">#REF!</definedName>
    <definedName name="INDICE" localSheetId="7">#REF!</definedName>
    <definedName name="INDICE" localSheetId="9">#REF!</definedName>
    <definedName name="INDICE" localSheetId="4">#REF!</definedName>
    <definedName name="INDICE" localSheetId="12">#REF!</definedName>
    <definedName name="INDICE" localSheetId="13">#REF!</definedName>
    <definedName name="INDICE" localSheetId="29">#REF!</definedName>
    <definedName name="INDICE" localSheetId="33">#REF!</definedName>
    <definedName name="INDICE" localSheetId="38">#REF!</definedName>
    <definedName name="INDICE" localSheetId="40">#REF!</definedName>
    <definedName name="INDICE" localSheetId="43">#REF!</definedName>
    <definedName name="INDICE" localSheetId="52">#REF!</definedName>
    <definedName name="INDICE" localSheetId="2">#REF!</definedName>
    <definedName name="INDICE">#REF!</definedName>
    <definedName name="inf" localSheetId="6">#REF!</definedName>
    <definedName name="inf" localSheetId="7">#REF!</definedName>
    <definedName name="inf" localSheetId="9">#REF!</definedName>
    <definedName name="inf" localSheetId="4">#REF!</definedName>
    <definedName name="inf" localSheetId="12">#REF!</definedName>
    <definedName name="inf" localSheetId="13">#REF!</definedName>
    <definedName name="inf" localSheetId="29">#REF!</definedName>
    <definedName name="inf" localSheetId="33">#REF!</definedName>
    <definedName name="inf" localSheetId="38">#REF!</definedName>
    <definedName name="inf" localSheetId="40">#REF!</definedName>
    <definedName name="inf" localSheetId="43">#REF!</definedName>
    <definedName name="inf" localSheetId="52">#REF!</definedName>
    <definedName name="inf" localSheetId="2">#REF!</definedName>
    <definedName name="inf">#REF!</definedName>
    <definedName name="Inicio">[20]BASES!$E$26</definedName>
    <definedName name="Insumos_auxiliares" localSheetId="6">[37]Insumos!#REF!</definedName>
    <definedName name="Insumos_auxiliares" localSheetId="7">[37]Insumos!#REF!</definedName>
    <definedName name="Insumos_auxiliares" localSheetId="9">[37]Insumos!#REF!</definedName>
    <definedName name="Insumos_auxiliares" localSheetId="4">[37]Insumos!#REF!</definedName>
    <definedName name="Insumos_auxiliares" localSheetId="12">[37]Insumos!#REF!</definedName>
    <definedName name="Insumos_auxiliares" localSheetId="13">[37]Insumos!#REF!</definedName>
    <definedName name="Insumos_auxiliares" localSheetId="29">[37]Insumos!#REF!</definedName>
    <definedName name="Insumos_auxiliares" localSheetId="33">[37]Insumos!#REF!</definedName>
    <definedName name="Insumos_auxiliares" localSheetId="38">[37]Insumos!#REF!</definedName>
    <definedName name="Insumos_auxiliares" localSheetId="40">[37]Insumos!#REF!</definedName>
    <definedName name="Insumos_auxiliares" localSheetId="43">[37]Insumos!#REF!</definedName>
    <definedName name="Insumos_auxiliares" localSheetId="52">[37]Insumos!#REF!</definedName>
    <definedName name="Insumos_auxiliares" localSheetId="2">[37]Insumos!#REF!</definedName>
    <definedName name="Insumos_auxiliares">[37]Insumos!#REF!</definedName>
    <definedName name="Insumos_basicos" localSheetId="6">#REF!</definedName>
    <definedName name="Insumos_basicos" localSheetId="7">#REF!</definedName>
    <definedName name="Insumos_basicos" localSheetId="9">#REF!</definedName>
    <definedName name="Insumos_basicos" localSheetId="4">#REF!</definedName>
    <definedName name="Insumos_basicos" localSheetId="12">#REF!</definedName>
    <definedName name="Insumos_basicos" localSheetId="13">#REF!</definedName>
    <definedName name="Insumos_basicos" localSheetId="29">#REF!</definedName>
    <definedName name="Insumos_basicos" localSheetId="33">#REF!</definedName>
    <definedName name="Insumos_basicos" localSheetId="38">#REF!</definedName>
    <definedName name="Insumos_basicos" localSheetId="40">#REF!</definedName>
    <definedName name="Insumos_basicos" localSheetId="43">#REF!</definedName>
    <definedName name="Insumos_basicos" localSheetId="52">#REF!</definedName>
    <definedName name="Insumos_basicos" localSheetId="2">#REF!</definedName>
    <definedName name="Insumos_basicos">#REF!</definedName>
    <definedName name="INV_11">'[38]PR 1'!$A$2:$N$655</definedName>
    <definedName name="IOUHH">#N/A</definedName>
    <definedName name="ITE">[18]PREACTA!$C$11:$K$417</definedName>
    <definedName name="ITEM">[31]PREACTA!$C$11:$K$705</definedName>
    <definedName name="ITEM1" localSheetId="6">#REF!</definedName>
    <definedName name="ITEM1" localSheetId="7">#REF!</definedName>
    <definedName name="ITEM1" localSheetId="9">#REF!</definedName>
    <definedName name="ITEM1" localSheetId="4">#REF!</definedName>
    <definedName name="ITEM1" localSheetId="12">#REF!</definedName>
    <definedName name="ITEM1" localSheetId="13">#REF!</definedName>
    <definedName name="ITEM1" localSheetId="29">#REF!</definedName>
    <definedName name="ITEM1" localSheetId="33">#REF!</definedName>
    <definedName name="ITEM1" localSheetId="38">#REF!</definedName>
    <definedName name="ITEM1" localSheetId="40">#REF!</definedName>
    <definedName name="ITEM1" localSheetId="43">#REF!</definedName>
    <definedName name="ITEM1" localSheetId="52">#REF!</definedName>
    <definedName name="ITEM1" localSheetId="2">#REF!</definedName>
    <definedName name="ITEM1">#REF!</definedName>
    <definedName name="ITEM15" localSheetId="6">#REF!</definedName>
    <definedName name="ITEM15" localSheetId="7">#REF!</definedName>
    <definedName name="ITEM15" localSheetId="9">#REF!</definedName>
    <definedName name="ITEM15" localSheetId="4">#REF!</definedName>
    <definedName name="ITEM15" localSheetId="12">#REF!</definedName>
    <definedName name="ITEM15" localSheetId="13">#REF!</definedName>
    <definedName name="ITEM15" localSheetId="29">#REF!</definedName>
    <definedName name="ITEM15" localSheetId="33">#REF!</definedName>
    <definedName name="ITEM15" localSheetId="38">#REF!</definedName>
    <definedName name="ITEM15" localSheetId="40">#REF!</definedName>
    <definedName name="ITEM15" localSheetId="43">#REF!</definedName>
    <definedName name="ITEM15" localSheetId="52">#REF!</definedName>
    <definedName name="ITEM15" localSheetId="2">#REF!</definedName>
    <definedName name="ITEM15">#REF!</definedName>
    <definedName name="ITEM2" localSheetId="6">#REF!</definedName>
    <definedName name="ITEM2" localSheetId="7">#REF!</definedName>
    <definedName name="ITEM2" localSheetId="9">#REF!</definedName>
    <definedName name="ITEM2" localSheetId="4">#REF!</definedName>
    <definedName name="ITEM2" localSheetId="12">#REF!</definedName>
    <definedName name="ITEM2" localSheetId="13">#REF!</definedName>
    <definedName name="ITEM2" localSheetId="29">#REF!</definedName>
    <definedName name="ITEM2" localSheetId="33">#REF!</definedName>
    <definedName name="ITEM2" localSheetId="38">#REF!</definedName>
    <definedName name="ITEM2" localSheetId="40">#REF!</definedName>
    <definedName name="ITEM2" localSheetId="43">#REF!</definedName>
    <definedName name="ITEM2" localSheetId="52">#REF!</definedName>
    <definedName name="ITEM2" localSheetId="2">#REF!</definedName>
    <definedName name="ITEM2">#REF!</definedName>
    <definedName name="item210.3" localSheetId="6">#REF!</definedName>
    <definedName name="item210.3" localSheetId="7">#REF!</definedName>
    <definedName name="item210.3" localSheetId="9">#REF!</definedName>
    <definedName name="item210.3" localSheetId="4">#REF!</definedName>
    <definedName name="item210.3" localSheetId="12">#REF!</definedName>
    <definedName name="item210.3" localSheetId="13">#REF!</definedName>
    <definedName name="item210.3" localSheetId="29">#REF!</definedName>
    <definedName name="item210.3" localSheetId="33">#REF!</definedName>
    <definedName name="item210.3" localSheetId="38">#REF!</definedName>
    <definedName name="item210.3" localSheetId="40">#REF!</definedName>
    <definedName name="item210.3" localSheetId="43">#REF!</definedName>
    <definedName name="item210.3" localSheetId="52">#REF!</definedName>
    <definedName name="item210.3" localSheetId="2">#REF!</definedName>
    <definedName name="item210.3">#REF!</definedName>
    <definedName name="item230.1" localSheetId="6">#REF!</definedName>
    <definedName name="item230.1" localSheetId="7">#REF!</definedName>
    <definedName name="item230.1" localSheetId="9">#REF!</definedName>
    <definedName name="item230.1" localSheetId="4">#REF!</definedName>
    <definedName name="item230.1" localSheetId="12">#REF!</definedName>
    <definedName name="item230.1" localSheetId="13">#REF!</definedName>
    <definedName name="item230.1" localSheetId="29">#REF!</definedName>
    <definedName name="item230.1" localSheetId="33">#REF!</definedName>
    <definedName name="item230.1" localSheetId="38">#REF!</definedName>
    <definedName name="item230.1" localSheetId="40">#REF!</definedName>
    <definedName name="item230.1" localSheetId="43">#REF!</definedName>
    <definedName name="item230.1" localSheetId="52">#REF!</definedName>
    <definedName name="item230.1" localSheetId="2">#REF!</definedName>
    <definedName name="item230.1">#REF!</definedName>
    <definedName name="ITEM3" localSheetId="6">#REF!</definedName>
    <definedName name="ITEM3" localSheetId="7">#REF!</definedName>
    <definedName name="ITEM3" localSheetId="9">#REF!</definedName>
    <definedName name="ITEM3" localSheetId="4">#REF!</definedName>
    <definedName name="ITEM3" localSheetId="12">#REF!</definedName>
    <definedName name="ITEM3" localSheetId="13">#REF!</definedName>
    <definedName name="ITEM3" localSheetId="29">#REF!</definedName>
    <definedName name="ITEM3" localSheetId="33">#REF!</definedName>
    <definedName name="ITEM3" localSheetId="38">#REF!</definedName>
    <definedName name="ITEM3" localSheetId="40">#REF!</definedName>
    <definedName name="ITEM3" localSheetId="43">#REF!</definedName>
    <definedName name="ITEM3" localSheetId="52">#REF!</definedName>
    <definedName name="ITEM3" localSheetId="2">#REF!</definedName>
    <definedName name="ITEM3">#REF!</definedName>
    <definedName name="item310" localSheetId="6">#REF!</definedName>
    <definedName name="item310" localSheetId="7">#REF!</definedName>
    <definedName name="item310" localSheetId="9">#REF!</definedName>
    <definedName name="item310" localSheetId="4">#REF!</definedName>
    <definedName name="item310" localSheetId="12">#REF!</definedName>
    <definedName name="item310" localSheetId="13">#REF!</definedName>
    <definedName name="item310" localSheetId="29">#REF!</definedName>
    <definedName name="item310" localSheetId="33">#REF!</definedName>
    <definedName name="item310" localSheetId="38">#REF!</definedName>
    <definedName name="item310" localSheetId="40">#REF!</definedName>
    <definedName name="item310" localSheetId="43">#REF!</definedName>
    <definedName name="item310" localSheetId="52">#REF!</definedName>
    <definedName name="item310" localSheetId="2">#REF!</definedName>
    <definedName name="item310">#REF!</definedName>
    <definedName name="item320.2" localSheetId="6">#REF!</definedName>
    <definedName name="item320.2" localSheetId="7">#REF!</definedName>
    <definedName name="item320.2" localSheetId="9">#REF!</definedName>
    <definedName name="item320.2" localSheetId="4">#REF!</definedName>
    <definedName name="item320.2" localSheetId="12">#REF!</definedName>
    <definedName name="item320.2" localSheetId="13">#REF!</definedName>
    <definedName name="item320.2" localSheetId="29">#REF!</definedName>
    <definedName name="item320.2" localSheetId="33">#REF!</definedName>
    <definedName name="item320.2" localSheetId="38">#REF!</definedName>
    <definedName name="item320.2" localSheetId="40">#REF!</definedName>
    <definedName name="item320.2" localSheetId="43">#REF!</definedName>
    <definedName name="item320.2" localSheetId="52">#REF!</definedName>
    <definedName name="item320.2" localSheetId="2">#REF!</definedName>
    <definedName name="item320.2">#REF!</definedName>
    <definedName name="item330.1" localSheetId="6">#REF!</definedName>
    <definedName name="item330.1" localSheetId="7">#REF!</definedName>
    <definedName name="item330.1" localSheetId="9">#REF!</definedName>
    <definedName name="item330.1" localSheetId="4">#REF!</definedName>
    <definedName name="item330.1" localSheetId="12">#REF!</definedName>
    <definedName name="item330.1" localSheetId="13">#REF!</definedName>
    <definedName name="item330.1" localSheetId="29">#REF!</definedName>
    <definedName name="item330.1" localSheetId="33">#REF!</definedName>
    <definedName name="item330.1" localSheetId="38">#REF!</definedName>
    <definedName name="item330.1" localSheetId="40">#REF!</definedName>
    <definedName name="item330.1" localSheetId="43">#REF!</definedName>
    <definedName name="item330.1" localSheetId="52">#REF!</definedName>
    <definedName name="item330.1" localSheetId="2">#REF!</definedName>
    <definedName name="item330.1">#REF!</definedName>
    <definedName name="item420" localSheetId="6">#REF!</definedName>
    <definedName name="item420" localSheetId="7">#REF!</definedName>
    <definedName name="item420" localSheetId="9">#REF!</definedName>
    <definedName name="item420" localSheetId="4">#REF!</definedName>
    <definedName name="item420" localSheetId="12">#REF!</definedName>
    <definedName name="item420" localSheetId="13">#REF!</definedName>
    <definedName name="item420" localSheetId="29">#REF!</definedName>
    <definedName name="item420" localSheetId="33">#REF!</definedName>
    <definedName name="item420" localSheetId="38">#REF!</definedName>
    <definedName name="item420" localSheetId="40">#REF!</definedName>
    <definedName name="item420" localSheetId="43">#REF!</definedName>
    <definedName name="item420" localSheetId="52">#REF!</definedName>
    <definedName name="item420" localSheetId="2">#REF!</definedName>
    <definedName name="item420">#REF!</definedName>
    <definedName name="item450.2P" localSheetId="6">#REF!</definedName>
    <definedName name="item450.2P" localSheetId="7">#REF!</definedName>
    <definedName name="item450.2P" localSheetId="9">#REF!</definedName>
    <definedName name="item450.2P" localSheetId="4">#REF!</definedName>
    <definedName name="item450.2P" localSheetId="12">#REF!</definedName>
    <definedName name="item450.2P" localSheetId="13">#REF!</definedName>
    <definedName name="item450.2P" localSheetId="29">#REF!</definedName>
    <definedName name="item450.2P" localSheetId="33">#REF!</definedName>
    <definedName name="item450.2P" localSheetId="38">#REF!</definedName>
    <definedName name="item450.2P" localSheetId="40">#REF!</definedName>
    <definedName name="item450.2P" localSheetId="43">#REF!</definedName>
    <definedName name="item450.2P" localSheetId="52">#REF!</definedName>
    <definedName name="item450.2P" localSheetId="2">#REF!</definedName>
    <definedName name="item450.2P">#REF!</definedName>
    <definedName name="item600.1" localSheetId="6">#REF!</definedName>
    <definedName name="item600.1" localSheetId="7">#REF!</definedName>
    <definedName name="item600.1" localSheetId="9">#REF!</definedName>
    <definedName name="item600.1" localSheetId="4">#REF!</definedName>
    <definedName name="item600.1" localSheetId="12">#REF!</definedName>
    <definedName name="item600.1" localSheetId="13">#REF!</definedName>
    <definedName name="item600.1" localSheetId="29">#REF!</definedName>
    <definedName name="item600.1" localSheetId="33">#REF!</definedName>
    <definedName name="item600.1" localSheetId="38">#REF!</definedName>
    <definedName name="item600.1" localSheetId="40">#REF!</definedName>
    <definedName name="item600.1" localSheetId="43">#REF!</definedName>
    <definedName name="item600.1" localSheetId="52">#REF!</definedName>
    <definedName name="item600.1" localSheetId="2">#REF!</definedName>
    <definedName name="item600.1">#REF!</definedName>
    <definedName name="item610.1" localSheetId="6">#REF!</definedName>
    <definedName name="item610.1" localSheetId="7">#REF!</definedName>
    <definedName name="item610.1" localSheetId="9">#REF!</definedName>
    <definedName name="item610.1" localSheetId="4">#REF!</definedName>
    <definedName name="item610.1" localSheetId="12">#REF!</definedName>
    <definedName name="item610.1" localSheetId="13">#REF!</definedName>
    <definedName name="item610.1" localSheetId="29">#REF!</definedName>
    <definedName name="item610.1" localSheetId="33">#REF!</definedName>
    <definedName name="item610.1" localSheetId="38">#REF!</definedName>
    <definedName name="item610.1" localSheetId="40">#REF!</definedName>
    <definedName name="item610.1" localSheetId="43">#REF!</definedName>
    <definedName name="item610.1" localSheetId="52">#REF!</definedName>
    <definedName name="item610.1" localSheetId="2">#REF!</definedName>
    <definedName name="item610.1">#REF!</definedName>
    <definedName name="item610.2" localSheetId="6">#REF!</definedName>
    <definedName name="item610.2" localSheetId="7">#REF!</definedName>
    <definedName name="item610.2" localSheetId="9">#REF!</definedName>
    <definedName name="item610.2" localSheetId="4">#REF!</definedName>
    <definedName name="item610.2" localSheetId="12">#REF!</definedName>
    <definedName name="item610.2" localSheetId="13">#REF!</definedName>
    <definedName name="item610.2" localSheetId="29">#REF!</definedName>
    <definedName name="item610.2" localSheetId="33">#REF!</definedName>
    <definedName name="item610.2" localSheetId="38">#REF!</definedName>
    <definedName name="item610.2" localSheetId="40">#REF!</definedName>
    <definedName name="item610.2" localSheetId="43">#REF!</definedName>
    <definedName name="item610.2" localSheetId="52">#REF!</definedName>
    <definedName name="item610.2" localSheetId="2">#REF!</definedName>
    <definedName name="item610.2">#REF!</definedName>
    <definedName name="item630.4" localSheetId="6">#REF!</definedName>
    <definedName name="item630.4" localSheetId="7">#REF!</definedName>
    <definedName name="item630.4" localSheetId="9">#REF!</definedName>
    <definedName name="item630.4" localSheetId="4">#REF!</definedName>
    <definedName name="item630.4" localSheetId="12">#REF!</definedName>
    <definedName name="item630.4" localSheetId="13">#REF!</definedName>
    <definedName name="item630.4" localSheetId="29">#REF!</definedName>
    <definedName name="item630.4" localSheetId="33">#REF!</definedName>
    <definedName name="item630.4" localSheetId="38">#REF!</definedName>
    <definedName name="item630.4" localSheetId="40">#REF!</definedName>
    <definedName name="item630.4" localSheetId="43">#REF!</definedName>
    <definedName name="item630.4" localSheetId="52">#REF!</definedName>
    <definedName name="item630.4" localSheetId="2">#REF!</definedName>
    <definedName name="item630.4">#REF!</definedName>
    <definedName name="item630.6" localSheetId="6">#REF!</definedName>
    <definedName name="item630.6" localSheetId="7">#REF!</definedName>
    <definedName name="item630.6" localSheetId="9">#REF!</definedName>
    <definedName name="item630.6" localSheetId="4">#REF!</definedName>
    <definedName name="item630.6" localSheetId="12">#REF!</definedName>
    <definedName name="item630.6" localSheetId="13">#REF!</definedName>
    <definedName name="item630.6" localSheetId="29">#REF!</definedName>
    <definedName name="item630.6" localSheetId="33">#REF!</definedName>
    <definedName name="item630.6" localSheetId="38">#REF!</definedName>
    <definedName name="item630.6" localSheetId="40">#REF!</definedName>
    <definedName name="item630.6" localSheetId="43">#REF!</definedName>
    <definedName name="item630.6" localSheetId="52">#REF!</definedName>
    <definedName name="item630.6" localSheetId="2">#REF!</definedName>
    <definedName name="item630.6">#REF!</definedName>
    <definedName name="item630.7" localSheetId="6">#REF!</definedName>
    <definedName name="item630.7" localSheetId="7">#REF!</definedName>
    <definedName name="item630.7" localSheetId="9">#REF!</definedName>
    <definedName name="item630.7" localSheetId="4">#REF!</definedName>
    <definedName name="item630.7" localSheetId="12">#REF!</definedName>
    <definedName name="item630.7" localSheetId="13">#REF!</definedName>
    <definedName name="item630.7" localSheetId="29">#REF!</definedName>
    <definedName name="item630.7" localSheetId="33">#REF!</definedName>
    <definedName name="item630.7" localSheetId="38">#REF!</definedName>
    <definedName name="item630.7" localSheetId="40">#REF!</definedName>
    <definedName name="item630.7" localSheetId="43">#REF!</definedName>
    <definedName name="item630.7" localSheetId="52">#REF!</definedName>
    <definedName name="item630.7" localSheetId="2">#REF!</definedName>
    <definedName name="item630.7">#REF!</definedName>
    <definedName name="item640.3" localSheetId="6">#REF!</definedName>
    <definedName name="item640.3" localSheetId="7">#REF!</definedName>
    <definedName name="item640.3" localSheetId="9">#REF!</definedName>
    <definedName name="item640.3" localSheetId="4">#REF!</definedName>
    <definedName name="item640.3" localSheetId="12">#REF!</definedName>
    <definedName name="item640.3" localSheetId="13">#REF!</definedName>
    <definedName name="item640.3" localSheetId="29">#REF!</definedName>
    <definedName name="item640.3" localSheetId="33">#REF!</definedName>
    <definedName name="item640.3" localSheetId="38">#REF!</definedName>
    <definedName name="item640.3" localSheetId="40">#REF!</definedName>
    <definedName name="item640.3" localSheetId="43">#REF!</definedName>
    <definedName name="item640.3" localSheetId="52">#REF!</definedName>
    <definedName name="item640.3" localSheetId="2">#REF!</definedName>
    <definedName name="item640.3">#REF!</definedName>
    <definedName name="item661" localSheetId="6">#REF!</definedName>
    <definedName name="item661" localSheetId="7">#REF!</definedName>
    <definedName name="item661" localSheetId="9">#REF!</definedName>
    <definedName name="item661" localSheetId="4">#REF!</definedName>
    <definedName name="item661" localSheetId="12">#REF!</definedName>
    <definedName name="item661" localSheetId="13">#REF!</definedName>
    <definedName name="item661" localSheetId="29">#REF!</definedName>
    <definedName name="item661" localSheetId="33">#REF!</definedName>
    <definedName name="item661" localSheetId="38">#REF!</definedName>
    <definedName name="item661" localSheetId="40">#REF!</definedName>
    <definedName name="item661" localSheetId="43">#REF!</definedName>
    <definedName name="item661" localSheetId="52">#REF!</definedName>
    <definedName name="item661" localSheetId="2">#REF!</definedName>
    <definedName name="item661">#REF!</definedName>
    <definedName name="item671" localSheetId="6">#REF!</definedName>
    <definedName name="item671" localSheetId="7">#REF!</definedName>
    <definedName name="item671" localSheetId="9">#REF!</definedName>
    <definedName name="item671" localSheetId="4">#REF!</definedName>
    <definedName name="item671" localSheetId="12">#REF!</definedName>
    <definedName name="item671" localSheetId="13">#REF!</definedName>
    <definedName name="item671" localSheetId="29">#REF!</definedName>
    <definedName name="item671" localSheetId="33">#REF!</definedName>
    <definedName name="item671" localSheetId="38">#REF!</definedName>
    <definedName name="item671" localSheetId="40">#REF!</definedName>
    <definedName name="item671" localSheetId="43">#REF!</definedName>
    <definedName name="item671" localSheetId="52">#REF!</definedName>
    <definedName name="item671" localSheetId="2">#REF!</definedName>
    <definedName name="item671">#REF!</definedName>
    <definedName name="item673.1" localSheetId="6">#REF!</definedName>
    <definedName name="item673.1" localSheetId="7">#REF!</definedName>
    <definedName name="item673.1" localSheetId="9">#REF!</definedName>
    <definedName name="item673.1" localSheetId="4">#REF!</definedName>
    <definedName name="item673.1" localSheetId="12">#REF!</definedName>
    <definedName name="item673.1" localSheetId="13">#REF!</definedName>
    <definedName name="item673.1" localSheetId="29">#REF!</definedName>
    <definedName name="item673.1" localSheetId="33">#REF!</definedName>
    <definedName name="item673.1" localSheetId="38">#REF!</definedName>
    <definedName name="item673.1" localSheetId="40">#REF!</definedName>
    <definedName name="item673.1" localSheetId="43">#REF!</definedName>
    <definedName name="item673.1" localSheetId="52">#REF!</definedName>
    <definedName name="item673.1" localSheetId="2">#REF!</definedName>
    <definedName name="item673.1">#REF!</definedName>
    <definedName name="item673.3" localSheetId="6">#REF!</definedName>
    <definedName name="item673.3" localSheetId="7">#REF!</definedName>
    <definedName name="item673.3" localSheetId="9">#REF!</definedName>
    <definedName name="item673.3" localSheetId="4">#REF!</definedName>
    <definedName name="item673.3" localSheetId="12">#REF!</definedName>
    <definedName name="item673.3" localSheetId="13">#REF!</definedName>
    <definedName name="item673.3" localSheetId="29">#REF!</definedName>
    <definedName name="item673.3" localSheetId="33">#REF!</definedName>
    <definedName name="item673.3" localSheetId="38">#REF!</definedName>
    <definedName name="item673.3" localSheetId="40">#REF!</definedName>
    <definedName name="item673.3" localSheetId="43">#REF!</definedName>
    <definedName name="item673.3" localSheetId="52">#REF!</definedName>
    <definedName name="item673.3" localSheetId="2">#REF!</definedName>
    <definedName name="item673.3">#REF!</definedName>
    <definedName name="item681" localSheetId="6">#REF!</definedName>
    <definedName name="item681" localSheetId="7">#REF!</definedName>
    <definedName name="item681" localSheetId="9">#REF!</definedName>
    <definedName name="item681" localSheetId="4">#REF!</definedName>
    <definedName name="item681" localSheetId="12">#REF!</definedName>
    <definedName name="item681" localSheetId="13">#REF!</definedName>
    <definedName name="item681" localSheetId="29">#REF!</definedName>
    <definedName name="item681" localSheetId="33">#REF!</definedName>
    <definedName name="item681" localSheetId="38">#REF!</definedName>
    <definedName name="item681" localSheetId="40">#REF!</definedName>
    <definedName name="item681" localSheetId="43">#REF!</definedName>
    <definedName name="item681" localSheetId="52">#REF!</definedName>
    <definedName name="item681" localSheetId="2">#REF!</definedName>
    <definedName name="item681">#REF!</definedName>
    <definedName name="item700.1" localSheetId="6">#REF!</definedName>
    <definedName name="item700.1" localSheetId="7">#REF!</definedName>
    <definedName name="item700.1" localSheetId="9">#REF!</definedName>
    <definedName name="item700.1" localSheetId="4">#REF!</definedName>
    <definedName name="item700.1" localSheetId="12">#REF!</definedName>
    <definedName name="item700.1" localSheetId="13">#REF!</definedName>
    <definedName name="item700.1" localSheetId="29">#REF!</definedName>
    <definedName name="item700.1" localSheetId="33">#REF!</definedName>
    <definedName name="item700.1" localSheetId="38">#REF!</definedName>
    <definedName name="item700.1" localSheetId="40">#REF!</definedName>
    <definedName name="item700.1" localSheetId="43">#REF!</definedName>
    <definedName name="item700.1" localSheetId="52">#REF!</definedName>
    <definedName name="item700.1" localSheetId="2">#REF!</definedName>
    <definedName name="item700.1">#REF!</definedName>
    <definedName name="item710.1" localSheetId="6">#REF!</definedName>
    <definedName name="item710.1" localSheetId="7">#REF!</definedName>
    <definedName name="item710.1" localSheetId="9">#REF!</definedName>
    <definedName name="item710.1" localSheetId="4">#REF!</definedName>
    <definedName name="item710.1" localSheetId="12">#REF!</definedName>
    <definedName name="item710.1" localSheetId="13">#REF!</definedName>
    <definedName name="item710.1" localSheetId="29">#REF!</definedName>
    <definedName name="item710.1" localSheetId="33">#REF!</definedName>
    <definedName name="item710.1" localSheetId="38">#REF!</definedName>
    <definedName name="item710.1" localSheetId="40">#REF!</definedName>
    <definedName name="item710.1" localSheetId="43">#REF!</definedName>
    <definedName name="item710.1" localSheetId="52">#REF!</definedName>
    <definedName name="item710.1" localSheetId="2">#REF!</definedName>
    <definedName name="item710.1">#REF!</definedName>
    <definedName name="item710.2" localSheetId="6">#REF!</definedName>
    <definedName name="item710.2" localSheetId="7">#REF!</definedName>
    <definedName name="item710.2" localSheetId="9">#REF!</definedName>
    <definedName name="item710.2" localSheetId="4">#REF!</definedName>
    <definedName name="item710.2" localSheetId="12">#REF!</definedName>
    <definedName name="item710.2" localSheetId="13">#REF!</definedName>
    <definedName name="item710.2" localSheetId="29">#REF!</definedName>
    <definedName name="item710.2" localSheetId="33">#REF!</definedName>
    <definedName name="item710.2" localSheetId="38">#REF!</definedName>
    <definedName name="item710.2" localSheetId="40">#REF!</definedName>
    <definedName name="item710.2" localSheetId="43">#REF!</definedName>
    <definedName name="item710.2" localSheetId="52">#REF!</definedName>
    <definedName name="item710.2" localSheetId="2">#REF!</definedName>
    <definedName name="item710.2">#REF!</definedName>
    <definedName name="item730.1" localSheetId="6">#REF!</definedName>
    <definedName name="item730.1" localSheetId="7">#REF!</definedName>
    <definedName name="item730.1" localSheetId="9">#REF!</definedName>
    <definedName name="item730.1" localSheetId="4">#REF!</definedName>
    <definedName name="item730.1" localSheetId="12">#REF!</definedName>
    <definedName name="item730.1" localSheetId="13">#REF!</definedName>
    <definedName name="item730.1" localSheetId="29">#REF!</definedName>
    <definedName name="item730.1" localSheetId="33">#REF!</definedName>
    <definedName name="item730.1" localSheetId="38">#REF!</definedName>
    <definedName name="item730.1" localSheetId="40">#REF!</definedName>
    <definedName name="item730.1" localSheetId="43">#REF!</definedName>
    <definedName name="item730.1" localSheetId="52">#REF!</definedName>
    <definedName name="item730.1" localSheetId="2">#REF!</definedName>
    <definedName name="item730.1">#REF!</definedName>
    <definedName name="item730.2" localSheetId="6">#REF!</definedName>
    <definedName name="item730.2" localSheetId="7">#REF!</definedName>
    <definedName name="item730.2" localSheetId="9">#REF!</definedName>
    <definedName name="item730.2" localSheetId="4">#REF!</definedName>
    <definedName name="item730.2" localSheetId="12">#REF!</definedName>
    <definedName name="item730.2" localSheetId="13">#REF!</definedName>
    <definedName name="item730.2" localSheetId="29">#REF!</definedName>
    <definedName name="item730.2" localSheetId="33">#REF!</definedName>
    <definedName name="item730.2" localSheetId="38">#REF!</definedName>
    <definedName name="item730.2" localSheetId="40">#REF!</definedName>
    <definedName name="item730.2" localSheetId="43">#REF!</definedName>
    <definedName name="item730.2" localSheetId="52">#REF!</definedName>
    <definedName name="item730.2" localSheetId="2">#REF!</definedName>
    <definedName name="item730.2">#REF!</definedName>
    <definedName name="item730.2.4" localSheetId="6">#REF!</definedName>
    <definedName name="item730.2.4" localSheetId="7">#REF!</definedName>
    <definedName name="item730.2.4" localSheetId="9">#REF!</definedName>
    <definedName name="item730.2.4" localSheetId="4">#REF!</definedName>
    <definedName name="item730.2.4" localSheetId="12">#REF!</definedName>
    <definedName name="item730.2.4" localSheetId="13">#REF!</definedName>
    <definedName name="item730.2.4" localSheetId="29">#REF!</definedName>
    <definedName name="item730.2.4" localSheetId="33">#REF!</definedName>
    <definedName name="item730.2.4" localSheetId="38">#REF!</definedName>
    <definedName name="item730.2.4" localSheetId="40">#REF!</definedName>
    <definedName name="item730.2.4" localSheetId="43">#REF!</definedName>
    <definedName name="item730.2.4" localSheetId="52">#REF!</definedName>
    <definedName name="item730.2.4" localSheetId="2">#REF!</definedName>
    <definedName name="item730.2.4">#REF!</definedName>
    <definedName name="item900.2" localSheetId="6">#REF!</definedName>
    <definedName name="item900.2" localSheetId="7">#REF!</definedName>
    <definedName name="item900.2" localSheetId="9">#REF!</definedName>
    <definedName name="item900.2" localSheetId="4">#REF!</definedName>
    <definedName name="item900.2" localSheetId="12">#REF!</definedName>
    <definedName name="item900.2" localSheetId="13">#REF!</definedName>
    <definedName name="item900.2" localSheetId="29">#REF!</definedName>
    <definedName name="item900.2" localSheetId="33">#REF!</definedName>
    <definedName name="item900.2" localSheetId="38">#REF!</definedName>
    <definedName name="item900.2" localSheetId="40">#REF!</definedName>
    <definedName name="item900.2" localSheetId="43">#REF!</definedName>
    <definedName name="item900.2" localSheetId="52">#REF!</definedName>
    <definedName name="item900.2" localSheetId="2">#REF!</definedName>
    <definedName name="item900.2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6">#REF!</definedName>
    <definedName name="IVA" localSheetId="7">#REF!</definedName>
    <definedName name="IVA" localSheetId="9">#REF!</definedName>
    <definedName name="IVA" localSheetId="4">#REF!</definedName>
    <definedName name="IVA" localSheetId="12">#REF!</definedName>
    <definedName name="IVA" localSheetId="13">#REF!</definedName>
    <definedName name="IVA" localSheetId="29">#REF!</definedName>
    <definedName name="IVA" localSheetId="33">#REF!</definedName>
    <definedName name="IVA" localSheetId="38">#REF!</definedName>
    <definedName name="IVA" localSheetId="40">#REF!</definedName>
    <definedName name="IVA" localSheetId="43">#REF!</definedName>
    <definedName name="IVA" localSheetId="52">#REF!</definedName>
    <definedName name="IVA" localSheetId="2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OHNNY">#N/A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 localSheetId="6">#REF!</definedName>
    <definedName name="jvv" localSheetId="7">#REF!</definedName>
    <definedName name="jvv" localSheetId="9">#REF!</definedName>
    <definedName name="jvv" localSheetId="4">#REF!</definedName>
    <definedName name="jvv" localSheetId="12">#REF!</definedName>
    <definedName name="jvv" localSheetId="13">#REF!</definedName>
    <definedName name="jvv" localSheetId="29">#REF!</definedName>
    <definedName name="jvv" localSheetId="33">#REF!</definedName>
    <definedName name="jvv" localSheetId="38">#REF!</definedName>
    <definedName name="jvv" localSheetId="40">#REF!</definedName>
    <definedName name="jvv" localSheetId="43">#REF!</definedName>
    <definedName name="jvv" localSheetId="52">#REF!</definedName>
    <definedName name="jvv" localSheetId="2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6">#REF!</definedName>
    <definedName name="K0F1" localSheetId="7">#REF!</definedName>
    <definedName name="K0F1" localSheetId="9">#REF!</definedName>
    <definedName name="K0F1" localSheetId="4">#REF!</definedName>
    <definedName name="K0F1" localSheetId="12">#REF!</definedName>
    <definedName name="K0F1" localSheetId="13">#REF!</definedName>
    <definedName name="K0F1" localSheetId="29">#REF!</definedName>
    <definedName name="K0F1" localSheetId="33">#REF!</definedName>
    <definedName name="K0F1" localSheetId="38">#REF!</definedName>
    <definedName name="K0F1" localSheetId="40">#REF!</definedName>
    <definedName name="K0F1" localSheetId="43">#REF!</definedName>
    <definedName name="K0F1" localSheetId="52">#REF!</definedName>
    <definedName name="K0F1" localSheetId="2">#REF!</definedName>
    <definedName name="K0F1">#REF!</definedName>
    <definedName name="K0F2" localSheetId="6">#REF!</definedName>
    <definedName name="K0F2" localSheetId="7">#REF!</definedName>
    <definedName name="K0F2" localSheetId="9">#REF!</definedName>
    <definedName name="K0F2" localSheetId="4">#REF!</definedName>
    <definedName name="K0F2" localSheetId="12">#REF!</definedName>
    <definedName name="K0F2" localSheetId="13">#REF!</definedName>
    <definedName name="K0F2" localSheetId="29">#REF!</definedName>
    <definedName name="K0F2" localSheetId="33">#REF!</definedName>
    <definedName name="K0F2" localSheetId="38">#REF!</definedName>
    <definedName name="K0F2" localSheetId="40">#REF!</definedName>
    <definedName name="K0F2" localSheetId="43">#REF!</definedName>
    <definedName name="K0F2" localSheetId="52">#REF!</definedName>
    <definedName name="K0F2" localSheetId="2">#REF!</definedName>
    <definedName name="K0F2">#REF!</definedName>
    <definedName name="K10ALO" localSheetId="6">#REF!</definedName>
    <definedName name="K10ALO" localSheetId="7">#REF!</definedName>
    <definedName name="K10ALO" localSheetId="9">#REF!</definedName>
    <definedName name="K10ALO" localSheetId="4">#REF!</definedName>
    <definedName name="K10ALO" localSheetId="12">#REF!</definedName>
    <definedName name="K10ALO" localSheetId="13">#REF!</definedName>
    <definedName name="K10ALO" localSheetId="29">#REF!</definedName>
    <definedName name="K10ALO" localSheetId="33">#REF!</definedName>
    <definedName name="K10ALO" localSheetId="38">#REF!</definedName>
    <definedName name="K10ALO" localSheetId="40">#REF!</definedName>
    <definedName name="K10ALO" localSheetId="43">#REF!</definedName>
    <definedName name="K10ALO" localSheetId="52">#REF!</definedName>
    <definedName name="K10ALO" localSheetId="2">#REF!</definedName>
    <definedName name="K10ALO">#REF!</definedName>
    <definedName name="K11ALO" localSheetId="6">#REF!</definedName>
    <definedName name="K11ALO" localSheetId="7">#REF!</definedName>
    <definedName name="K11ALO" localSheetId="9">#REF!</definedName>
    <definedName name="K11ALO" localSheetId="4">#REF!</definedName>
    <definedName name="K11ALO" localSheetId="12">#REF!</definedName>
    <definedName name="K11ALO" localSheetId="13">#REF!</definedName>
    <definedName name="K11ALO" localSheetId="29">#REF!</definedName>
    <definedName name="K11ALO" localSheetId="33">#REF!</definedName>
    <definedName name="K11ALO" localSheetId="38">#REF!</definedName>
    <definedName name="K11ALO" localSheetId="40">#REF!</definedName>
    <definedName name="K11ALO" localSheetId="43">#REF!</definedName>
    <definedName name="K11ALO" localSheetId="52">#REF!</definedName>
    <definedName name="K11ALO" localSheetId="2">#REF!</definedName>
    <definedName name="K11ALO">#REF!</definedName>
    <definedName name="K1F1" localSheetId="6">#REF!</definedName>
    <definedName name="K1F1" localSheetId="7">#REF!</definedName>
    <definedName name="K1F1" localSheetId="9">#REF!</definedName>
    <definedName name="K1F1" localSheetId="4">#REF!</definedName>
    <definedName name="K1F1" localSheetId="12">#REF!</definedName>
    <definedName name="K1F1" localSheetId="13">#REF!</definedName>
    <definedName name="K1F1" localSheetId="29">#REF!</definedName>
    <definedName name="K1F1" localSheetId="33">#REF!</definedName>
    <definedName name="K1F1" localSheetId="38">#REF!</definedName>
    <definedName name="K1F1" localSheetId="40">#REF!</definedName>
    <definedName name="K1F1" localSheetId="43">#REF!</definedName>
    <definedName name="K1F1" localSheetId="52">#REF!</definedName>
    <definedName name="K1F1" localSheetId="2">#REF!</definedName>
    <definedName name="K1F1">#REF!</definedName>
    <definedName name="K1F2" localSheetId="6">#REF!</definedName>
    <definedName name="K1F2" localSheetId="7">#REF!</definedName>
    <definedName name="K1F2" localSheetId="9">#REF!</definedName>
    <definedName name="K1F2" localSheetId="4">#REF!</definedName>
    <definedName name="K1F2" localSheetId="12">#REF!</definedName>
    <definedName name="K1F2" localSheetId="13">#REF!</definedName>
    <definedName name="K1F2" localSheetId="29">#REF!</definedName>
    <definedName name="K1F2" localSheetId="33">#REF!</definedName>
    <definedName name="K1F2" localSheetId="38">#REF!</definedName>
    <definedName name="K1F2" localSheetId="40">#REF!</definedName>
    <definedName name="K1F2" localSheetId="43">#REF!</definedName>
    <definedName name="K1F2" localSheetId="52">#REF!</definedName>
    <definedName name="K1F2" localSheetId="2">#REF!</definedName>
    <definedName name="K1F2">#REF!</definedName>
    <definedName name="K2F1" localSheetId="6">#REF!</definedName>
    <definedName name="K2F1" localSheetId="7">#REF!</definedName>
    <definedName name="K2F1" localSheetId="9">#REF!</definedName>
    <definedName name="K2F1" localSheetId="4">#REF!</definedName>
    <definedName name="K2F1" localSheetId="12">#REF!</definedName>
    <definedName name="K2F1" localSheetId="13">#REF!</definedName>
    <definedName name="K2F1" localSheetId="29">#REF!</definedName>
    <definedName name="K2F1" localSheetId="33">#REF!</definedName>
    <definedName name="K2F1" localSheetId="38">#REF!</definedName>
    <definedName name="K2F1" localSheetId="40">#REF!</definedName>
    <definedName name="K2F1" localSheetId="43">#REF!</definedName>
    <definedName name="K2F1" localSheetId="52">#REF!</definedName>
    <definedName name="K2F1" localSheetId="2">#REF!</definedName>
    <definedName name="K2F1">#REF!</definedName>
    <definedName name="K2F2" localSheetId="6">#REF!</definedName>
    <definedName name="K2F2" localSheetId="7">#REF!</definedName>
    <definedName name="K2F2" localSheetId="9">#REF!</definedName>
    <definedName name="K2F2" localSheetId="4">#REF!</definedName>
    <definedName name="K2F2" localSheetId="12">#REF!</definedName>
    <definedName name="K2F2" localSheetId="13">#REF!</definedName>
    <definedName name="K2F2" localSheetId="29">#REF!</definedName>
    <definedName name="K2F2" localSheetId="33">#REF!</definedName>
    <definedName name="K2F2" localSheetId="38">#REF!</definedName>
    <definedName name="K2F2" localSheetId="40">#REF!</definedName>
    <definedName name="K2F2" localSheetId="43">#REF!</definedName>
    <definedName name="K2F2" localSheetId="52">#REF!</definedName>
    <definedName name="K2F2" localSheetId="2">#REF!</definedName>
    <definedName name="K2F2">#REF!</definedName>
    <definedName name="K3F1" localSheetId="6">#REF!</definedName>
    <definedName name="K3F1" localSheetId="7">#REF!</definedName>
    <definedName name="K3F1" localSheetId="9">#REF!</definedName>
    <definedName name="K3F1" localSheetId="4">#REF!</definedName>
    <definedName name="K3F1" localSheetId="12">#REF!</definedName>
    <definedName name="K3F1" localSheetId="13">#REF!</definedName>
    <definedName name="K3F1" localSheetId="29">#REF!</definedName>
    <definedName name="K3F1" localSheetId="33">#REF!</definedName>
    <definedName name="K3F1" localSheetId="38">#REF!</definedName>
    <definedName name="K3F1" localSheetId="40">#REF!</definedName>
    <definedName name="K3F1" localSheetId="43">#REF!</definedName>
    <definedName name="K3F1" localSheetId="52">#REF!</definedName>
    <definedName name="K3F1" localSheetId="2">#REF!</definedName>
    <definedName name="K3F1">#REF!</definedName>
    <definedName name="K3F2" localSheetId="6">#REF!</definedName>
    <definedName name="K3F2" localSheetId="7">#REF!</definedName>
    <definedName name="K3F2" localSheetId="9">#REF!</definedName>
    <definedName name="K3F2" localSheetId="4">#REF!</definedName>
    <definedName name="K3F2" localSheetId="12">#REF!</definedName>
    <definedName name="K3F2" localSheetId="13">#REF!</definedName>
    <definedName name="K3F2" localSheetId="29">#REF!</definedName>
    <definedName name="K3F2" localSheetId="33">#REF!</definedName>
    <definedName name="K3F2" localSheetId="38">#REF!</definedName>
    <definedName name="K3F2" localSheetId="40">#REF!</definedName>
    <definedName name="K3F2" localSheetId="43">#REF!</definedName>
    <definedName name="K3F2" localSheetId="52">#REF!</definedName>
    <definedName name="K3F2" localSheetId="2">#REF!</definedName>
    <definedName name="K3F2">#REF!</definedName>
    <definedName name="K4F1" localSheetId="6">#REF!</definedName>
    <definedName name="K4F1" localSheetId="7">#REF!</definedName>
    <definedName name="K4F1" localSheetId="9">#REF!</definedName>
    <definedName name="K4F1" localSheetId="4">#REF!</definedName>
    <definedName name="K4F1" localSheetId="12">#REF!</definedName>
    <definedName name="K4F1" localSheetId="13">#REF!</definedName>
    <definedName name="K4F1" localSheetId="29">#REF!</definedName>
    <definedName name="K4F1" localSheetId="33">#REF!</definedName>
    <definedName name="K4F1" localSheetId="38">#REF!</definedName>
    <definedName name="K4F1" localSheetId="40">#REF!</definedName>
    <definedName name="K4F1" localSheetId="43">#REF!</definedName>
    <definedName name="K4F1" localSheetId="52">#REF!</definedName>
    <definedName name="K4F1" localSheetId="2">#REF!</definedName>
    <definedName name="K4F1">#REF!</definedName>
    <definedName name="K4F2" localSheetId="6">#REF!</definedName>
    <definedName name="K4F2" localSheetId="7">#REF!</definedName>
    <definedName name="K4F2" localSheetId="9">#REF!</definedName>
    <definedName name="K4F2" localSheetId="4">#REF!</definedName>
    <definedName name="K4F2" localSheetId="12">#REF!</definedName>
    <definedName name="K4F2" localSheetId="13">#REF!</definedName>
    <definedName name="K4F2" localSheetId="29">#REF!</definedName>
    <definedName name="K4F2" localSheetId="33">#REF!</definedName>
    <definedName name="K4F2" localSheetId="38">#REF!</definedName>
    <definedName name="K4F2" localSheetId="40">#REF!</definedName>
    <definedName name="K4F2" localSheetId="43">#REF!</definedName>
    <definedName name="K4F2" localSheetId="52">#REF!</definedName>
    <definedName name="K4F2" localSheetId="2">#REF!</definedName>
    <definedName name="K4F2">#REF!</definedName>
    <definedName name="K5F1" localSheetId="6">#REF!</definedName>
    <definedName name="K5F1" localSheetId="7">#REF!</definedName>
    <definedName name="K5F1" localSheetId="9">#REF!</definedName>
    <definedName name="K5F1" localSheetId="4">#REF!</definedName>
    <definedName name="K5F1" localSheetId="12">#REF!</definedName>
    <definedName name="K5F1" localSheetId="13">#REF!</definedName>
    <definedName name="K5F1" localSheetId="29">#REF!</definedName>
    <definedName name="K5F1" localSheetId="33">#REF!</definedName>
    <definedName name="K5F1" localSheetId="38">#REF!</definedName>
    <definedName name="K5F1" localSheetId="40">#REF!</definedName>
    <definedName name="K5F1" localSheetId="43">#REF!</definedName>
    <definedName name="K5F1" localSheetId="52">#REF!</definedName>
    <definedName name="K5F1" localSheetId="2">#REF!</definedName>
    <definedName name="K5F1">#REF!</definedName>
    <definedName name="K5F2" localSheetId="6">#REF!</definedName>
    <definedName name="K5F2" localSheetId="7">#REF!</definedName>
    <definedName name="K5F2" localSheetId="9">#REF!</definedName>
    <definedName name="K5F2" localSheetId="4">#REF!</definedName>
    <definedName name="K5F2" localSheetId="12">#REF!</definedName>
    <definedName name="K5F2" localSheetId="13">#REF!</definedName>
    <definedName name="K5F2" localSheetId="29">#REF!</definedName>
    <definedName name="K5F2" localSheetId="33">#REF!</definedName>
    <definedName name="K5F2" localSheetId="38">#REF!</definedName>
    <definedName name="K5F2" localSheetId="40">#REF!</definedName>
    <definedName name="K5F2" localSheetId="43">#REF!</definedName>
    <definedName name="K5F2" localSheetId="52">#REF!</definedName>
    <definedName name="K5F2" localSheetId="2">#REF!</definedName>
    <definedName name="K5F2">#REF!</definedName>
    <definedName name="K6F1" localSheetId="6">#REF!</definedName>
    <definedName name="K6F1" localSheetId="7">#REF!</definedName>
    <definedName name="K6F1" localSheetId="9">#REF!</definedName>
    <definedName name="K6F1" localSheetId="4">#REF!</definedName>
    <definedName name="K6F1" localSheetId="12">#REF!</definedName>
    <definedName name="K6F1" localSheetId="13">#REF!</definedName>
    <definedName name="K6F1" localSheetId="29">#REF!</definedName>
    <definedName name="K6F1" localSheetId="33">#REF!</definedName>
    <definedName name="K6F1" localSheetId="38">#REF!</definedName>
    <definedName name="K6F1" localSheetId="40">#REF!</definedName>
    <definedName name="K6F1" localSheetId="43">#REF!</definedName>
    <definedName name="K6F1" localSheetId="52">#REF!</definedName>
    <definedName name="K6F1" localSheetId="2">#REF!</definedName>
    <definedName name="K6F1">#REF!</definedName>
    <definedName name="K6F2" localSheetId="6">#REF!</definedName>
    <definedName name="K6F2" localSheetId="7">#REF!</definedName>
    <definedName name="K6F2" localSheetId="9">#REF!</definedName>
    <definedName name="K6F2" localSheetId="4">#REF!</definedName>
    <definedName name="K6F2" localSheetId="12">#REF!</definedName>
    <definedName name="K6F2" localSheetId="13">#REF!</definedName>
    <definedName name="K6F2" localSheetId="29">#REF!</definedName>
    <definedName name="K6F2" localSheetId="33">#REF!</definedName>
    <definedName name="K6F2" localSheetId="38">#REF!</definedName>
    <definedName name="K6F2" localSheetId="40">#REF!</definedName>
    <definedName name="K6F2" localSheetId="43">#REF!</definedName>
    <definedName name="K6F2" localSheetId="52">#REF!</definedName>
    <definedName name="K6F2" localSheetId="2">#REF!</definedName>
    <definedName name="K6F2">#REF!</definedName>
    <definedName name="K7F1" localSheetId="6">#REF!</definedName>
    <definedName name="K7F1" localSheetId="7">#REF!</definedName>
    <definedName name="K7F1" localSheetId="9">#REF!</definedName>
    <definedName name="K7F1" localSheetId="4">#REF!</definedName>
    <definedName name="K7F1" localSheetId="12">#REF!</definedName>
    <definedName name="K7F1" localSheetId="13">#REF!</definedName>
    <definedName name="K7F1" localSheetId="29">#REF!</definedName>
    <definedName name="K7F1" localSheetId="33">#REF!</definedName>
    <definedName name="K7F1" localSheetId="38">#REF!</definedName>
    <definedName name="K7F1" localSheetId="40">#REF!</definedName>
    <definedName name="K7F1" localSheetId="43">#REF!</definedName>
    <definedName name="K7F1" localSheetId="52">#REF!</definedName>
    <definedName name="K7F1" localSheetId="2">#REF!</definedName>
    <definedName name="K7F1">#REF!</definedName>
    <definedName name="K7F2" localSheetId="6">#REF!</definedName>
    <definedName name="K7F2" localSheetId="7">#REF!</definedName>
    <definedName name="K7F2" localSheetId="9">#REF!</definedName>
    <definedName name="K7F2" localSheetId="4">#REF!</definedName>
    <definedName name="K7F2" localSheetId="12">#REF!</definedName>
    <definedName name="K7F2" localSheetId="13">#REF!</definedName>
    <definedName name="K7F2" localSheetId="29">#REF!</definedName>
    <definedName name="K7F2" localSheetId="33">#REF!</definedName>
    <definedName name="K7F2" localSheetId="38">#REF!</definedName>
    <definedName name="K7F2" localSheetId="40">#REF!</definedName>
    <definedName name="K7F2" localSheetId="43">#REF!</definedName>
    <definedName name="K7F2" localSheetId="52">#REF!</definedName>
    <definedName name="K7F2" localSheetId="2">#REF!</definedName>
    <definedName name="K7F2">#REF!</definedName>
    <definedName name="K8ALO" localSheetId="6">#REF!</definedName>
    <definedName name="K8ALO" localSheetId="7">#REF!</definedName>
    <definedName name="K8ALO" localSheetId="9">#REF!</definedName>
    <definedName name="K8ALO" localSheetId="4">#REF!</definedName>
    <definedName name="K8ALO" localSheetId="12">#REF!</definedName>
    <definedName name="K8ALO" localSheetId="13">#REF!</definedName>
    <definedName name="K8ALO" localSheetId="29">#REF!</definedName>
    <definedName name="K8ALO" localSheetId="33">#REF!</definedName>
    <definedName name="K8ALO" localSheetId="38">#REF!</definedName>
    <definedName name="K8ALO" localSheetId="40">#REF!</definedName>
    <definedName name="K8ALO" localSheetId="43">#REF!</definedName>
    <definedName name="K8ALO" localSheetId="52">#REF!</definedName>
    <definedName name="K8ALO" localSheetId="2">#REF!</definedName>
    <definedName name="K8ALO">#REF!</definedName>
    <definedName name="K8F1" localSheetId="6">#REF!</definedName>
    <definedName name="K8F1" localSheetId="7">#REF!</definedName>
    <definedName name="K8F1" localSheetId="9">#REF!</definedName>
    <definedName name="K8F1" localSheetId="4">#REF!</definedName>
    <definedName name="K8F1" localSheetId="12">#REF!</definedName>
    <definedName name="K8F1" localSheetId="13">#REF!</definedName>
    <definedName name="K8F1" localSheetId="29">#REF!</definedName>
    <definedName name="K8F1" localSheetId="33">#REF!</definedName>
    <definedName name="K8F1" localSheetId="38">#REF!</definedName>
    <definedName name="K8F1" localSheetId="40">#REF!</definedName>
    <definedName name="K8F1" localSheetId="43">#REF!</definedName>
    <definedName name="K8F1" localSheetId="52">#REF!</definedName>
    <definedName name="K8F1" localSheetId="2">#REF!</definedName>
    <definedName name="K8F1">#REF!</definedName>
    <definedName name="K8F2" localSheetId="6">#REF!</definedName>
    <definedName name="K8F2" localSheetId="7">#REF!</definedName>
    <definedName name="K8F2" localSheetId="9">#REF!</definedName>
    <definedName name="K8F2" localSheetId="4">#REF!</definedName>
    <definedName name="K8F2" localSheetId="12">#REF!</definedName>
    <definedName name="K8F2" localSheetId="13">#REF!</definedName>
    <definedName name="K8F2" localSheetId="29">#REF!</definedName>
    <definedName name="K8F2" localSheetId="33">#REF!</definedName>
    <definedName name="K8F2" localSheetId="38">#REF!</definedName>
    <definedName name="K8F2" localSheetId="40">#REF!</definedName>
    <definedName name="K8F2" localSheetId="43">#REF!</definedName>
    <definedName name="K8F2" localSheetId="52">#REF!</definedName>
    <definedName name="K8F2" localSheetId="2">#REF!</definedName>
    <definedName name="K8F2">#REF!</definedName>
    <definedName name="K9ALO" localSheetId="6">#REF!</definedName>
    <definedName name="K9ALO" localSheetId="7">#REF!</definedName>
    <definedName name="K9ALO" localSheetId="9">#REF!</definedName>
    <definedName name="K9ALO" localSheetId="4">#REF!</definedName>
    <definedName name="K9ALO" localSheetId="12">#REF!</definedName>
    <definedName name="K9ALO" localSheetId="13">#REF!</definedName>
    <definedName name="K9ALO" localSheetId="29">#REF!</definedName>
    <definedName name="K9ALO" localSheetId="33">#REF!</definedName>
    <definedName name="K9ALO" localSheetId="38">#REF!</definedName>
    <definedName name="K9ALO" localSheetId="40">#REF!</definedName>
    <definedName name="K9ALO" localSheetId="43">#REF!</definedName>
    <definedName name="K9ALO" localSheetId="52">#REF!</definedName>
    <definedName name="K9ALO" localSheetId="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" localSheetId="6" hidden="1">[39]OCTUBRE!#REF!</definedName>
    <definedName name="KK" localSheetId="7" hidden="1">[39]OCTUBRE!#REF!</definedName>
    <definedName name="KK" localSheetId="9" hidden="1">[39]OCTUBRE!#REF!</definedName>
    <definedName name="KK" localSheetId="4" hidden="1">[39]OCTUBRE!#REF!</definedName>
    <definedName name="KK" localSheetId="12" hidden="1">[39]OCTUBRE!#REF!</definedName>
    <definedName name="KK" localSheetId="13" hidden="1">[39]OCTUBRE!#REF!</definedName>
    <definedName name="KK" localSheetId="29" hidden="1">[39]OCTUBRE!#REF!</definedName>
    <definedName name="KK" localSheetId="33" hidden="1">[39]OCTUBRE!#REF!</definedName>
    <definedName name="KK" localSheetId="38" hidden="1">[39]OCTUBRE!#REF!</definedName>
    <definedName name="KK" localSheetId="40" hidden="1">[39]OCTUBRE!#REF!</definedName>
    <definedName name="KK" localSheetId="43" hidden="1">[39]OCTUBRE!#REF!</definedName>
    <definedName name="KK" localSheetId="52" hidden="1">[39]OCTUBRE!#REF!</definedName>
    <definedName name="KK" localSheetId="2" hidden="1">[39]OCTUBRE!#REF!</definedName>
    <definedName name="KK" hidden="1">[39]OCTUBRE!#REF!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#N/A</definedName>
    <definedName name="klklk" localSheetId="6">#REF!</definedName>
    <definedName name="klklk" localSheetId="7">#REF!</definedName>
    <definedName name="klklk" localSheetId="9">#REF!</definedName>
    <definedName name="klklk" localSheetId="4">#REF!</definedName>
    <definedName name="klklk" localSheetId="12">#REF!</definedName>
    <definedName name="klklk" localSheetId="13">#REF!</definedName>
    <definedName name="klklk" localSheetId="29">#REF!</definedName>
    <definedName name="klklk" localSheetId="33">#REF!</definedName>
    <definedName name="klklk" localSheetId="38">#REF!</definedName>
    <definedName name="klklk" localSheetId="40">#REF!</definedName>
    <definedName name="klklk" localSheetId="43">#REF!</definedName>
    <definedName name="klklk" localSheetId="52">#REF!</definedName>
    <definedName name="klklk" localSheetId="2">#REF!</definedName>
    <definedName name="klklk">#REF!</definedName>
    <definedName name="ko">[40]items!$C$4:$J$247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6">#REF!</definedName>
    <definedName name="LICITACION" localSheetId="7">#REF!</definedName>
    <definedName name="LICITACION" localSheetId="9">#REF!</definedName>
    <definedName name="LICITACION" localSheetId="4">#REF!</definedName>
    <definedName name="LICITACION" localSheetId="12">#REF!</definedName>
    <definedName name="LICITACION" localSheetId="13">#REF!</definedName>
    <definedName name="LICITACION" localSheetId="29">#REF!</definedName>
    <definedName name="LICITACION" localSheetId="33">#REF!</definedName>
    <definedName name="LICITACION" localSheetId="38">#REF!</definedName>
    <definedName name="LICITACION" localSheetId="40">#REF!</definedName>
    <definedName name="LICITACION" localSheetId="43">#REF!</definedName>
    <definedName name="LICITACION" localSheetId="52">#REF!</definedName>
    <definedName name="LICITACION" localSheetId="2">#REF!</definedName>
    <definedName name="LICITACION">#REF!</definedName>
    <definedName name="LINEA" localSheetId="6">[41]CONT_ADI!#REF!</definedName>
    <definedName name="LINEA" localSheetId="7">[41]CONT_ADI!#REF!</definedName>
    <definedName name="LINEA" localSheetId="9">[41]CONT_ADI!#REF!</definedName>
    <definedName name="LINEA" localSheetId="4">[41]CONT_ADI!#REF!</definedName>
    <definedName name="LINEA" localSheetId="12">[41]CONT_ADI!#REF!</definedName>
    <definedName name="LINEA" localSheetId="13">[41]CONT_ADI!#REF!</definedName>
    <definedName name="LINEA" localSheetId="29">[41]CONT_ADI!#REF!</definedName>
    <definedName name="LINEA" localSheetId="33">[41]CONT_ADI!#REF!</definedName>
    <definedName name="LINEA" localSheetId="38">[41]CONT_ADI!#REF!</definedName>
    <definedName name="LINEA" localSheetId="40">[41]CONT_ADI!#REF!</definedName>
    <definedName name="LINEA" localSheetId="43">[41]CONT_ADI!#REF!</definedName>
    <definedName name="LINEA" localSheetId="52">[41]CONT_ADI!#REF!</definedName>
    <definedName name="LINEA" localSheetId="2">[41]CONT_ADI!#REF!</definedName>
    <definedName name="LINEA">[41]CONT_ADI!#REF!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 localSheetId="6">[26]!absc</definedName>
    <definedName name="LOCA" localSheetId="7">[26]!absc</definedName>
    <definedName name="LOCA" localSheetId="9">[26]!absc</definedName>
    <definedName name="LOCA" localSheetId="4">[26]!absc</definedName>
    <definedName name="LOCA" localSheetId="12">[26]!absc</definedName>
    <definedName name="LOCA" localSheetId="13">[26]!absc</definedName>
    <definedName name="LOCA" localSheetId="29">[26]!absc</definedName>
    <definedName name="LOCA" localSheetId="33">[26]!absc</definedName>
    <definedName name="LOCA" localSheetId="38">[26]!absc</definedName>
    <definedName name="LOCA" localSheetId="40">[26]!absc</definedName>
    <definedName name="LOCA" localSheetId="43">[26]!absc</definedName>
    <definedName name="LOCA" localSheetId="52">[26]!absc</definedName>
    <definedName name="LOCA" localSheetId="2">[26]!absc</definedName>
    <definedName name="LOCA">[26]!absc</definedName>
    <definedName name="LOCA1" localSheetId="6">[26]!absc</definedName>
    <definedName name="LOCA1" localSheetId="7">[26]!absc</definedName>
    <definedName name="LOCA1" localSheetId="9">[26]!absc</definedName>
    <definedName name="LOCA1" localSheetId="4">[26]!absc</definedName>
    <definedName name="LOCA1" localSheetId="12">[26]!absc</definedName>
    <definedName name="LOCA1" localSheetId="13">[26]!absc</definedName>
    <definedName name="LOCA1" localSheetId="29">[26]!absc</definedName>
    <definedName name="LOCA1" localSheetId="33">[26]!absc</definedName>
    <definedName name="LOCA1" localSheetId="38">[26]!absc</definedName>
    <definedName name="LOCA1" localSheetId="40">[26]!absc</definedName>
    <definedName name="LOCA1" localSheetId="43">[26]!absc</definedName>
    <definedName name="LOCA1" localSheetId="52">[26]!absc</definedName>
    <definedName name="LOCA1" localSheetId="2">[26]!absc</definedName>
    <definedName name="LOCA1">[26]!absc</definedName>
    <definedName name="LOCALIZACION_Y_REPLANTEO" localSheetId="6">#REF!</definedName>
    <definedName name="LOCALIZACION_Y_REPLANTEO" localSheetId="7">#REF!</definedName>
    <definedName name="LOCALIZACION_Y_REPLANTEO" localSheetId="9">#REF!</definedName>
    <definedName name="LOCALIZACION_Y_REPLANTEO" localSheetId="4">#REF!</definedName>
    <definedName name="LOCALIZACION_Y_REPLANTEO" localSheetId="12">#REF!</definedName>
    <definedName name="LOCALIZACION_Y_REPLANTEO" localSheetId="13">#REF!</definedName>
    <definedName name="LOCALIZACION_Y_REPLANTEO" localSheetId="29">#REF!</definedName>
    <definedName name="LOCALIZACION_Y_REPLANTEO" localSheetId="33">#REF!</definedName>
    <definedName name="LOCALIZACION_Y_REPLANTEO" localSheetId="38">#REF!</definedName>
    <definedName name="LOCALIZACION_Y_REPLANTEO" localSheetId="40">#REF!</definedName>
    <definedName name="LOCALIZACION_Y_REPLANTEO" localSheetId="43">#REF!</definedName>
    <definedName name="LOCALIZACION_Y_REPLANTEO" localSheetId="52">#REF!</definedName>
    <definedName name="LOCALIZACION_Y_REPLANTEO" localSheetId="2">#REF!</definedName>
    <definedName name="LOCALIZACION_Y_REPLANTEO">#REF!</definedName>
    <definedName name="LOGO">#N/A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n" localSheetId="6">'[22]Res-Accide-10'!#REF!</definedName>
    <definedName name="lun" localSheetId="7">'[22]Res-Accide-10'!#REF!</definedName>
    <definedName name="lun" localSheetId="9">'[22]Res-Accide-10'!#REF!</definedName>
    <definedName name="lun" localSheetId="4">'[22]Res-Accide-10'!#REF!</definedName>
    <definedName name="lun" localSheetId="12">'[22]Res-Accide-10'!#REF!</definedName>
    <definedName name="lun" localSheetId="13">'[22]Res-Accide-10'!#REF!</definedName>
    <definedName name="lun" localSheetId="29">'[22]Res-Accide-10'!#REF!</definedName>
    <definedName name="lun" localSheetId="33">'[22]Res-Accide-10'!#REF!</definedName>
    <definedName name="lun" localSheetId="38">'[22]Res-Accide-10'!#REF!</definedName>
    <definedName name="lun" localSheetId="40">'[22]Res-Accide-10'!#REF!</definedName>
    <definedName name="lun" localSheetId="43">'[22]Res-Accide-10'!#REF!</definedName>
    <definedName name="lun" localSheetId="52">'[22]Res-Accide-10'!#REF!</definedName>
    <definedName name="lun" localSheetId="2">'[22]Res-Accide-10'!#REF!</definedName>
    <definedName name="lun">'[22]Res-Accide-10'!#REF!</definedName>
    <definedName name="MA" localSheetId="6">'[22]Res-Accide-10'!#REF!</definedName>
    <definedName name="MA" localSheetId="7">'[22]Res-Accide-10'!#REF!</definedName>
    <definedName name="MA" localSheetId="9">'[22]Res-Accide-10'!#REF!</definedName>
    <definedName name="MA" localSheetId="4">'[22]Res-Accide-10'!#REF!</definedName>
    <definedName name="MA" localSheetId="12">'[22]Res-Accide-10'!#REF!</definedName>
    <definedName name="MA" localSheetId="13">'[22]Res-Accide-10'!#REF!</definedName>
    <definedName name="MA" localSheetId="29">'[22]Res-Accide-10'!#REF!</definedName>
    <definedName name="MA" localSheetId="33">'[22]Res-Accide-10'!#REF!</definedName>
    <definedName name="MA" localSheetId="38">'[22]Res-Accide-10'!#REF!</definedName>
    <definedName name="MA" localSheetId="40">'[22]Res-Accide-10'!#REF!</definedName>
    <definedName name="MA" localSheetId="43">'[22]Res-Accide-10'!#REF!</definedName>
    <definedName name="MA" localSheetId="52">'[22]Res-Accide-10'!#REF!</definedName>
    <definedName name="MA" localSheetId="2">'[22]Res-Accide-10'!#REF!</definedName>
    <definedName name="MA">'[22]Res-Accide-10'!#REF!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[28]Insum!$A$68:$H$98</definedName>
    <definedName name="mar" localSheetId="6">'[22]Res-Accide-10'!#REF!</definedName>
    <definedName name="mar" localSheetId="7">'[22]Res-Accide-10'!#REF!</definedName>
    <definedName name="mar" localSheetId="9">'[22]Res-Accide-10'!#REF!</definedName>
    <definedName name="mar" localSheetId="4">'[22]Res-Accide-10'!#REF!</definedName>
    <definedName name="mar" localSheetId="12">'[22]Res-Accide-10'!#REF!</definedName>
    <definedName name="mar" localSheetId="13">'[22]Res-Accide-10'!#REF!</definedName>
    <definedName name="mar" localSheetId="29">'[22]Res-Accide-10'!#REF!</definedName>
    <definedName name="mar" localSheetId="33">'[22]Res-Accide-10'!#REF!</definedName>
    <definedName name="mar" localSheetId="38">'[22]Res-Accide-10'!#REF!</definedName>
    <definedName name="mar" localSheetId="40">'[22]Res-Accide-10'!#REF!</definedName>
    <definedName name="mar" localSheetId="43">'[22]Res-Accide-10'!#REF!</definedName>
    <definedName name="mar" localSheetId="52">'[22]Res-Accide-10'!#REF!</definedName>
    <definedName name="mar" localSheetId="2">'[22]Res-Accide-10'!#REF!</definedName>
    <definedName name="mar">'[22]Res-Accide-10'!#REF!</definedName>
    <definedName name="masor" hidden="1">{"via1",#N/A,TRUE,"general";"via2",#N/A,TRUE,"general";"via3",#N/A,TRUE,"general"}</definedName>
    <definedName name="MAT" localSheetId="6">#REF!</definedName>
    <definedName name="MAT" localSheetId="7">#REF!</definedName>
    <definedName name="MAT" localSheetId="9">#REF!</definedName>
    <definedName name="MAT" localSheetId="4">#REF!</definedName>
    <definedName name="MAT" localSheetId="12">#REF!</definedName>
    <definedName name="MAT" localSheetId="13">#REF!</definedName>
    <definedName name="MAT" localSheetId="29">#REF!</definedName>
    <definedName name="MAT" localSheetId="33">#REF!</definedName>
    <definedName name="MAT" localSheetId="38">#REF!</definedName>
    <definedName name="MAT" localSheetId="40">#REF!</definedName>
    <definedName name="MAT" localSheetId="43">#REF!</definedName>
    <definedName name="MAT" localSheetId="52">#REF!</definedName>
    <definedName name="MAT" localSheetId="2">#REF!</definedName>
    <definedName name="MAT">#REF!</definedName>
    <definedName name="materiales">[32]materiales!$A$7:$A$1317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S">[9]PRESUPUESTO!$C$13</definedName>
    <definedName name="MESES" localSheetId="6">#REF!</definedName>
    <definedName name="MESES" localSheetId="7">#REF!</definedName>
    <definedName name="MESES" localSheetId="9">#REF!</definedName>
    <definedName name="MESES" localSheetId="4">#REF!</definedName>
    <definedName name="MESES" localSheetId="12">#REF!</definedName>
    <definedName name="MESES" localSheetId="13">#REF!</definedName>
    <definedName name="MESES" localSheetId="29">#REF!</definedName>
    <definedName name="MESES" localSheetId="33">#REF!</definedName>
    <definedName name="MESES" localSheetId="38">#REF!</definedName>
    <definedName name="MESES" localSheetId="40">#REF!</definedName>
    <definedName name="MESES" localSheetId="43">#REF!</definedName>
    <definedName name="MESES" localSheetId="52">#REF!</definedName>
    <definedName name="MESES" localSheetId="2">#REF!</definedName>
    <definedName name="MESES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C">'[42]BASE DATOS'!$A$59:$D$99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TL" localSheetId="6" hidden="1">#REF!</definedName>
    <definedName name="MTL" localSheetId="7" hidden="1">#REF!</definedName>
    <definedName name="MTL" localSheetId="9" hidden="1">#REF!</definedName>
    <definedName name="MTL" localSheetId="4" hidden="1">#REF!</definedName>
    <definedName name="MTL" localSheetId="12" hidden="1">#REF!</definedName>
    <definedName name="MTL" localSheetId="13" hidden="1">#REF!</definedName>
    <definedName name="MTL" localSheetId="29" hidden="1">#REF!</definedName>
    <definedName name="MTL" localSheetId="33" hidden="1">#REF!</definedName>
    <definedName name="MTL" localSheetId="38" hidden="1">#REF!</definedName>
    <definedName name="MTL" localSheetId="40" hidden="1">#REF!</definedName>
    <definedName name="MTL" localSheetId="43" hidden="1">#REF!</definedName>
    <definedName name="MTL" localSheetId="52" hidden="1">#REF!</definedName>
    <definedName name="MTL" localSheetId="2" hidden="1">#REF!</definedName>
    <definedName name="MTL" hidden="1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#N/A</definedName>
    <definedName name="NOMBRE" localSheetId="6">#REF!</definedName>
    <definedName name="NOMBRE" localSheetId="7">#REF!</definedName>
    <definedName name="NOMBRE" localSheetId="9">#REF!</definedName>
    <definedName name="NOMBRE" localSheetId="4">#REF!</definedName>
    <definedName name="NOMBRE" localSheetId="12">#REF!</definedName>
    <definedName name="NOMBRE" localSheetId="13">#REF!</definedName>
    <definedName name="NOMBRE" localSheetId="29">#REF!</definedName>
    <definedName name="NOMBRE" localSheetId="33">#REF!</definedName>
    <definedName name="NOMBRE" localSheetId="38">#REF!</definedName>
    <definedName name="NOMBRE" localSheetId="40">#REF!</definedName>
    <definedName name="NOMBRE" localSheetId="43">#REF!</definedName>
    <definedName name="NOMBRE" localSheetId="52">#REF!</definedName>
    <definedName name="NOMBRE" localSheetId="2">#REF!</definedName>
    <definedName name="NOMBRE">#REF!</definedName>
    <definedName name="NUEVO" localSheetId="6">#REF!</definedName>
    <definedName name="NUEVO" localSheetId="7">#REF!</definedName>
    <definedName name="NUEVO" localSheetId="9">#REF!</definedName>
    <definedName name="NUEVO" localSheetId="4">#REF!</definedName>
    <definedName name="NUEVO" localSheetId="12">#REF!</definedName>
    <definedName name="NUEVO" localSheetId="13">#REF!</definedName>
    <definedName name="NUEVO" localSheetId="29">#REF!</definedName>
    <definedName name="NUEVO" localSheetId="33">#REF!</definedName>
    <definedName name="NUEVO" localSheetId="38">#REF!</definedName>
    <definedName name="NUEVO" localSheetId="40">#REF!</definedName>
    <definedName name="NUEVO" localSheetId="43">#REF!</definedName>
    <definedName name="NUEVO" localSheetId="52">#REF!</definedName>
    <definedName name="NUEVO" localSheetId="2">#REF!</definedName>
    <definedName name="NUEVO">#REF!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º1" localSheetId="6">#REF!</definedName>
    <definedName name="º1" localSheetId="7">#REF!</definedName>
    <definedName name="º1" localSheetId="9">#REF!</definedName>
    <definedName name="º1" localSheetId="4">#REF!</definedName>
    <definedName name="º1" localSheetId="12">#REF!</definedName>
    <definedName name="º1" localSheetId="13">#REF!</definedName>
    <definedName name="º1" localSheetId="29">#REF!</definedName>
    <definedName name="º1" localSheetId="33">#REF!</definedName>
    <definedName name="º1" localSheetId="38">#REF!</definedName>
    <definedName name="º1" localSheetId="40">#REF!</definedName>
    <definedName name="º1" localSheetId="43">#REF!</definedName>
    <definedName name="º1" localSheetId="52">#REF!</definedName>
    <definedName name="º1" localSheetId="2">#REF!</definedName>
    <definedName name="º1">#REF!</definedName>
    <definedName name="o9o9" hidden="1">{"via1",#N/A,TRUE,"general";"via2",#N/A,TRUE,"general";"via3",#N/A,TRUE,"general"}</definedName>
    <definedName name="OBJ">[9]PRESUPUESTO!$C$10</definedName>
    <definedName name="Obra" localSheetId="6">#REF!</definedName>
    <definedName name="Obra" localSheetId="7">#REF!</definedName>
    <definedName name="Obra" localSheetId="9">#REF!</definedName>
    <definedName name="Obra" localSheetId="4">#REF!</definedName>
    <definedName name="Obra" localSheetId="12">#REF!</definedName>
    <definedName name="Obra" localSheetId="13">#REF!</definedName>
    <definedName name="Obra" localSheetId="29">#REF!</definedName>
    <definedName name="Obra" localSheetId="33">#REF!</definedName>
    <definedName name="Obra" localSheetId="38">#REF!</definedName>
    <definedName name="Obra" localSheetId="40">#REF!</definedName>
    <definedName name="Obra" localSheetId="43">#REF!</definedName>
    <definedName name="Obra" localSheetId="52">#REF!</definedName>
    <definedName name="Obra" localSheetId="2">#REF!</definedName>
    <definedName name="Obra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jo" localSheetId="6" hidden="1">[43]OCTUBRE!#REF!</definedName>
    <definedName name="Ojo" localSheetId="7" hidden="1">[43]OCTUBRE!#REF!</definedName>
    <definedName name="Ojo" localSheetId="9" hidden="1">[43]OCTUBRE!#REF!</definedName>
    <definedName name="Ojo" localSheetId="4" hidden="1">[43]OCTUBRE!#REF!</definedName>
    <definedName name="Ojo" localSheetId="12" hidden="1">[43]OCTUBRE!#REF!</definedName>
    <definedName name="Ojo" localSheetId="13" hidden="1">[43]OCTUBRE!#REF!</definedName>
    <definedName name="Ojo" localSheetId="29" hidden="1">[43]OCTUBRE!#REF!</definedName>
    <definedName name="Ojo" localSheetId="33" hidden="1">[43]OCTUBRE!#REF!</definedName>
    <definedName name="Ojo" localSheetId="38" hidden="1">[43]OCTUBRE!#REF!</definedName>
    <definedName name="Ojo" localSheetId="40" hidden="1">[43]OCTUBRE!#REF!</definedName>
    <definedName name="Ojo" localSheetId="43" hidden="1">[43]OCTUBRE!#REF!</definedName>
    <definedName name="Ojo" localSheetId="52" hidden="1">[43]OCTUBRE!#REF!</definedName>
    <definedName name="Ojo" localSheetId="2" hidden="1">[43]OCTUBRE!#REF!</definedName>
    <definedName name="Ojo" hidden="1">[43]OCTUBRE!#REF!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[32]otros!$A$6:$A$1235</definedName>
    <definedName name="p0p0" hidden="1">{"via1",#N/A,TRUE,"general";"via2",#N/A,TRUE,"general";"via3",#N/A,TRUE,"general"}</definedName>
    <definedName name="pendiente" localSheetId="6" hidden="1">[43]OCTUBRE!#REF!</definedName>
    <definedName name="pendiente" localSheetId="7" hidden="1">[43]OCTUBRE!#REF!</definedName>
    <definedName name="pendiente" localSheetId="9" hidden="1">[43]OCTUBRE!#REF!</definedName>
    <definedName name="pendiente" localSheetId="4" hidden="1">[43]OCTUBRE!#REF!</definedName>
    <definedName name="pendiente" localSheetId="12" hidden="1">[43]OCTUBRE!#REF!</definedName>
    <definedName name="pendiente" localSheetId="13" hidden="1">[43]OCTUBRE!#REF!</definedName>
    <definedName name="pendiente" localSheetId="29" hidden="1">[43]OCTUBRE!#REF!</definedName>
    <definedName name="pendiente" localSheetId="33" hidden="1">[43]OCTUBRE!#REF!</definedName>
    <definedName name="pendiente" localSheetId="38" hidden="1">[43]OCTUBRE!#REF!</definedName>
    <definedName name="pendiente" localSheetId="40" hidden="1">[43]OCTUBRE!#REF!</definedName>
    <definedName name="pendiente" localSheetId="43" hidden="1">[43]OCTUBRE!#REF!</definedName>
    <definedName name="pendiente" localSheetId="52" hidden="1">[43]OCTUBRE!#REF!</definedName>
    <definedName name="pendiente" localSheetId="2" hidden="1">[43]OCTUBRE!#REF!</definedName>
    <definedName name="pendiente" hidden="1">[43]OCTUBRE!#REF!</definedName>
    <definedName name="PEPE">#N/A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[20]BASES!$E$27</definedName>
    <definedName name="PlazoAIU" localSheetId="6">#REF!</definedName>
    <definedName name="PlazoAIU" localSheetId="7">#REF!</definedName>
    <definedName name="PlazoAIU" localSheetId="9">#REF!</definedName>
    <definedName name="PlazoAIU" localSheetId="4">#REF!</definedName>
    <definedName name="PlazoAIU" localSheetId="12">#REF!</definedName>
    <definedName name="PlazoAIU" localSheetId="13">#REF!</definedName>
    <definedName name="PlazoAIU" localSheetId="29">#REF!</definedName>
    <definedName name="PlazoAIU" localSheetId="33">#REF!</definedName>
    <definedName name="PlazoAIU" localSheetId="38">#REF!</definedName>
    <definedName name="PlazoAIU" localSheetId="40">#REF!</definedName>
    <definedName name="PlazoAIU" localSheetId="43">#REF!</definedName>
    <definedName name="PlazoAIU" localSheetId="52">#REF!</definedName>
    <definedName name="PlazoAIU" localSheetId="2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 localSheetId="6">#REF!</definedName>
    <definedName name="POCETAS" localSheetId="7">#REF!</definedName>
    <definedName name="POCETAS" localSheetId="9">#REF!</definedName>
    <definedName name="POCETAS" localSheetId="4">#REF!</definedName>
    <definedName name="POCETAS" localSheetId="12">#REF!</definedName>
    <definedName name="POCETAS" localSheetId="13">#REF!</definedName>
    <definedName name="POCETAS" localSheetId="29">#REF!</definedName>
    <definedName name="POCETAS" localSheetId="33">#REF!</definedName>
    <definedName name="POCETAS" localSheetId="38">#REF!</definedName>
    <definedName name="POCETAS" localSheetId="40">#REF!</definedName>
    <definedName name="POCETAS" localSheetId="43">#REF!</definedName>
    <definedName name="POCETAS" localSheetId="52">#REF!</definedName>
    <definedName name="POCETAS" localSheetId="2">#REF!</definedName>
    <definedName name="POCETAS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 localSheetId="6">#REF!</definedName>
    <definedName name="popu" localSheetId="7">#REF!</definedName>
    <definedName name="popu" localSheetId="9">#REF!</definedName>
    <definedName name="popu" localSheetId="4">#REF!</definedName>
    <definedName name="popu" localSheetId="12">#REF!</definedName>
    <definedName name="popu" localSheetId="13">#REF!</definedName>
    <definedName name="popu" localSheetId="29">#REF!</definedName>
    <definedName name="popu" localSheetId="33">#REF!</definedName>
    <definedName name="popu" localSheetId="38">#REF!</definedName>
    <definedName name="popu" localSheetId="40">#REF!</definedName>
    <definedName name="popu" localSheetId="43">#REF!</definedName>
    <definedName name="popu" localSheetId="52">#REF!</definedName>
    <definedName name="popu" localSheetId="2">#REF!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 localSheetId="6">#REF!</definedName>
    <definedName name="porc" localSheetId="7">#REF!</definedName>
    <definedName name="porc" localSheetId="9">#REF!</definedName>
    <definedName name="porc" localSheetId="4">#REF!</definedName>
    <definedName name="porc" localSheetId="12">#REF!</definedName>
    <definedName name="porc" localSheetId="13">#REF!</definedName>
    <definedName name="porc" localSheetId="29">#REF!</definedName>
    <definedName name="porc" localSheetId="33">#REF!</definedName>
    <definedName name="porc" localSheetId="38">#REF!</definedName>
    <definedName name="porc" localSheetId="40">#REF!</definedName>
    <definedName name="porc" localSheetId="43">#REF!</definedName>
    <definedName name="porc" localSheetId="52">#REF!</definedName>
    <definedName name="porc" localSheetId="2">#REF!</definedName>
    <definedName name="porc">#REF!</definedName>
    <definedName name="PORCE">[21]BASES!$E$26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6">#REF!</definedName>
    <definedName name="PRE" localSheetId="7">#REF!</definedName>
    <definedName name="PRE" localSheetId="9">#REF!</definedName>
    <definedName name="PRE" localSheetId="4">#REF!</definedName>
    <definedName name="PRE" localSheetId="12">#REF!</definedName>
    <definedName name="PRE" localSheetId="13">#REF!</definedName>
    <definedName name="PRE" localSheetId="29">#REF!</definedName>
    <definedName name="PRE" localSheetId="33">#REF!</definedName>
    <definedName name="PRE" localSheetId="38">#REF!</definedName>
    <definedName name="PRE" localSheetId="40">#REF!</definedName>
    <definedName name="PRE" localSheetId="43">#REF!</definedName>
    <definedName name="PRE" localSheetId="52">#REF!</definedName>
    <definedName name="PRE" localSheetId="2">#REF!</definedName>
    <definedName name="PRE">#REF!</definedName>
    <definedName name="PREST" localSheetId="6">#REF!</definedName>
    <definedName name="PREST" localSheetId="7">#REF!</definedName>
    <definedName name="PREST" localSheetId="9">#REF!</definedName>
    <definedName name="PREST" localSheetId="4">#REF!</definedName>
    <definedName name="PREST" localSheetId="12">#REF!</definedName>
    <definedName name="PREST" localSheetId="13">#REF!</definedName>
    <definedName name="PREST" localSheetId="29">#REF!</definedName>
    <definedName name="PREST" localSheetId="33">#REF!</definedName>
    <definedName name="PREST" localSheetId="38">#REF!</definedName>
    <definedName name="PREST" localSheetId="40">#REF!</definedName>
    <definedName name="PREST" localSheetId="43">#REF!</definedName>
    <definedName name="PREST" localSheetId="52">#REF!</definedName>
    <definedName name="PREST" localSheetId="2">#REF!</definedName>
    <definedName name="PREST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4">#REF!</definedName>
    <definedName name="Print_Area_MI" localSheetId="12">#REF!</definedName>
    <definedName name="Print_Area_MI" localSheetId="13">#REF!</definedName>
    <definedName name="Print_Area_MI" localSheetId="29">#REF!</definedName>
    <definedName name="Print_Area_MI" localSheetId="33">#REF!</definedName>
    <definedName name="Print_Area_MI" localSheetId="38">#REF!</definedName>
    <definedName name="Print_Area_MI" localSheetId="40">#REF!</definedName>
    <definedName name="Print_Area_MI" localSheetId="43">#REF!</definedName>
    <definedName name="Print_Area_MI" localSheetId="52">#REF!</definedName>
    <definedName name="Print_Area_MI" localSheetId="2">#REF!</definedName>
    <definedName name="Print_Area_MI">#REF!</definedName>
    <definedName name="PRINT_TITLES">#N/A</definedName>
    <definedName name="PRINT_TITLES_MI">#N/A</definedName>
    <definedName name="PrOfic">[20]BASES!$B$31</definedName>
    <definedName name="PROG" localSheetId="6" hidden="1">#REF!</definedName>
    <definedName name="PROG" localSheetId="7" hidden="1">#REF!</definedName>
    <definedName name="PROG" localSheetId="9" hidden="1">#REF!</definedName>
    <definedName name="PROG" localSheetId="4" hidden="1">#REF!</definedName>
    <definedName name="PROG" localSheetId="12" hidden="1">#REF!</definedName>
    <definedName name="PROG" localSheetId="13" hidden="1">#REF!</definedName>
    <definedName name="PROG" localSheetId="29" hidden="1">#REF!</definedName>
    <definedName name="PROG" localSheetId="33" hidden="1">#REF!</definedName>
    <definedName name="PROG" localSheetId="38" hidden="1">#REF!</definedName>
    <definedName name="PROG" localSheetId="40" hidden="1">#REF!</definedName>
    <definedName name="PROG" localSheetId="43" hidden="1">#REF!</definedName>
    <definedName name="PROG" localSheetId="52" hidden="1">#REF!</definedName>
    <definedName name="PROG" localSheetId="2" hidden="1">#REF!</definedName>
    <definedName name="PROG" hidden="1">#REF!</definedName>
    <definedName name="programainv">#N/A</definedName>
    <definedName name="Proponente" localSheetId="6">#REF!</definedName>
    <definedName name="Proponente" localSheetId="7">#REF!</definedName>
    <definedName name="Proponente" localSheetId="9">#REF!</definedName>
    <definedName name="Proponente" localSheetId="4">#REF!</definedName>
    <definedName name="Proponente" localSheetId="12">#REF!</definedName>
    <definedName name="Proponente" localSheetId="13">#REF!</definedName>
    <definedName name="Proponente" localSheetId="29">#REF!</definedName>
    <definedName name="Proponente" localSheetId="33">#REF!</definedName>
    <definedName name="Proponente" localSheetId="38">#REF!</definedName>
    <definedName name="Proponente" localSheetId="40">#REF!</definedName>
    <definedName name="Proponente" localSheetId="43">#REF!</definedName>
    <definedName name="Proponente" localSheetId="52">#REF!</definedName>
    <definedName name="Proponente" localSheetId="2">#REF!</definedName>
    <definedName name="Proponente">#REF!</definedName>
    <definedName name="PRUEBA" localSheetId="6">[44]!absc</definedName>
    <definedName name="PRUEBA" localSheetId="7">[44]!absc</definedName>
    <definedName name="PRUEBA" localSheetId="9">[44]!absc</definedName>
    <definedName name="PRUEBA" localSheetId="4">[44]!absc</definedName>
    <definedName name="PRUEBA" localSheetId="12">[44]!absc</definedName>
    <definedName name="PRUEBA" localSheetId="13">[44]!absc</definedName>
    <definedName name="PRUEBA" localSheetId="29">[44]!absc</definedName>
    <definedName name="PRUEBA" localSheetId="33">[44]!absc</definedName>
    <definedName name="PRUEBA" localSheetId="38">[44]!absc</definedName>
    <definedName name="PRUEBA" localSheetId="40">[44]!absc</definedName>
    <definedName name="PRUEBA" localSheetId="43">[44]!absc</definedName>
    <definedName name="PRUEBA" localSheetId="52">[44]!absc</definedName>
    <definedName name="PRUEBA" localSheetId="2">[44]!absc</definedName>
    <definedName name="PRUEBA">[44]!absc</definedName>
    <definedName name="prueba1" localSheetId="6">[44]!absc</definedName>
    <definedName name="prueba1" localSheetId="7">[44]!absc</definedName>
    <definedName name="prueba1" localSheetId="9">[44]!absc</definedName>
    <definedName name="prueba1" localSheetId="4">[44]!absc</definedName>
    <definedName name="prueba1" localSheetId="12">[44]!absc</definedName>
    <definedName name="prueba1" localSheetId="13">[44]!absc</definedName>
    <definedName name="prueba1" localSheetId="29">[44]!absc</definedName>
    <definedName name="prueba1" localSheetId="33">[44]!absc</definedName>
    <definedName name="prueba1" localSheetId="38">[44]!absc</definedName>
    <definedName name="prueba1" localSheetId="40">[44]!absc</definedName>
    <definedName name="prueba1" localSheetId="43">[44]!absc</definedName>
    <definedName name="prueba1" localSheetId="52">[44]!absc</definedName>
    <definedName name="prueba1" localSheetId="2">[44]!absc</definedName>
    <definedName name="prueba1">[44]!absc</definedName>
    <definedName name="PRUEBA2" localSheetId="6">#REF!</definedName>
    <definedName name="PRUEBA2" localSheetId="7">#REF!</definedName>
    <definedName name="PRUEBA2" localSheetId="9">#REF!</definedName>
    <definedName name="PRUEBA2" localSheetId="4">#REF!</definedName>
    <definedName name="PRUEBA2" localSheetId="12">#REF!</definedName>
    <definedName name="PRUEBA2" localSheetId="13">#REF!</definedName>
    <definedName name="PRUEBA2" localSheetId="29">#REF!</definedName>
    <definedName name="PRUEBA2" localSheetId="33">#REF!</definedName>
    <definedName name="PRUEBA2" localSheetId="38">#REF!</definedName>
    <definedName name="PRUEBA2" localSheetId="40">#REF!</definedName>
    <definedName name="PRUEBA2" localSheetId="43">#REF!</definedName>
    <definedName name="PRUEBA2" localSheetId="52">#REF!</definedName>
    <definedName name="PRUEBA2" localSheetId="2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 localSheetId="6">#REF!</definedName>
    <definedName name="qaz" localSheetId="7">#REF!</definedName>
    <definedName name="qaz" localSheetId="9">#REF!</definedName>
    <definedName name="qaz" localSheetId="4">#REF!</definedName>
    <definedName name="qaz" localSheetId="12">#REF!</definedName>
    <definedName name="qaz" localSheetId="13">#REF!</definedName>
    <definedName name="qaz" localSheetId="29">#REF!</definedName>
    <definedName name="qaz" localSheetId="33">#REF!</definedName>
    <definedName name="qaz" localSheetId="38">#REF!</definedName>
    <definedName name="qaz" localSheetId="40">#REF!</definedName>
    <definedName name="qaz" localSheetId="43">#REF!</definedName>
    <definedName name="qaz" localSheetId="52">#REF!</definedName>
    <definedName name="qaz" localSheetId="2">#REF!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uincenas">{"";"diez";"once";"doce";"trece";"catorce";"quince"}&amp;" "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#N/A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ional">[25]CARRETERAS!$A$2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#N/A</definedName>
    <definedName name="reinicio">#N/A</definedName>
    <definedName name="REJHE" hidden="1">{"via1",#N/A,TRUE,"general";"via2",#N/A,TRUE,"general";"via3",#N/A,TRUE,"general"}</definedName>
    <definedName name="rell" localSheetId="6">#REF!</definedName>
    <definedName name="rell" localSheetId="7">#REF!</definedName>
    <definedName name="rell" localSheetId="9">#REF!</definedName>
    <definedName name="rell" localSheetId="4">#REF!</definedName>
    <definedName name="rell" localSheetId="12">#REF!</definedName>
    <definedName name="rell" localSheetId="13">#REF!</definedName>
    <definedName name="rell" localSheetId="29">#REF!</definedName>
    <definedName name="rell" localSheetId="33">#REF!</definedName>
    <definedName name="rell" localSheetId="38">#REF!</definedName>
    <definedName name="rell" localSheetId="40">#REF!</definedName>
    <definedName name="rell" localSheetId="43">#REF!</definedName>
    <definedName name="rell" localSheetId="52">#REF!</definedName>
    <definedName name="rell" localSheetId="2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'[25]GENERALIDADES '!$E$9</definedName>
    <definedName name="Retenc">[20]BASES!$E$31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>#N/A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[45]items!$C$4:$J$248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#N/A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#N/A</definedName>
    <definedName name="SalMinimo">[20]BASES!$E$41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 localSheetId="6">#REF!</definedName>
    <definedName name="SECTOR" localSheetId="7">#REF!</definedName>
    <definedName name="SECTOR" localSheetId="9">#REF!</definedName>
    <definedName name="SECTOR" localSheetId="4">#REF!</definedName>
    <definedName name="SECTOR" localSheetId="12">#REF!</definedName>
    <definedName name="SECTOR" localSheetId="13">#REF!</definedName>
    <definedName name="SECTOR" localSheetId="29">#REF!</definedName>
    <definedName name="SECTOR" localSheetId="33">#REF!</definedName>
    <definedName name="SECTOR" localSheetId="38">#REF!</definedName>
    <definedName name="SECTOR" localSheetId="40">#REF!</definedName>
    <definedName name="SECTOR" localSheetId="43">#REF!</definedName>
    <definedName name="SECTOR" localSheetId="52">#REF!</definedName>
    <definedName name="SECTOR" localSheetId="2">#REF!</definedName>
    <definedName name="SECTOR">#REF!</definedName>
    <definedName name="SERO">#N/A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I">#N/A</definedName>
    <definedName name="SISISIS">#N/A</definedName>
    <definedName name="solver_adj" localSheetId="2" hidden="1">Cantidades!#REF!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Cantidades!#REF!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Cantidades!#REF!</definedName>
    <definedName name="solver_pre" localSheetId="2" hidden="1">0.000001</definedName>
    <definedName name="solver_rel1" localSheetId="2" hidden="1">2</definedName>
    <definedName name="solver_rhs1" localSheetId="2" hidden="1">Cantidades!#REF!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63899000000</definedName>
    <definedName name="srwrwr" hidden="1">{"TAB1",#N/A,TRUE,"GENERAL";"TAB2",#N/A,TRUE,"GENERAL";"TAB3",#N/A,TRUE,"GENERAL";"TAB4",#N/A,TRUE,"GENERAL";"TAB5",#N/A,TRUE,"GENERAL"}</definedName>
    <definedName name="SS" localSheetId="6">#REF!</definedName>
    <definedName name="SS" localSheetId="7">#REF!</definedName>
    <definedName name="SS" localSheetId="9">#REF!</definedName>
    <definedName name="SS" localSheetId="4">#REF!</definedName>
    <definedName name="SS" localSheetId="12">#REF!</definedName>
    <definedName name="SS" localSheetId="13">#REF!</definedName>
    <definedName name="SS" localSheetId="29">#REF!</definedName>
    <definedName name="SS" localSheetId="33">#REF!</definedName>
    <definedName name="SS" localSheetId="38">#REF!</definedName>
    <definedName name="SS" localSheetId="40">#REF!</definedName>
    <definedName name="SS" localSheetId="43">#REF!</definedName>
    <definedName name="SS" localSheetId="52">#REF!</definedName>
    <definedName name="SS" localSheetId="2">#REF!</definedName>
    <definedName name="SS">#REF!</definedName>
    <definedName name="SSSS">#N/A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[27]Hoja1!$F$60</definedName>
    <definedName name="Summary" localSheetId="6">#REF!</definedName>
    <definedName name="Summary" localSheetId="7">#REF!</definedName>
    <definedName name="Summary" localSheetId="9">#REF!</definedName>
    <definedName name="Summary" localSheetId="4">#REF!</definedName>
    <definedName name="Summary" localSheetId="12">#REF!</definedName>
    <definedName name="Summary" localSheetId="13">#REF!</definedName>
    <definedName name="Summary" localSheetId="29">#REF!</definedName>
    <definedName name="Summary" localSheetId="33">#REF!</definedName>
    <definedName name="Summary" localSheetId="38">#REF!</definedName>
    <definedName name="Summary" localSheetId="40">#REF!</definedName>
    <definedName name="Summary" localSheetId="43">#REF!</definedName>
    <definedName name="Summary" localSheetId="52">#REF!</definedName>
    <definedName name="Summary" localSheetId="2">#REF!</definedName>
    <definedName name="Summary">#REF!</definedName>
    <definedName name="sw">#N/A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6">[4]!absc</definedName>
    <definedName name="t" localSheetId="7">[4]!absc</definedName>
    <definedName name="t" localSheetId="9">[4]!absc</definedName>
    <definedName name="t" localSheetId="4">[4]!absc</definedName>
    <definedName name="t" localSheetId="12">[4]!absc</definedName>
    <definedName name="t" localSheetId="13">[4]!absc</definedName>
    <definedName name="t" localSheetId="29">[4]!absc</definedName>
    <definedName name="t" localSheetId="33">[4]!absc</definedName>
    <definedName name="t" localSheetId="38">[4]!absc</definedName>
    <definedName name="t" localSheetId="40">[4]!absc</definedName>
    <definedName name="t" localSheetId="43">[4]!absc</definedName>
    <definedName name="t" localSheetId="52">[4]!absc</definedName>
    <definedName name="t" localSheetId="2">[4]!absc</definedName>
    <definedName name="t">[4]!absc</definedName>
    <definedName name="t5t5" hidden="1">{"TAB1",#N/A,TRUE,"GENERAL";"TAB2",#N/A,TRUE,"GENERAL";"TAB3",#N/A,TRUE,"GENERAL";"TAB4",#N/A,TRUE,"GENERAL";"TAB5",#N/A,TRUE,"GENERAL"}</definedName>
    <definedName name="TABLA" localSheetId="6">#REF!</definedName>
    <definedName name="TABLA" localSheetId="7">#REF!</definedName>
    <definedName name="TABLA" localSheetId="9">#REF!</definedName>
    <definedName name="TABLA" localSheetId="4">#REF!</definedName>
    <definedName name="TABLA" localSheetId="12">#REF!</definedName>
    <definedName name="TABLA" localSheetId="13">#REF!</definedName>
    <definedName name="TABLA" localSheetId="29">#REF!</definedName>
    <definedName name="TABLA" localSheetId="33">#REF!</definedName>
    <definedName name="TABLA" localSheetId="38">#REF!</definedName>
    <definedName name="TABLA" localSheetId="40">#REF!</definedName>
    <definedName name="TABLA" localSheetId="43">#REF!</definedName>
    <definedName name="TABLA" localSheetId="52">#REF!</definedName>
    <definedName name="TABLA" localSheetId="2">#REF!</definedName>
    <definedName name="TABLA">#REF!</definedName>
    <definedName name="TARIFAS">[46]TARIFAS!$A$1:$F$52</definedName>
    <definedName name="tdy" hidden="1">{"TAB1",#N/A,TRUE,"GENERAL";"TAB2",#N/A,TRUE,"GENERAL";"TAB3",#N/A,TRUE,"GENERAL";"TAB4",#N/A,TRUE,"GENERAL";"TAB5",#N/A,TRUE,"GENERAL"}</definedName>
    <definedName name="TER">#N/A</definedName>
    <definedName name="TERM">#N/A</definedName>
    <definedName name="TÉRMINOS">#N/A</definedName>
    <definedName name="TERR">[9]PRESUPUESTO!$I$7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[21]BASES!$E$27</definedName>
    <definedName name="TITULO" localSheetId="6">#REF!</definedName>
    <definedName name="TITULO" localSheetId="7">#REF!</definedName>
    <definedName name="TITULO" localSheetId="9">#REF!</definedName>
    <definedName name="TITULO" localSheetId="4">#REF!</definedName>
    <definedName name="TITULO" localSheetId="12">#REF!</definedName>
    <definedName name="TITULO" localSheetId="13">#REF!</definedName>
    <definedName name="TITULO" localSheetId="29">#REF!</definedName>
    <definedName name="TITULO" localSheetId="33">#REF!</definedName>
    <definedName name="TITULO" localSheetId="38">#REF!</definedName>
    <definedName name="TITULO" localSheetId="40">#REF!</definedName>
    <definedName name="TITULO" localSheetId="43">#REF!</definedName>
    <definedName name="TITULO" localSheetId="52">#REF!</definedName>
    <definedName name="TITULO" localSheetId="2">#REF!</definedName>
    <definedName name="TITULO">#REF!</definedName>
    <definedName name="_xlnm.Print_Titles" localSheetId="2">Cantidades!$3:$8</definedName>
    <definedName name="_xlnm.Print_Titles">#N/A</definedName>
    <definedName name="Títulos_a_imprimir_IM" localSheetId="6">#REF!</definedName>
    <definedName name="Títulos_a_imprimir_IM" localSheetId="7">#REF!</definedName>
    <definedName name="Títulos_a_imprimir_IM" localSheetId="9">#REF!</definedName>
    <definedName name="Títulos_a_imprimir_IM" localSheetId="4">#REF!</definedName>
    <definedName name="Títulos_a_imprimir_IM" localSheetId="12">#REF!</definedName>
    <definedName name="Títulos_a_imprimir_IM" localSheetId="13">#REF!</definedName>
    <definedName name="Títulos_a_imprimir_IM" localSheetId="29">#REF!</definedName>
    <definedName name="Títulos_a_imprimir_IM" localSheetId="33">#REF!</definedName>
    <definedName name="Títulos_a_imprimir_IM" localSheetId="38">#REF!</definedName>
    <definedName name="Títulos_a_imprimir_IM" localSheetId="40">#REF!</definedName>
    <definedName name="Títulos_a_imprimir_IM" localSheetId="43">#REF!</definedName>
    <definedName name="Títulos_a_imprimir_IM" localSheetId="52">#REF!</definedName>
    <definedName name="Títulos_a_imprimir_IM" localSheetId="2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6">#REF!</definedName>
    <definedName name="TOTAL" localSheetId="7">#REF!</definedName>
    <definedName name="TOTAL" localSheetId="9">#REF!</definedName>
    <definedName name="TOTAL" localSheetId="4">#REF!</definedName>
    <definedName name="TOTAL" localSheetId="12">#REF!</definedName>
    <definedName name="TOTAL" localSheetId="13">#REF!</definedName>
    <definedName name="TOTAL" localSheetId="29">#REF!</definedName>
    <definedName name="TOTAL" localSheetId="33">#REF!</definedName>
    <definedName name="TOTAL" localSheetId="38">#REF!</definedName>
    <definedName name="TOTAL" localSheetId="40">#REF!</definedName>
    <definedName name="TOTAL" localSheetId="43">#REF!</definedName>
    <definedName name="TOTAL" localSheetId="52">#REF!</definedName>
    <definedName name="TOTAL" localSheetId="2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[47]desmonte!$E$48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6">#REF!</definedName>
    <definedName name="TtCD" localSheetId="7">#REF!</definedName>
    <definedName name="TtCD" localSheetId="9">#REF!</definedName>
    <definedName name="TtCD" localSheetId="4">#REF!</definedName>
    <definedName name="TtCD" localSheetId="12">#REF!</definedName>
    <definedName name="TtCD" localSheetId="13">#REF!</definedName>
    <definedName name="TtCD" localSheetId="29">#REF!</definedName>
    <definedName name="TtCD" localSheetId="33">#REF!</definedName>
    <definedName name="TtCD" localSheetId="38">#REF!</definedName>
    <definedName name="TtCD" localSheetId="40">#REF!</definedName>
    <definedName name="TtCD" localSheetId="43">#REF!</definedName>
    <definedName name="TtCD" localSheetId="52">#REF!</definedName>
    <definedName name="TtCD" localSheetId="2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6">#REF!</definedName>
    <definedName name="U" localSheetId="7">#REF!</definedName>
    <definedName name="U" localSheetId="9">#REF!</definedName>
    <definedName name="U" localSheetId="4">#REF!</definedName>
    <definedName name="U" localSheetId="12">#REF!</definedName>
    <definedName name="U" localSheetId="13">#REF!</definedName>
    <definedName name="U" localSheetId="29">#REF!</definedName>
    <definedName name="U" localSheetId="33">#REF!</definedName>
    <definedName name="U" localSheetId="38">#REF!</definedName>
    <definedName name="U" localSheetId="40">#REF!</definedName>
    <definedName name="U" localSheetId="43">#REF!</definedName>
    <definedName name="U" localSheetId="52">#REF!</definedName>
    <definedName name="U" localSheetId="2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6">#REF!</definedName>
    <definedName name="Ubicación" localSheetId="7">#REF!</definedName>
    <definedName name="Ubicación" localSheetId="9">#REF!</definedName>
    <definedName name="Ubicación" localSheetId="4">#REF!</definedName>
    <definedName name="Ubicación" localSheetId="12">#REF!</definedName>
    <definedName name="Ubicación" localSheetId="13">#REF!</definedName>
    <definedName name="Ubicación" localSheetId="29">#REF!</definedName>
    <definedName name="Ubicación" localSheetId="33">#REF!</definedName>
    <definedName name="Ubicación" localSheetId="38">#REF!</definedName>
    <definedName name="Ubicación" localSheetId="40">#REF!</definedName>
    <definedName name="Ubicación" localSheetId="43">#REF!</definedName>
    <definedName name="Ubicación" localSheetId="52">#REF!</definedName>
    <definedName name="Ubicación" localSheetId="2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dades">{"";"un";"dos";"tres";"cuatro";"cinco";"seis";"siete";"ocho";"nueve"}</definedName>
    <definedName name="UNITARIO">[48]Unitarios!$A$3:$D$13</definedName>
    <definedName name="Unitarios" localSheetId="6">#REF!</definedName>
    <definedName name="Unitarios" localSheetId="7">#REF!</definedName>
    <definedName name="Unitarios" localSheetId="9">#REF!</definedName>
    <definedName name="Unitarios" localSheetId="4">#REF!</definedName>
    <definedName name="Unitarios" localSheetId="12">#REF!</definedName>
    <definedName name="Unitarios" localSheetId="13">#REF!</definedName>
    <definedName name="Unitarios" localSheetId="29">#REF!</definedName>
    <definedName name="Unitarios" localSheetId="33">#REF!</definedName>
    <definedName name="Unitarios" localSheetId="38">#REF!</definedName>
    <definedName name="Unitarios" localSheetId="40">#REF!</definedName>
    <definedName name="Unitarios" localSheetId="43">#REF!</definedName>
    <definedName name="Unitarios" localSheetId="52">#REF!</definedName>
    <definedName name="Unitarios" localSheetId="2">#REF!</definedName>
    <definedName name="Unitarios">#REF!</definedName>
    <definedName name="uno">#N/A</definedName>
    <definedName name="UOUIV" hidden="1">{"TAB1",#N/A,TRUE,"GENERAL";"TAB2",#N/A,TRUE,"GENERAL";"TAB3",#N/A,TRUE,"GENERAL";"TAB4",#N/A,TRUE,"GENERAL";"TAB5",#N/A,TRUE,"GENERAL"}</definedName>
    <definedName name="uriel">#N/A</definedName>
    <definedName name="uryur" hidden="1">{"TAB1",#N/A,TRUE,"GENERAL";"TAB2",#N/A,TRUE,"GENERAL";"TAB3",#N/A,TRUE,"GENERAL";"TAB4",#N/A,TRUE,"GENERAL";"TAB5",#N/A,TRUE,"GENERAL"}</definedName>
    <definedName name="UTL">[9]otros!$C$4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DES" localSheetId="6">#REF!</definedName>
    <definedName name="VALDES" localSheetId="7">#REF!</definedName>
    <definedName name="VALDES" localSheetId="9">#REF!</definedName>
    <definedName name="VALDES" localSheetId="4">#REF!</definedName>
    <definedName name="VALDES" localSheetId="12">#REF!</definedName>
    <definedName name="VALDES" localSheetId="13">#REF!</definedName>
    <definedName name="VALDES" localSheetId="29">#REF!</definedName>
    <definedName name="VALDES" localSheetId="33">#REF!</definedName>
    <definedName name="VALDES" localSheetId="38">#REF!</definedName>
    <definedName name="VALDES" localSheetId="40">#REF!</definedName>
    <definedName name="VALDES" localSheetId="43">#REF!</definedName>
    <definedName name="VALDES" localSheetId="52">#REF!</definedName>
    <definedName name="VALDES" localSheetId="2">#REF!</definedName>
    <definedName name="VALDES">#REF!</definedName>
    <definedName name="valor1" localSheetId="6">#REF!</definedName>
    <definedName name="valor1" localSheetId="7">#REF!</definedName>
    <definedName name="valor1" localSheetId="9">#REF!</definedName>
    <definedName name="valor1" localSheetId="4">#REF!</definedName>
    <definedName name="valor1" localSheetId="12">#REF!</definedName>
    <definedName name="valor1" localSheetId="13">#REF!</definedName>
    <definedName name="valor1" localSheetId="29">#REF!</definedName>
    <definedName name="valor1" localSheetId="33">#REF!</definedName>
    <definedName name="valor1" localSheetId="38">#REF!</definedName>
    <definedName name="valor1" localSheetId="40">#REF!</definedName>
    <definedName name="valor1" localSheetId="43">#REF!</definedName>
    <definedName name="valor1" localSheetId="52">#REF!</definedName>
    <definedName name="valor1" localSheetId="2">#REF!</definedName>
    <definedName name="valor1">#REF!</definedName>
    <definedName name="valor2" localSheetId="6">#REF!</definedName>
    <definedName name="valor2" localSheetId="7">#REF!</definedName>
    <definedName name="valor2" localSheetId="9">#REF!</definedName>
    <definedName name="valor2" localSheetId="4">#REF!</definedName>
    <definedName name="valor2" localSheetId="12">#REF!</definedName>
    <definedName name="valor2" localSheetId="13">#REF!</definedName>
    <definedName name="valor2" localSheetId="29">#REF!</definedName>
    <definedName name="valor2" localSheetId="33">#REF!</definedName>
    <definedName name="valor2" localSheetId="38">#REF!</definedName>
    <definedName name="valor2" localSheetId="40">#REF!</definedName>
    <definedName name="valor2" localSheetId="43">#REF!</definedName>
    <definedName name="valor2" localSheetId="52">#REF!</definedName>
    <definedName name="valor2" localSheetId="2">#REF!</definedName>
    <definedName name="valor2">#REF!</definedName>
    <definedName name="VALOR3" localSheetId="6">#REF!</definedName>
    <definedName name="VALOR3" localSheetId="7">#REF!</definedName>
    <definedName name="VALOR3" localSheetId="9">#REF!</definedName>
    <definedName name="VALOR3" localSheetId="4">#REF!</definedName>
    <definedName name="VALOR3" localSheetId="12">#REF!</definedName>
    <definedName name="VALOR3" localSheetId="13">#REF!</definedName>
    <definedName name="VALOR3" localSheetId="29">#REF!</definedName>
    <definedName name="VALOR3" localSheetId="33">#REF!</definedName>
    <definedName name="VALOR3" localSheetId="38">#REF!</definedName>
    <definedName name="VALOR3" localSheetId="40">#REF!</definedName>
    <definedName name="VALOR3" localSheetId="43">#REF!</definedName>
    <definedName name="VALOR3" localSheetId="52">#REF!</definedName>
    <definedName name="VALOR3" localSheetId="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6">#REF!</definedName>
    <definedName name="VentaAiu" localSheetId="7">#REF!</definedName>
    <definedName name="VentaAiu" localSheetId="9">#REF!</definedName>
    <definedName name="VentaAiu" localSheetId="4">#REF!</definedName>
    <definedName name="VentaAiu" localSheetId="12">#REF!</definedName>
    <definedName name="VentaAiu" localSheetId="13">#REF!</definedName>
    <definedName name="VentaAiu" localSheetId="29">#REF!</definedName>
    <definedName name="VentaAiu" localSheetId="33">#REF!</definedName>
    <definedName name="VentaAiu" localSheetId="38">#REF!</definedName>
    <definedName name="VentaAiu" localSheetId="40">#REF!</definedName>
    <definedName name="VentaAiu" localSheetId="43">#REF!</definedName>
    <definedName name="VentaAiu" localSheetId="52">#REF!</definedName>
    <definedName name="VentaAiu" localSheetId="2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 localSheetId="6">#REF!</definedName>
    <definedName name="VVV" localSheetId="7">#REF!</definedName>
    <definedName name="VVV" localSheetId="9">#REF!</definedName>
    <definedName name="VVV" localSheetId="4">#REF!</definedName>
    <definedName name="VVV" localSheetId="12">#REF!</definedName>
    <definedName name="VVV" localSheetId="13">#REF!</definedName>
    <definedName name="VVV" localSheetId="29">#REF!</definedName>
    <definedName name="VVV" localSheetId="33">#REF!</definedName>
    <definedName name="VVV" localSheetId="38">#REF!</definedName>
    <definedName name="VVV" localSheetId="40">#REF!</definedName>
    <definedName name="VVV" localSheetId="43">#REF!</definedName>
    <definedName name="VVV" localSheetId="52">#REF!</definedName>
    <definedName name="VVV" localSheetId="2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 localSheetId="6">'[22]Res-Accide-10'!#REF!</definedName>
    <definedName name="WDFSDF" localSheetId="7">'[22]Res-Accide-10'!#REF!</definedName>
    <definedName name="WDFSDF" localSheetId="9">'[22]Res-Accide-10'!#REF!</definedName>
    <definedName name="WDFSDF" localSheetId="4">'[22]Res-Accide-10'!#REF!</definedName>
    <definedName name="WDFSDF" localSheetId="12">'[22]Res-Accide-10'!#REF!</definedName>
    <definedName name="WDFSDF" localSheetId="13">'[22]Res-Accide-10'!#REF!</definedName>
    <definedName name="WDFSDF" localSheetId="29">'[22]Res-Accide-10'!#REF!</definedName>
    <definedName name="WDFSDF" localSheetId="33">'[22]Res-Accide-10'!#REF!</definedName>
    <definedName name="WDFSDF" localSheetId="38">'[22]Res-Accide-10'!#REF!</definedName>
    <definedName name="WDFSDF" localSheetId="40">'[22]Res-Accide-10'!#REF!</definedName>
    <definedName name="WDFSDF" localSheetId="43">'[22]Res-Accide-10'!#REF!</definedName>
    <definedName name="WDFSDF" localSheetId="52">'[22]Res-Accide-10'!#REF!</definedName>
    <definedName name="WDFSDF" localSheetId="2">'[22]Res-Accide-10'!#REF!</definedName>
    <definedName name="WDFSDF">'[22]Res-Accide-10'!#REF!</definedName>
    <definedName name="WEFWE" localSheetId="6">'[22]Res-Accide-10'!#REF!</definedName>
    <definedName name="WEFWE" localSheetId="7">'[22]Res-Accide-10'!#REF!</definedName>
    <definedName name="WEFWE" localSheetId="9">'[22]Res-Accide-10'!#REF!</definedName>
    <definedName name="WEFWE" localSheetId="4">'[22]Res-Accide-10'!#REF!</definedName>
    <definedName name="WEFWE" localSheetId="12">'[22]Res-Accide-10'!#REF!</definedName>
    <definedName name="WEFWE" localSheetId="13">'[22]Res-Accide-10'!#REF!</definedName>
    <definedName name="WEFWE" localSheetId="29">'[22]Res-Accide-10'!#REF!</definedName>
    <definedName name="WEFWE" localSheetId="33">'[22]Res-Accide-10'!#REF!</definedName>
    <definedName name="WEFWE" localSheetId="38">'[22]Res-Accide-10'!#REF!</definedName>
    <definedName name="WEFWE" localSheetId="40">'[22]Res-Accide-10'!#REF!</definedName>
    <definedName name="WEFWE" localSheetId="43">'[22]Res-Accide-10'!#REF!</definedName>
    <definedName name="WEFWE" localSheetId="52">'[22]Res-Accide-10'!#REF!</definedName>
    <definedName name="WEFWE" localSheetId="2">'[22]Res-Accide-10'!#REF!</definedName>
    <definedName name="WEFWE">'[22]Res-Accide-10'!#REF!</definedName>
    <definedName name="WER">'[22]Res-Accide-10'!$S$2:$S$7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6">'[22]Res-Accide-10'!#REF!</definedName>
    <definedName name="WILSON" localSheetId="7">'[22]Res-Accide-10'!#REF!</definedName>
    <definedName name="WILSON" localSheetId="9">'[22]Res-Accide-10'!#REF!</definedName>
    <definedName name="WILSON" localSheetId="4">'[22]Res-Accide-10'!#REF!</definedName>
    <definedName name="WILSON" localSheetId="12">'[22]Res-Accide-10'!#REF!</definedName>
    <definedName name="WILSON" localSheetId="13">'[22]Res-Accide-10'!#REF!</definedName>
    <definedName name="WILSON" localSheetId="29">'[22]Res-Accide-10'!#REF!</definedName>
    <definedName name="WILSON" localSheetId="33">'[22]Res-Accide-10'!#REF!</definedName>
    <definedName name="WILSON" localSheetId="38">'[22]Res-Accide-10'!#REF!</definedName>
    <definedName name="WILSON" localSheetId="40">'[22]Res-Accide-10'!#REF!</definedName>
    <definedName name="WILSON" localSheetId="43">'[22]Res-Accide-10'!#REF!</definedName>
    <definedName name="WILSON" localSheetId="52">'[22]Res-Accide-10'!#REF!</definedName>
    <definedName name="WILSON" localSheetId="2">'[22]Res-Accide-10'!#REF!</definedName>
    <definedName name="WILSON">'[22]Res-Accide-10'!#REF!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procurement." hidden="1">{#N/A,#N/A,FALSE,"sumi ";#N/A,#N/A,FALSE,"RESUMEN"}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 localSheetId="6">#REF!</definedName>
    <definedName name="XX" localSheetId="7">#REF!</definedName>
    <definedName name="XX" localSheetId="9">#REF!</definedName>
    <definedName name="XX" localSheetId="4">#REF!</definedName>
    <definedName name="XX" localSheetId="12">#REF!</definedName>
    <definedName name="XX" localSheetId="13">#REF!</definedName>
    <definedName name="XX" localSheetId="29">#REF!</definedName>
    <definedName name="XX" localSheetId="33">#REF!</definedName>
    <definedName name="XX" localSheetId="38">#REF!</definedName>
    <definedName name="XX" localSheetId="40">#REF!</definedName>
    <definedName name="XX" localSheetId="43">#REF!</definedName>
    <definedName name="XX" localSheetId="52">#REF!</definedName>
    <definedName name="XX" localSheetId="2">#REF!</definedName>
    <definedName name="XX">#REF!</definedName>
    <definedName name="xxfg" hidden="1">{"via1",#N/A,TRUE,"general";"via2",#N/A,TRUE,"general";"via3",#N/A,TRUE,"general"}</definedName>
    <definedName name="xxxxx" localSheetId="6">[49]!absc</definedName>
    <definedName name="xxxxx" localSheetId="7">[49]!absc</definedName>
    <definedName name="xxxxx" localSheetId="9">[49]!absc</definedName>
    <definedName name="xxxxx" localSheetId="4">[49]!absc</definedName>
    <definedName name="xxxxx" localSheetId="12">[49]!absc</definedName>
    <definedName name="xxxxx" localSheetId="13">[49]!absc</definedName>
    <definedName name="xxxxx" localSheetId="29">[49]!absc</definedName>
    <definedName name="xxxxx" localSheetId="33">[49]!absc</definedName>
    <definedName name="xxxxx" localSheetId="38">[49]!absc</definedName>
    <definedName name="xxxxx" localSheetId="40">[49]!absc</definedName>
    <definedName name="xxxxx" localSheetId="43">[49]!absc</definedName>
    <definedName name="xxxxx" localSheetId="52">[49]!absc</definedName>
    <definedName name="xxxxx" localSheetId="2">[49]!absc</definedName>
    <definedName name="xxxxx">[49]!absc</definedName>
    <definedName name="xxxxxds" hidden="1">{"via1",#N/A,TRUE,"general";"via2",#N/A,TRUE,"general";"via3",#N/A,TRUE,"general"}</definedName>
    <definedName name="XXXXXXXXXX" localSheetId="6">#REF!</definedName>
    <definedName name="XXXXXXXXXX" localSheetId="7">#REF!</definedName>
    <definedName name="XXXXXXXXXX" localSheetId="9">#REF!</definedName>
    <definedName name="XXXXXXXXXX" localSheetId="4">#REF!</definedName>
    <definedName name="XXXXXXXXXX" localSheetId="12">#REF!</definedName>
    <definedName name="XXXXXXXXXX" localSheetId="13">#REF!</definedName>
    <definedName name="XXXXXXXXXX" localSheetId="29">#REF!</definedName>
    <definedName name="XXXXXXXXXX" localSheetId="33">#REF!</definedName>
    <definedName name="XXXXXXXXXX" localSheetId="38">#REF!</definedName>
    <definedName name="XXXXXXXXXX" localSheetId="40">#REF!</definedName>
    <definedName name="XXXXXXXXXX" localSheetId="43">#REF!</definedName>
    <definedName name="XXXXXXXXXX" localSheetId="52">#REF!</definedName>
    <definedName name="XXXXXXXXXX" localSheetId="2">#REF!</definedName>
    <definedName name="XXXXXXXXXX">#REF!</definedName>
    <definedName name="xxxxxxxxxx29" hidden="1">{"via1",#N/A,TRUE,"general";"via2",#N/A,TRUE,"general";"via3",#N/A,TRUE,"general"}</definedName>
    <definedName name="XXXXXXXXXXXX" localSheetId="6">#REF!</definedName>
    <definedName name="XXXXXXXXXXXX" localSheetId="7">#REF!</definedName>
    <definedName name="XXXXXXXXXXXX" localSheetId="9">#REF!</definedName>
    <definedName name="XXXXXXXXXXXX" localSheetId="4">#REF!</definedName>
    <definedName name="XXXXXXXXXXXX" localSheetId="12">#REF!</definedName>
    <definedName name="XXXXXXXXXXXX" localSheetId="13">#REF!</definedName>
    <definedName name="XXXXXXXXXXXX" localSheetId="29">#REF!</definedName>
    <definedName name="XXXXXXXXXXXX" localSheetId="33">#REF!</definedName>
    <definedName name="XXXXXXXXXXXX" localSheetId="38">#REF!</definedName>
    <definedName name="XXXXXXXXXXXX" localSheetId="40">#REF!</definedName>
    <definedName name="XXXXXXXXXXXX" localSheetId="43">#REF!</definedName>
    <definedName name="XXXXXXXXXXXX" localSheetId="52">#REF!</definedName>
    <definedName name="XXXXXXXXXXXX" localSheetId="2">#REF!</definedName>
    <definedName name="XXXXXXXXXXXX">#REF!</definedName>
    <definedName name="XZXZV" hidden="1">{"via1",#N/A,TRUE,"general";"via2",#N/A,TRUE,"general";"via3",#N/A,TRUE,"general"}</definedName>
    <definedName name="Y" localSheetId="6">[12]!absc</definedName>
    <definedName name="Y" localSheetId="7">[12]!absc</definedName>
    <definedName name="Y" localSheetId="9">[12]!absc</definedName>
    <definedName name="Y" localSheetId="4">[12]!absc</definedName>
    <definedName name="Y" localSheetId="12">[12]!absc</definedName>
    <definedName name="Y" localSheetId="13">[12]!absc</definedName>
    <definedName name="Y" localSheetId="29">[12]!absc</definedName>
    <definedName name="Y" localSheetId="33">[12]!absc</definedName>
    <definedName name="Y" localSheetId="38">[12]!absc</definedName>
    <definedName name="Y" localSheetId="40">[12]!absc</definedName>
    <definedName name="Y" localSheetId="43">[12]!absc</definedName>
    <definedName name="Y" localSheetId="52">[12]!absc</definedName>
    <definedName name="Y" localSheetId="2">[12]!absc</definedName>
    <definedName name="Y">[12]!absc</definedName>
    <definedName name="y6y6" hidden="1">{"via1",#N/A,TRUE,"general";"via2",#N/A,TRUE,"general";"via3",#N/A,TRUE,"general"}</definedName>
    <definedName name="YA" localSheetId="6">#REF!</definedName>
    <definedName name="YA" localSheetId="7">#REF!</definedName>
    <definedName name="YA" localSheetId="9">#REF!</definedName>
    <definedName name="YA" localSheetId="4">#REF!</definedName>
    <definedName name="YA" localSheetId="12">#REF!</definedName>
    <definedName name="YA" localSheetId="13">#REF!</definedName>
    <definedName name="YA" localSheetId="29">#REF!</definedName>
    <definedName name="YA" localSheetId="33">#REF!</definedName>
    <definedName name="YA" localSheetId="38">#REF!</definedName>
    <definedName name="YA" localSheetId="40">#REF!</definedName>
    <definedName name="YA" localSheetId="43">#REF!</definedName>
    <definedName name="YA" localSheetId="52">#REF!</definedName>
    <definedName name="YA" localSheetId="2">#REF!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_086A872D_15DF_436A_8459_CE22F6819FF4_.wvu.Rows" localSheetId="6" hidden="1">[7]Presentacion!#REF!</definedName>
    <definedName name="Z_086A872D_15DF_436A_8459_CE22F6819FF4_.wvu.Rows" localSheetId="7" hidden="1">[7]Presentacion!#REF!</definedName>
    <definedName name="Z_086A872D_15DF_436A_8459_CE22F6819FF4_.wvu.Rows" localSheetId="9" hidden="1">[7]Presentacion!#REF!</definedName>
    <definedName name="Z_086A872D_15DF_436A_8459_CE22F6819FF4_.wvu.Rows" localSheetId="4" hidden="1">[7]Presentacion!#REF!</definedName>
    <definedName name="Z_086A872D_15DF_436A_8459_CE22F6819FF4_.wvu.Rows" localSheetId="12" hidden="1">[7]Presentacion!#REF!</definedName>
    <definedName name="Z_086A872D_15DF_436A_8459_CE22F6819FF4_.wvu.Rows" localSheetId="13" hidden="1">[7]Presentacion!#REF!</definedName>
    <definedName name="Z_086A872D_15DF_436A_8459_CE22F6819FF4_.wvu.Rows" localSheetId="29" hidden="1">[7]Presentacion!#REF!</definedName>
    <definedName name="Z_086A872D_15DF_436A_8459_CE22F6819FF4_.wvu.Rows" localSheetId="33" hidden="1">[7]Presentacion!#REF!</definedName>
    <definedName name="Z_086A872D_15DF_436A_8459_CE22F6819FF4_.wvu.Rows" localSheetId="38" hidden="1">[7]Presentacion!#REF!</definedName>
    <definedName name="Z_086A872D_15DF_436A_8459_CE22F6819FF4_.wvu.Rows" localSheetId="40" hidden="1">[7]Presentacion!#REF!</definedName>
    <definedName name="Z_086A872D_15DF_436A_8459_CE22F6819FF4_.wvu.Rows" localSheetId="43" hidden="1">[7]Presentacion!#REF!</definedName>
    <definedName name="Z_086A872D_15DF_436A_8459_CE22F6819FF4_.wvu.Rows" localSheetId="52" hidden="1">[7]Presentacion!#REF!</definedName>
    <definedName name="Z_086A872D_15DF_436A_8459_CE22F6819FF4_.wvu.Rows" localSheetId="2" hidden="1">[7]Presentacion!#REF!</definedName>
    <definedName name="Z_086A872D_15DF_436A_8459_CE22F6819FF4_.wvu.Rows" hidden="1">[7]Presentacion!#REF!</definedName>
    <definedName name="Z_D55C8B2E_861A_459E_9D09_3AF38A1DE99E_.wvu.Rows" localSheetId="6" hidden="1">[7]Presentacion!#REF!</definedName>
    <definedName name="Z_D55C8B2E_861A_459E_9D09_3AF38A1DE99E_.wvu.Rows" localSheetId="7" hidden="1">[7]Presentacion!#REF!</definedName>
    <definedName name="Z_D55C8B2E_861A_459E_9D09_3AF38A1DE99E_.wvu.Rows" localSheetId="9" hidden="1">[7]Presentacion!#REF!</definedName>
    <definedName name="Z_D55C8B2E_861A_459E_9D09_3AF38A1DE99E_.wvu.Rows" localSheetId="4" hidden="1">[7]Presentacion!#REF!</definedName>
    <definedName name="Z_D55C8B2E_861A_459E_9D09_3AF38A1DE99E_.wvu.Rows" localSheetId="12" hidden="1">[7]Presentacion!#REF!</definedName>
    <definedName name="Z_D55C8B2E_861A_459E_9D09_3AF38A1DE99E_.wvu.Rows" localSheetId="13" hidden="1">[7]Presentacion!#REF!</definedName>
    <definedName name="Z_D55C8B2E_861A_459E_9D09_3AF38A1DE99E_.wvu.Rows" localSheetId="29" hidden="1">[7]Presentacion!#REF!</definedName>
    <definedName name="Z_D55C8B2E_861A_459E_9D09_3AF38A1DE99E_.wvu.Rows" localSheetId="33" hidden="1">[7]Presentacion!#REF!</definedName>
    <definedName name="Z_D55C8B2E_861A_459E_9D09_3AF38A1DE99E_.wvu.Rows" localSheetId="38" hidden="1">[7]Presentacion!#REF!</definedName>
    <definedName name="Z_D55C8B2E_861A_459E_9D09_3AF38A1DE99E_.wvu.Rows" localSheetId="40" hidden="1">[7]Presentacion!#REF!</definedName>
    <definedName name="Z_D55C8B2E_861A_459E_9D09_3AF38A1DE99E_.wvu.Rows" localSheetId="43" hidden="1">[7]Presentacion!#REF!</definedName>
    <definedName name="Z_D55C8B2E_861A_459E_9D09_3AF38A1DE99E_.wvu.Rows" localSheetId="52" hidden="1">[7]Presentacion!#REF!</definedName>
    <definedName name="Z_D55C8B2E_861A_459E_9D09_3AF38A1DE99E_.wvu.Rows" localSheetId="2" hidden="1">[7]Presentacion!#REF!</definedName>
    <definedName name="Z_D55C8B2E_861A_459E_9D09_3AF38A1DE99E_.wvu.Rows" hidden="1">[7]Presentacion!#REF!</definedName>
    <definedName name="Z_F540D718_D9AA_403F_AE49_60D937FD77E5_.wvu.Rows" localSheetId="6" hidden="1">[7]Presentacion!#REF!</definedName>
    <definedName name="Z_F540D718_D9AA_403F_AE49_60D937FD77E5_.wvu.Rows" localSheetId="7" hidden="1">[7]Presentacion!#REF!</definedName>
    <definedName name="Z_F540D718_D9AA_403F_AE49_60D937FD77E5_.wvu.Rows" localSheetId="9" hidden="1">[7]Presentacion!#REF!</definedName>
    <definedName name="Z_F540D718_D9AA_403F_AE49_60D937FD77E5_.wvu.Rows" localSheetId="4" hidden="1">[7]Presentacion!#REF!</definedName>
    <definedName name="Z_F540D718_D9AA_403F_AE49_60D937FD77E5_.wvu.Rows" localSheetId="12" hidden="1">[7]Presentacion!#REF!</definedName>
    <definedName name="Z_F540D718_D9AA_403F_AE49_60D937FD77E5_.wvu.Rows" localSheetId="13" hidden="1">[7]Presentacion!#REF!</definedName>
    <definedName name="Z_F540D718_D9AA_403F_AE49_60D937FD77E5_.wvu.Rows" localSheetId="29" hidden="1">[7]Presentacion!#REF!</definedName>
    <definedName name="Z_F540D718_D9AA_403F_AE49_60D937FD77E5_.wvu.Rows" localSheetId="33" hidden="1">[7]Presentacion!#REF!</definedName>
    <definedName name="Z_F540D718_D9AA_403F_AE49_60D937FD77E5_.wvu.Rows" localSheetId="38" hidden="1">[7]Presentacion!#REF!</definedName>
    <definedName name="Z_F540D718_D9AA_403F_AE49_60D937FD77E5_.wvu.Rows" localSheetId="40" hidden="1">[7]Presentacion!#REF!</definedName>
    <definedName name="Z_F540D718_D9AA_403F_AE49_60D937FD77E5_.wvu.Rows" localSheetId="43" hidden="1">[7]Presentacion!#REF!</definedName>
    <definedName name="Z_F540D718_D9AA_403F_AE49_60D937FD77E5_.wvu.Rows" localSheetId="52" hidden="1">[7]Presentacion!#REF!</definedName>
    <definedName name="Z_F540D718_D9AA_403F_AE49_60D937FD77E5_.wvu.Rows" localSheetId="2" hidden="1">[7]Presentacion!#REF!</definedName>
    <definedName name="Z_F540D718_D9AA_403F_AE49_60D937FD77E5_.wvu.Rows" hidden="1">[7]Presentacion!#REF!</definedName>
    <definedName name="zdervr" hidden="1">{"via1",#N/A,TRUE,"general";"via2",#N/A,TRUE,"general";"via3",#N/A,TRUE,"general"}</definedName>
    <definedName name="ZDF" localSheetId="6">#REF!</definedName>
    <definedName name="ZDF" localSheetId="7">#REF!</definedName>
    <definedName name="ZDF" localSheetId="9">#REF!</definedName>
    <definedName name="ZDF" localSheetId="4">#REF!</definedName>
    <definedName name="ZDF" localSheetId="12">#REF!</definedName>
    <definedName name="ZDF" localSheetId="13">#REF!</definedName>
    <definedName name="ZDF" localSheetId="29">#REF!</definedName>
    <definedName name="ZDF" localSheetId="33">#REF!</definedName>
    <definedName name="ZDF" localSheetId="38">#REF!</definedName>
    <definedName name="ZDF" localSheetId="40">#REF!</definedName>
    <definedName name="ZDF" localSheetId="43">#REF!</definedName>
    <definedName name="ZDF" localSheetId="52">#REF!</definedName>
    <definedName name="ZDF" localSheetId="2">#REF!</definedName>
    <definedName name="ZDF">#REF!</definedName>
    <definedName name="zx">#N/A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 localSheetId="6">'[26]A. P. U.'!#REF!</definedName>
    <definedName name="ZZZZZZZZZZZ" localSheetId="7">'[26]A. P. U.'!#REF!</definedName>
    <definedName name="ZZZZZZZZZZZ" localSheetId="9">'[26]A. P. U.'!#REF!</definedName>
    <definedName name="ZZZZZZZZZZZ" localSheetId="4">'[26]A. P. U.'!#REF!</definedName>
    <definedName name="ZZZZZZZZZZZ" localSheetId="12">'[26]A. P. U.'!#REF!</definedName>
    <definedName name="ZZZZZZZZZZZ" localSheetId="13">'[26]A. P. U.'!#REF!</definedName>
    <definedName name="ZZZZZZZZZZZ" localSheetId="29">'[26]A. P. U.'!#REF!</definedName>
    <definedName name="ZZZZZZZZZZZ" localSheetId="33">'[26]A. P. U.'!#REF!</definedName>
    <definedName name="ZZZZZZZZZZZ" localSheetId="38">'[26]A. P. U.'!#REF!</definedName>
    <definedName name="ZZZZZZZZZZZ" localSheetId="40">'[26]A. P. U.'!#REF!</definedName>
    <definedName name="ZZZZZZZZZZZ" localSheetId="43">'[26]A. P. U.'!#REF!</definedName>
    <definedName name="ZZZZZZZZZZZ" localSheetId="52">'[26]A. P. U.'!#REF!</definedName>
    <definedName name="ZZZZZZZZZZZ" localSheetId="2">'[26]A. P. U.'!#REF!</definedName>
    <definedName name="ZZZZZZZZZZZ">'[26]A. P. U.'!#REF!</definedName>
  </definedNames>
  <calcPr calcId="162913"/>
</workbook>
</file>

<file path=xl/calcChain.xml><?xml version="1.0" encoding="utf-8"?>
<calcChain xmlns="http://schemas.openxmlformats.org/spreadsheetml/2006/main">
  <c r="A4" i="79" l="1"/>
  <c r="A22" i="79" l="1"/>
  <c r="A25" i="79"/>
  <c r="A24" i="79"/>
  <c r="AF65" i="36" l="1"/>
  <c r="C67" i="36"/>
  <c r="F65" i="36"/>
  <c r="C65" i="36"/>
  <c r="F31" i="36"/>
  <c r="F28" i="36"/>
  <c r="AF21" i="36"/>
  <c r="F21" i="36"/>
  <c r="L25" i="86" l="1"/>
  <c r="N27" i="86"/>
  <c r="N24" i="86"/>
  <c r="K25" i="86"/>
  <c r="I52" i="86"/>
  <c r="K52" i="86" s="1"/>
  <c r="N52" i="86" s="1"/>
  <c r="N56" i="86" s="1"/>
  <c r="K53" i="86"/>
  <c r="N53" i="86" s="1"/>
  <c r="N45" i="86"/>
  <c r="N47" i="86" s="1"/>
  <c r="N39" i="86"/>
  <c r="N38" i="86"/>
  <c r="N37" i="86"/>
  <c r="N36" i="86"/>
  <c r="N35" i="86"/>
  <c r="N34" i="86"/>
  <c r="N33" i="86"/>
  <c r="N26" i="86"/>
  <c r="N25" i="86" l="1"/>
  <c r="N28" i="86" s="1"/>
  <c r="N58" i="86" s="1"/>
  <c r="N40" i="86"/>
  <c r="N65" i="86" l="1"/>
  <c r="N63" i="86"/>
  <c r="N64" i="86"/>
  <c r="N66" i="86" l="1"/>
  <c r="N68" i="86" s="1"/>
  <c r="K44" i="85" l="1"/>
  <c r="N44" i="85" s="1"/>
  <c r="N49" i="85" s="1"/>
  <c r="N14" i="85" s="1"/>
  <c r="I44" i="85"/>
  <c r="B44" i="85"/>
  <c r="N43" i="85"/>
  <c r="K43" i="85"/>
  <c r="B43" i="85"/>
  <c r="K32" i="85"/>
  <c r="N32" i="85" s="1"/>
  <c r="N38" i="85" s="1"/>
  <c r="N22" i="85"/>
  <c r="J22" i="85"/>
  <c r="B22" i="85"/>
  <c r="N21" i="85"/>
  <c r="N27" i="85" s="1"/>
  <c r="N11" i="85"/>
  <c r="N10" i="85"/>
  <c r="N9" i="85"/>
  <c r="N16" i="85" l="1"/>
  <c r="N51" i="85" s="1"/>
  <c r="N58" i="85" l="1"/>
  <c r="N57" i="85"/>
  <c r="N56" i="85"/>
  <c r="N59" i="85" l="1"/>
  <c r="N61" i="85" s="1"/>
  <c r="G20" i="36" l="1"/>
  <c r="F20" i="36" s="1"/>
  <c r="I15" i="36"/>
  <c r="G48" i="36"/>
  <c r="G13" i="36"/>
  <c r="AE16" i="36"/>
  <c r="AE15" i="36"/>
  <c r="AE13" i="36"/>
  <c r="AE12" i="36"/>
  <c r="G46" i="36"/>
  <c r="K46" i="36"/>
  <c r="J46" i="36"/>
  <c r="I46" i="36"/>
  <c r="G33" i="36"/>
  <c r="K33" i="36"/>
  <c r="J33" i="36"/>
  <c r="I33" i="36"/>
  <c r="G16" i="36"/>
  <c r="F16" i="36" s="1"/>
  <c r="F13" i="36"/>
  <c r="G12" i="36"/>
  <c r="J48" i="36"/>
  <c r="K48" i="36"/>
  <c r="I48" i="36"/>
  <c r="G28" i="79" l="1"/>
  <c r="H28" i="79" s="1"/>
  <c r="M12" i="73" l="1"/>
  <c r="M33" i="73"/>
  <c r="N63" i="36"/>
  <c r="G30" i="36"/>
  <c r="F30" i="36"/>
  <c r="AE20" i="36"/>
  <c r="AE22" i="36"/>
  <c r="AE24" i="36"/>
  <c r="AE25" i="36"/>
  <c r="AE26" i="36"/>
  <c r="AE27" i="36"/>
  <c r="AE28" i="36"/>
  <c r="AE29" i="36"/>
  <c r="AE30" i="36"/>
  <c r="AE31" i="36"/>
  <c r="Q18" i="36"/>
  <c r="R18" i="36"/>
  <c r="S18" i="36"/>
  <c r="T18" i="36"/>
  <c r="P18" i="36"/>
  <c r="O18" i="36"/>
  <c r="O10" i="36"/>
  <c r="AE10" i="36"/>
  <c r="L33" i="36" l="1"/>
  <c r="J88" i="73" l="1"/>
  <c r="J87" i="73"/>
  <c r="H35" i="79" l="1"/>
  <c r="N65" i="60" l="1"/>
  <c r="N64" i="60"/>
  <c r="N63" i="60"/>
  <c r="N66" i="60" s="1"/>
  <c r="N68" i="60" s="1"/>
  <c r="P68" i="60" s="1"/>
  <c r="M73" i="73"/>
  <c r="M70" i="73"/>
  <c r="M55" i="73"/>
  <c r="M53" i="73"/>
  <c r="M45" i="73"/>
  <c r="M37" i="73"/>
  <c r="B57" i="79"/>
  <c r="B54" i="79"/>
  <c r="H43" i="79"/>
  <c r="H42" i="79"/>
  <c r="H41" i="79"/>
  <c r="H40" i="79"/>
  <c r="H38" i="79"/>
  <c r="H37" i="79"/>
  <c r="H36" i="79"/>
  <c r="H34" i="79"/>
  <c r="H33" i="79"/>
  <c r="H32" i="79"/>
  <c r="G27" i="79"/>
  <c r="H27" i="79" s="1"/>
  <c r="A27" i="79"/>
  <c r="G26" i="79"/>
  <c r="H26" i="79" s="1"/>
  <c r="A26" i="79"/>
  <c r="G25" i="79"/>
  <c r="H25" i="79" s="1"/>
  <c r="G24" i="79"/>
  <c r="H24" i="79" s="1"/>
  <c r="G23" i="79"/>
  <c r="H23" i="79" s="1"/>
  <c r="A23" i="79"/>
  <c r="G22" i="79"/>
  <c r="H22" i="79" s="1"/>
  <c r="G21" i="79"/>
  <c r="H21" i="79" s="1"/>
  <c r="G20" i="79"/>
  <c r="H20" i="79" s="1"/>
  <c r="G19" i="79"/>
  <c r="H19" i="79" s="1"/>
  <c r="G18" i="79"/>
  <c r="H18" i="79" s="1"/>
  <c r="G17" i="79"/>
  <c r="H17" i="79" s="1"/>
  <c r="A17" i="79"/>
  <c r="G16" i="79"/>
  <c r="H16" i="79" s="1"/>
  <c r="A16" i="79"/>
  <c r="H45" i="79" l="1"/>
  <c r="H29" i="79"/>
  <c r="J79" i="73"/>
  <c r="J78" i="73"/>
  <c r="N33" i="49" l="1"/>
  <c r="N23" i="49"/>
  <c r="AC35" i="36" l="1"/>
  <c r="H39" i="73" s="1"/>
  <c r="AD35" i="36"/>
  <c r="AE35" i="36"/>
  <c r="AL17" i="36"/>
  <c r="AL22" i="36"/>
  <c r="AL27" i="36"/>
  <c r="AL31" i="36"/>
  <c r="AL32" i="36"/>
  <c r="AL55" i="36"/>
  <c r="AL60" i="36"/>
  <c r="AL66" i="36"/>
  <c r="AL68" i="36"/>
  <c r="AE41" i="36"/>
  <c r="F45" i="36"/>
  <c r="AL45" i="36" s="1"/>
  <c r="N36" i="36"/>
  <c r="AC51" i="36"/>
  <c r="AC46" i="36"/>
  <c r="H50" i="73" s="1"/>
  <c r="AC41" i="36"/>
  <c r="H45" i="73" s="1"/>
  <c r="F11" i="36"/>
  <c r="AL11" i="36" s="1"/>
  <c r="AD10" i="36"/>
  <c r="AE34" i="36"/>
  <c r="AE36" i="36"/>
  <c r="AE37" i="36"/>
  <c r="AE43" i="36"/>
  <c r="AE44" i="36"/>
  <c r="AE45" i="36"/>
  <c r="AE48" i="36"/>
  <c r="AE49" i="36"/>
  <c r="AE50" i="36"/>
  <c r="AE51" i="36"/>
  <c r="AE52" i="36"/>
  <c r="AE53" i="36"/>
  <c r="AE54" i="36"/>
  <c r="AD11" i="36"/>
  <c r="AD12" i="36"/>
  <c r="AD13" i="36"/>
  <c r="AD16" i="36"/>
  <c r="AD17" i="36"/>
  <c r="AD18" i="36"/>
  <c r="AD19" i="36"/>
  <c r="AD20" i="36"/>
  <c r="AD22" i="36"/>
  <c r="AD23" i="36"/>
  <c r="AD24" i="36"/>
  <c r="AD25" i="36"/>
  <c r="AD26" i="36"/>
  <c r="AD27" i="36"/>
  <c r="AD28" i="36"/>
  <c r="AD29" i="36"/>
  <c r="AD30" i="36"/>
  <c r="AD31" i="36"/>
  <c r="AD32" i="36"/>
  <c r="AD33" i="36"/>
  <c r="AD34" i="36"/>
  <c r="AD40" i="36"/>
  <c r="AD41" i="36"/>
  <c r="AD42" i="36"/>
  <c r="AD43" i="36"/>
  <c r="AD44" i="36"/>
  <c r="AD45" i="36"/>
  <c r="AD46" i="36"/>
  <c r="AD47" i="36"/>
  <c r="AD48" i="36"/>
  <c r="AD49" i="36"/>
  <c r="AD50" i="36"/>
  <c r="AD51" i="36"/>
  <c r="AD52" i="36"/>
  <c r="AD53" i="36"/>
  <c r="AD54" i="36"/>
  <c r="AD55" i="36"/>
  <c r="AD56" i="36"/>
  <c r="AD57" i="36"/>
  <c r="AD58" i="36"/>
  <c r="AD59" i="36"/>
  <c r="AD60" i="36"/>
  <c r="AD61" i="36"/>
  <c r="AD62" i="36"/>
  <c r="AD63" i="36"/>
  <c r="AD64" i="36"/>
  <c r="AD66" i="36"/>
  <c r="AD67" i="36"/>
  <c r="AC11" i="36"/>
  <c r="H12" i="73" s="1"/>
  <c r="AC12" i="36"/>
  <c r="H13" i="73" s="1"/>
  <c r="J13" i="73" s="1"/>
  <c r="AC13" i="36"/>
  <c r="H14" i="73" s="1"/>
  <c r="J14" i="73" s="1"/>
  <c r="AC14" i="36"/>
  <c r="H15" i="73" s="1"/>
  <c r="J15" i="73" s="1"/>
  <c r="AC15" i="36"/>
  <c r="H16" i="73" s="1"/>
  <c r="J16" i="73" s="1"/>
  <c r="AC16" i="36"/>
  <c r="H17" i="73" s="1"/>
  <c r="J17" i="73" s="1"/>
  <c r="AC17" i="36"/>
  <c r="AC18" i="36"/>
  <c r="H20" i="73" s="1"/>
  <c r="AC19" i="36"/>
  <c r="H21" i="73" s="1"/>
  <c r="J21" i="73" s="1"/>
  <c r="AC20" i="36"/>
  <c r="H22" i="73" s="1"/>
  <c r="J22" i="73" s="1"/>
  <c r="AC22" i="36"/>
  <c r="AC23" i="36"/>
  <c r="H25" i="73" s="1"/>
  <c r="J25" i="73" s="1"/>
  <c r="AC24" i="36"/>
  <c r="H26" i="73" s="1"/>
  <c r="J26" i="73" s="1"/>
  <c r="AC25" i="36"/>
  <c r="H27" i="73" s="1"/>
  <c r="J27" i="73" s="1"/>
  <c r="AC26" i="36"/>
  <c r="H28" i="73" s="1"/>
  <c r="J28" i="73" s="1"/>
  <c r="AC27" i="36"/>
  <c r="AF27" i="36" s="1"/>
  <c r="AH27" i="36" s="1"/>
  <c r="AI27" i="36" s="1"/>
  <c r="AC28" i="36"/>
  <c r="H31" i="73" s="1"/>
  <c r="J31" i="73" s="1"/>
  <c r="AC29" i="36"/>
  <c r="H32" i="73" s="1"/>
  <c r="J32" i="73" s="1"/>
  <c r="H33" i="73"/>
  <c r="AC31" i="36"/>
  <c r="AC32" i="36"/>
  <c r="AC34" i="36"/>
  <c r="AC36" i="36"/>
  <c r="AC37" i="36"/>
  <c r="AC38" i="36"/>
  <c r="AC39" i="36"/>
  <c r="AC40" i="36"/>
  <c r="J45" i="73"/>
  <c r="AC42" i="36"/>
  <c r="AC43" i="36"/>
  <c r="AC44" i="36"/>
  <c r="AC45" i="36"/>
  <c r="J50" i="73"/>
  <c r="AC47" i="36"/>
  <c r="AC48" i="36"/>
  <c r="AC50" i="36"/>
  <c r="AC52" i="36"/>
  <c r="AC53" i="36"/>
  <c r="AC54" i="36"/>
  <c r="AC55" i="36"/>
  <c r="AC56" i="36"/>
  <c r="H61" i="73" s="1"/>
  <c r="J61" i="73" s="1"/>
  <c r="AC57" i="36"/>
  <c r="H62" i="73" s="1"/>
  <c r="J62" i="73" s="1"/>
  <c r="AC58" i="36"/>
  <c r="H63" i="73" s="1"/>
  <c r="J63" i="73" s="1"/>
  <c r="AC59" i="36"/>
  <c r="H64" i="73" s="1"/>
  <c r="J64" i="73" s="1"/>
  <c r="AC60" i="36"/>
  <c r="AC61" i="36"/>
  <c r="H67" i="73" s="1"/>
  <c r="J67" i="73" s="1"/>
  <c r="AC62" i="36"/>
  <c r="H68" i="73" s="1"/>
  <c r="J68" i="73" s="1"/>
  <c r="AC63" i="36"/>
  <c r="H69" i="73" s="1"/>
  <c r="J69" i="73" s="1"/>
  <c r="AC66" i="36"/>
  <c r="AC67" i="36"/>
  <c r="H73" i="73" s="1"/>
  <c r="AC10" i="36"/>
  <c r="H11" i="73" s="1"/>
  <c r="C68" i="73"/>
  <c r="C69" i="73" s="1"/>
  <c r="C70" i="73" s="1"/>
  <c r="C62" i="73"/>
  <c r="C63" i="73" s="1"/>
  <c r="C64" i="73" s="1"/>
  <c r="C38" i="73"/>
  <c r="C39" i="73" s="1"/>
  <c r="C40" i="73" s="1"/>
  <c r="C41" i="73" s="1"/>
  <c r="C42" i="73" s="1"/>
  <c r="C43" i="73" s="1"/>
  <c r="C44" i="73" s="1"/>
  <c r="C45" i="73" s="1"/>
  <c r="C46" i="73" s="1"/>
  <c r="C47" i="73" s="1"/>
  <c r="C48" i="73" s="1"/>
  <c r="C49" i="73" s="1"/>
  <c r="C50" i="73" s="1"/>
  <c r="C51" i="73" s="1"/>
  <c r="C52" i="73" s="1"/>
  <c r="C53" i="73" s="1"/>
  <c r="C54" i="73" s="1"/>
  <c r="C55" i="73" s="1"/>
  <c r="C56" i="73" s="1"/>
  <c r="C57" i="73" s="1"/>
  <c r="C58" i="73" s="1"/>
  <c r="C32" i="73"/>
  <c r="C33" i="73" s="1"/>
  <c r="C34" i="73" s="1"/>
  <c r="C26" i="73"/>
  <c r="C27" i="73" s="1"/>
  <c r="C28" i="73" s="1"/>
  <c r="C21" i="73"/>
  <c r="C22" i="73" s="1"/>
  <c r="B13" i="73"/>
  <c r="B14" i="73" s="1"/>
  <c r="B15" i="73" s="1"/>
  <c r="B16" i="73" s="1"/>
  <c r="B17" i="73" s="1"/>
  <c r="B20" i="73" s="1"/>
  <c r="B21" i="73" s="1"/>
  <c r="B22" i="73" s="1"/>
  <c r="B25" i="73" s="1"/>
  <c r="B26" i="73" s="1"/>
  <c r="B27" i="73" s="1"/>
  <c r="B28" i="73" s="1"/>
  <c r="B31" i="73" s="1"/>
  <c r="B32" i="73" s="1"/>
  <c r="B33" i="73" s="1"/>
  <c r="B34" i="73" s="1"/>
  <c r="B37" i="73" s="1"/>
  <c r="B38" i="73" s="1"/>
  <c r="B39" i="73" s="1"/>
  <c r="B40" i="73" s="1"/>
  <c r="B41" i="73" s="1"/>
  <c r="B42" i="73" s="1"/>
  <c r="B43" i="73" s="1"/>
  <c r="B44" i="73" s="1"/>
  <c r="B45" i="73" s="1"/>
  <c r="B46" i="73" s="1"/>
  <c r="B47" i="73" s="1"/>
  <c r="B48" i="73" s="1"/>
  <c r="B49" i="73" s="1"/>
  <c r="B50" i="73" s="1"/>
  <c r="B51" i="73" s="1"/>
  <c r="B52" i="73" s="1"/>
  <c r="B53" i="73" s="1"/>
  <c r="B54" i="73" s="1"/>
  <c r="B55" i="73" s="1"/>
  <c r="B56" i="73" s="1"/>
  <c r="B57" i="73" s="1"/>
  <c r="B58" i="73" s="1"/>
  <c r="B61" i="73" s="1"/>
  <c r="B62" i="73" s="1"/>
  <c r="B63" i="73" s="1"/>
  <c r="B64" i="73" s="1"/>
  <c r="B67" i="73" s="1"/>
  <c r="B68" i="73" s="1"/>
  <c r="B69" i="73" s="1"/>
  <c r="B70" i="73" s="1"/>
  <c r="B73" i="73" s="1"/>
  <c r="C12" i="73"/>
  <c r="C13" i="73" s="1"/>
  <c r="C14" i="73" s="1"/>
  <c r="C15" i="73" s="1"/>
  <c r="C16" i="73" s="1"/>
  <c r="C17" i="73" s="1"/>
  <c r="N45" i="73" l="1"/>
  <c r="H55" i="73"/>
  <c r="H52" i="73"/>
  <c r="J52" i="73" s="1"/>
  <c r="H44" i="73"/>
  <c r="J44" i="73" s="1"/>
  <c r="H51" i="73"/>
  <c r="J51" i="73" s="1"/>
  <c r="H43" i="73"/>
  <c r="J43" i="73" s="1"/>
  <c r="J33" i="73"/>
  <c r="N33" i="73"/>
  <c r="J12" i="73"/>
  <c r="N12" i="73"/>
  <c r="H58" i="73"/>
  <c r="J58" i="73" s="1"/>
  <c r="H48" i="73"/>
  <c r="J48" i="73" s="1"/>
  <c r="H41" i="73"/>
  <c r="J41" i="73" s="1"/>
  <c r="J20" i="73"/>
  <c r="J23" i="73" s="1"/>
  <c r="H47" i="73"/>
  <c r="J47" i="73" s="1"/>
  <c r="J11" i="73"/>
  <c r="J18" i="73" s="1"/>
  <c r="H42" i="73"/>
  <c r="J42" i="73" s="1"/>
  <c r="H49" i="73"/>
  <c r="J49" i="73" s="1"/>
  <c r="H57" i="73"/>
  <c r="J57" i="73" s="1"/>
  <c r="J39" i="73"/>
  <c r="H40" i="73"/>
  <c r="J40" i="73" s="1"/>
  <c r="H56" i="73"/>
  <c r="J56" i="73" s="1"/>
  <c r="H46" i="73"/>
  <c r="J46" i="73" s="1"/>
  <c r="H38" i="73"/>
  <c r="J38" i="73" s="1"/>
  <c r="H54" i="73"/>
  <c r="J54" i="73" s="1"/>
  <c r="J73" i="73"/>
  <c r="J74" i="73" s="1"/>
  <c r="N73" i="73"/>
  <c r="AF17" i="36"/>
  <c r="AH17" i="36" s="1"/>
  <c r="AI17" i="36" s="1"/>
  <c r="AF31" i="36"/>
  <c r="AF22" i="36"/>
  <c r="AH22" i="36" s="1"/>
  <c r="AI22" i="36" s="1"/>
  <c r="AF60" i="36"/>
  <c r="AH60" i="36" s="1"/>
  <c r="AI60" i="36" s="1"/>
  <c r="AF66" i="36"/>
  <c r="AH66" i="36" s="1"/>
  <c r="AI66" i="36" s="1"/>
  <c r="AF32" i="36"/>
  <c r="AH32" i="36" s="1"/>
  <c r="AI32" i="36" s="1"/>
  <c r="AF55" i="36"/>
  <c r="AH55" i="36" s="1"/>
  <c r="AI55" i="36" s="1"/>
  <c r="H34" i="73"/>
  <c r="J34" i="73" s="1"/>
  <c r="J65" i="73"/>
  <c r="J29" i="73"/>
  <c r="N61" i="24"/>
  <c r="N58" i="24"/>
  <c r="N57" i="24"/>
  <c r="N56" i="24"/>
  <c r="N59" i="24"/>
  <c r="N61" i="21"/>
  <c r="N76" i="67"/>
  <c r="N78" i="67" s="1"/>
  <c r="N75" i="67"/>
  <c r="N74" i="67"/>
  <c r="N73" i="67"/>
  <c r="N61" i="20"/>
  <c r="N60" i="38"/>
  <c r="N62" i="38" s="1"/>
  <c r="N59" i="38"/>
  <c r="N58" i="38"/>
  <c r="N57" i="38"/>
  <c r="N60" i="48"/>
  <c r="N59" i="48"/>
  <c r="N58" i="48"/>
  <c r="N61" i="48" s="1"/>
  <c r="N63" i="48" s="1"/>
  <c r="N60" i="46"/>
  <c r="N59" i="46"/>
  <c r="N58" i="46"/>
  <c r="N61" i="46" s="1"/>
  <c r="N63" i="46" s="1"/>
  <c r="N60" i="52"/>
  <c r="N62" i="52" s="1"/>
  <c r="N59" i="52"/>
  <c r="N58" i="52"/>
  <c r="N57" i="52"/>
  <c r="N60" i="51"/>
  <c r="N59" i="51"/>
  <c r="N58" i="51"/>
  <c r="N61" i="51" s="1"/>
  <c r="N63" i="51" s="1"/>
  <c r="N60" i="45"/>
  <c r="N59" i="45"/>
  <c r="N58" i="45"/>
  <c r="N61" i="45" s="1"/>
  <c r="N63" i="45" s="1"/>
  <c r="N58" i="44"/>
  <c r="N57" i="44"/>
  <c r="N56" i="44"/>
  <c r="N59" i="44" s="1"/>
  <c r="N61" i="44" s="1"/>
  <c r="N59" i="59"/>
  <c r="N58" i="59"/>
  <c r="N57" i="59"/>
  <c r="N60" i="59" s="1"/>
  <c r="N62" i="59" s="1"/>
  <c r="N59" i="58"/>
  <c r="N58" i="58"/>
  <c r="N60" i="58" s="1"/>
  <c r="N62" i="58" s="1"/>
  <c r="N57" i="58"/>
  <c r="N59" i="57"/>
  <c r="N58" i="57"/>
  <c r="N60" i="57" s="1"/>
  <c r="N62" i="57" s="1"/>
  <c r="N57" i="57"/>
  <c r="N57" i="56"/>
  <c r="N56" i="56"/>
  <c r="N55" i="56"/>
  <c r="N58" i="56" s="1"/>
  <c r="N60" i="56" s="1"/>
  <c r="N57" i="17"/>
  <c r="N56" i="17"/>
  <c r="N58" i="17" s="1"/>
  <c r="N60" i="17" s="1"/>
  <c r="N55" i="17"/>
  <c r="N57" i="41"/>
  <c r="N56" i="41"/>
  <c r="N55" i="41"/>
  <c r="N58" i="41" s="1"/>
  <c r="N60" i="41" s="1"/>
  <c r="N57" i="55"/>
  <c r="N56" i="55"/>
  <c r="N55" i="55"/>
  <c r="N58" i="55" s="1"/>
  <c r="N60" i="55" s="1"/>
  <c r="N59" i="16"/>
  <c r="N61" i="16" s="1"/>
  <c r="N58" i="16"/>
  <c r="N57" i="16"/>
  <c r="N56" i="16"/>
  <c r="N59" i="34"/>
  <c r="N61" i="34" s="1"/>
  <c r="N58" i="34"/>
  <c r="N57" i="34"/>
  <c r="N56" i="34"/>
  <c r="N59" i="33"/>
  <c r="N61" i="33" s="1"/>
  <c r="N58" i="33"/>
  <c r="N57" i="33"/>
  <c r="N56" i="33"/>
  <c r="N59" i="39"/>
  <c r="N61" i="39" s="1"/>
  <c r="N58" i="39"/>
  <c r="N57" i="39"/>
  <c r="N56" i="39"/>
  <c r="N58" i="11"/>
  <c r="N57" i="11"/>
  <c r="N59" i="11" s="1"/>
  <c r="N61" i="11" s="1"/>
  <c r="N56" i="11"/>
  <c r="N58" i="32"/>
  <c r="N60" i="32" s="1"/>
  <c r="N57" i="32"/>
  <c r="N56" i="32"/>
  <c r="N55" i="32"/>
  <c r="J35" i="73" l="1"/>
  <c r="N55" i="73"/>
  <c r="J55" i="73"/>
  <c r="AH31" i="36"/>
  <c r="AI31" i="36" s="1"/>
  <c r="S34" i="72"/>
  <c r="P34" i="72"/>
  <c r="Q34" i="72" s="1"/>
  <c r="R34" i="72" s="1"/>
  <c r="P54" i="72"/>
  <c r="T53" i="72"/>
  <c r="R53" i="72"/>
  <c r="S52" i="72"/>
  <c r="I52" i="70"/>
  <c r="I52" i="71"/>
  <c r="K52" i="71" s="1"/>
  <c r="N52" i="71" s="1"/>
  <c r="I52" i="72"/>
  <c r="K53" i="72"/>
  <c r="N53" i="72" s="1"/>
  <c r="K52" i="72"/>
  <c r="N52" i="72" s="1"/>
  <c r="N45" i="72"/>
  <c r="N47" i="72" s="1"/>
  <c r="N39" i="72"/>
  <c r="N38" i="72"/>
  <c r="N37" i="72"/>
  <c r="N36" i="72"/>
  <c r="N35" i="72"/>
  <c r="N34" i="72"/>
  <c r="N33" i="72"/>
  <c r="N26" i="72"/>
  <c r="N53" i="71"/>
  <c r="K53" i="71"/>
  <c r="N45" i="71"/>
  <c r="N47" i="71" s="1"/>
  <c r="N39" i="71"/>
  <c r="N38" i="71"/>
  <c r="N37" i="71"/>
  <c r="N36" i="71"/>
  <c r="N35" i="71"/>
  <c r="N34" i="71"/>
  <c r="N33" i="71"/>
  <c r="N26" i="71"/>
  <c r="N53" i="70"/>
  <c r="K52" i="70"/>
  <c r="N52" i="70" s="1"/>
  <c r="N45" i="70"/>
  <c r="N47" i="70" s="1"/>
  <c r="N39" i="70"/>
  <c r="N38" i="70"/>
  <c r="N37" i="70"/>
  <c r="N36" i="70"/>
  <c r="N35" i="70"/>
  <c r="N34" i="70"/>
  <c r="N33" i="70"/>
  <c r="N26" i="70"/>
  <c r="I52" i="69"/>
  <c r="K52" i="69" s="1"/>
  <c r="N52" i="69" s="1"/>
  <c r="S35" i="69"/>
  <c r="K53" i="69"/>
  <c r="N53" i="69" s="1"/>
  <c r="N45" i="69"/>
  <c r="N47" i="69" s="1"/>
  <c r="N39" i="69"/>
  <c r="N38" i="69"/>
  <c r="N37" i="69"/>
  <c r="N36" i="69"/>
  <c r="N35" i="69"/>
  <c r="N34" i="69"/>
  <c r="N33" i="69"/>
  <c r="N26" i="69"/>
  <c r="K45" i="31"/>
  <c r="N45" i="31" s="1"/>
  <c r="K44" i="31"/>
  <c r="N44" i="31" s="1"/>
  <c r="I44" i="31"/>
  <c r="K44" i="30"/>
  <c r="I44" i="30"/>
  <c r="I52" i="68"/>
  <c r="K52" i="68" s="1"/>
  <c r="N52" i="68" s="1"/>
  <c r="N25" i="68"/>
  <c r="K53" i="68"/>
  <c r="N53" i="68" s="1"/>
  <c r="N45" i="68"/>
  <c r="N47" i="68" s="1"/>
  <c r="N39" i="68"/>
  <c r="N38" i="68"/>
  <c r="N37" i="68"/>
  <c r="N36" i="68"/>
  <c r="N35" i="68"/>
  <c r="N34" i="68"/>
  <c r="N33" i="68"/>
  <c r="N26" i="68"/>
  <c r="K45" i="22"/>
  <c r="K44" i="22"/>
  <c r="I44" i="22"/>
  <c r="N26" i="21"/>
  <c r="K43" i="21"/>
  <c r="K42" i="21"/>
  <c r="I42" i="21"/>
  <c r="P52" i="67"/>
  <c r="I52" i="67"/>
  <c r="N53" i="67"/>
  <c r="K53" i="67"/>
  <c r="K52" i="67"/>
  <c r="N52" i="67" s="1"/>
  <c r="N45" i="67"/>
  <c r="N47" i="67" s="1"/>
  <c r="N39" i="67"/>
  <c r="N38" i="67"/>
  <c r="N37" i="67"/>
  <c r="N36" i="67"/>
  <c r="N35" i="67"/>
  <c r="N34" i="67"/>
  <c r="N33" i="67"/>
  <c r="N26" i="67"/>
  <c r="N22" i="43"/>
  <c r="N21" i="43"/>
  <c r="N52" i="42"/>
  <c r="N28" i="42"/>
  <c r="N22" i="42"/>
  <c r="N21" i="42"/>
  <c r="P21" i="42"/>
  <c r="K43" i="20"/>
  <c r="K42" i="20"/>
  <c r="I42" i="20"/>
  <c r="N25" i="60"/>
  <c r="K53" i="66"/>
  <c r="N53" i="66" s="1"/>
  <c r="I52" i="66"/>
  <c r="K52" i="66" s="1"/>
  <c r="N52" i="66" s="1"/>
  <c r="N56" i="66" s="1"/>
  <c r="N45" i="66"/>
  <c r="N47" i="66" s="1"/>
  <c r="N39" i="66"/>
  <c r="N38" i="66"/>
  <c r="N37" i="66"/>
  <c r="N36" i="66"/>
  <c r="N35" i="66"/>
  <c r="N34" i="66"/>
  <c r="N33" i="66"/>
  <c r="N26" i="66"/>
  <c r="K45" i="52"/>
  <c r="K44" i="52"/>
  <c r="K53" i="65"/>
  <c r="N53" i="65" s="1"/>
  <c r="K52" i="65"/>
  <c r="K46" i="51"/>
  <c r="K45" i="51"/>
  <c r="K52" i="64"/>
  <c r="K52" i="63"/>
  <c r="K53" i="62"/>
  <c r="K52" i="62"/>
  <c r="K53" i="61"/>
  <c r="K52" i="61"/>
  <c r="K53" i="60"/>
  <c r="K52" i="60"/>
  <c r="K43" i="34"/>
  <c r="K43" i="32"/>
  <c r="K42" i="32"/>
  <c r="K46" i="46"/>
  <c r="K45" i="46"/>
  <c r="N27" i="46"/>
  <c r="N29" i="46" s="1"/>
  <c r="I52" i="65"/>
  <c r="N33" i="65"/>
  <c r="P33" i="65"/>
  <c r="N26" i="65"/>
  <c r="N25" i="65"/>
  <c r="N45" i="65"/>
  <c r="N47" i="65" s="1"/>
  <c r="N39" i="65"/>
  <c r="N38" i="65"/>
  <c r="N37" i="65"/>
  <c r="N36" i="65"/>
  <c r="N35" i="65"/>
  <c r="N34" i="65"/>
  <c r="F41" i="36"/>
  <c r="N59" i="42" l="1"/>
  <c r="N58" i="42"/>
  <c r="N57" i="42"/>
  <c r="AF41" i="36"/>
  <c r="AL41" i="36"/>
  <c r="N40" i="72"/>
  <c r="N56" i="72"/>
  <c r="N56" i="71"/>
  <c r="N24" i="71" s="1"/>
  <c r="N28" i="71" s="1"/>
  <c r="N40" i="71"/>
  <c r="N40" i="70"/>
  <c r="N56" i="70"/>
  <c r="N56" i="69"/>
  <c r="N24" i="69" s="1"/>
  <c r="N28" i="69" s="1"/>
  <c r="N40" i="69"/>
  <c r="N56" i="68"/>
  <c r="N24" i="68" s="1"/>
  <c r="N28" i="68" s="1"/>
  <c r="N40" i="68"/>
  <c r="N40" i="67"/>
  <c r="N56" i="67"/>
  <c r="N24" i="67" s="1"/>
  <c r="N28" i="67" s="1"/>
  <c r="N40" i="66"/>
  <c r="N24" i="66"/>
  <c r="N28" i="66" s="1"/>
  <c r="N52" i="65"/>
  <c r="N40" i="65"/>
  <c r="N56" i="65"/>
  <c r="N53" i="64"/>
  <c r="I52" i="64"/>
  <c r="N52" i="64" s="1"/>
  <c r="N56" i="64" s="1"/>
  <c r="N45" i="64"/>
  <c r="N47" i="64" s="1"/>
  <c r="N39" i="64"/>
  <c r="N38" i="64"/>
  <c r="N37" i="64"/>
  <c r="N36" i="64"/>
  <c r="N35" i="64"/>
  <c r="N34" i="64"/>
  <c r="N33" i="64"/>
  <c r="N40" i="64" s="1"/>
  <c r="N26" i="64"/>
  <c r="N25" i="64"/>
  <c r="N53" i="63"/>
  <c r="N52" i="63"/>
  <c r="N56" i="63" s="1"/>
  <c r="N58" i="63" s="1"/>
  <c r="I52" i="63"/>
  <c r="N45" i="63"/>
  <c r="N47" i="63" s="1"/>
  <c r="N39" i="63"/>
  <c r="N38" i="63"/>
  <c r="N37" i="63"/>
  <c r="N40" i="63" s="1"/>
  <c r="N36" i="63"/>
  <c r="N35" i="63"/>
  <c r="N34" i="63"/>
  <c r="N33" i="63"/>
  <c r="N26" i="63"/>
  <c r="N25" i="63"/>
  <c r="N60" i="42" l="1"/>
  <c r="N62" i="42" s="1"/>
  <c r="AH41" i="36"/>
  <c r="AI41" i="36" s="1"/>
  <c r="N24" i="72"/>
  <c r="N28" i="72" s="1"/>
  <c r="N58" i="72" s="1"/>
  <c r="N58" i="71"/>
  <c r="N24" i="70"/>
  <c r="N28" i="70" s="1"/>
  <c r="N58" i="70" s="1"/>
  <c r="N58" i="69"/>
  <c r="N64" i="69" s="1"/>
  <c r="N58" i="68"/>
  <c r="N63" i="68" s="1"/>
  <c r="N58" i="67"/>
  <c r="N58" i="66"/>
  <c r="N65" i="66" s="1"/>
  <c r="N24" i="65"/>
  <c r="N28" i="65" s="1"/>
  <c r="N58" i="65"/>
  <c r="N58" i="64"/>
  <c r="K24" i="64"/>
  <c r="N24" i="64"/>
  <c r="N28" i="64" s="1"/>
  <c r="N65" i="71" l="1"/>
  <c r="N65" i="72"/>
  <c r="N63" i="72"/>
  <c r="N64" i="72"/>
  <c r="N63" i="71"/>
  <c r="N64" i="71"/>
  <c r="N65" i="70"/>
  <c r="N64" i="70"/>
  <c r="N63" i="70"/>
  <c r="N63" i="69"/>
  <c r="N65" i="69"/>
  <c r="N65" i="68"/>
  <c r="N64" i="68"/>
  <c r="N65" i="67"/>
  <c r="N63" i="67"/>
  <c r="N64" i="67"/>
  <c r="N63" i="66"/>
  <c r="N64" i="66"/>
  <c r="N65" i="64"/>
  <c r="N64" i="64"/>
  <c r="N63" i="64"/>
  <c r="N24" i="63"/>
  <c r="N28" i="63" s="1"/>
  <c r="N66" i="72" l="1"/>
  <c r="N68" i="72" s="1"/>
  <c r="N66" i="71"/>
  <c r="N68" i="71" s="1"/>
  <c r="N66" i="70"/>
  <c r="N68" i="70" s="1"/>
  <c r="N66" i="69"/>
  <c r="N68" i="69" s="1"/>
  <c r="N66" i="68"/>
  <c r="N68" i="68" s="1"/>
  <c r="N66" i="67"/>
  <c r="N68" i="67" s="1"/>
  <c r="N66" i="66"/>
  <c r="N68" i="66" s="1"/>
  <c r="N66" i="64"/>
  <c r="N68" i="64" s="1"/>
  <c r="N65" i="63"/>
  <c r="N63" i="63"/>
  <c r="N64" i="63"/>
  <c r="N66" i="63" l="1"/>
  <c r="N68" i="63" s="1"/>
  <c r="I52" i="61" l="1"/>
  <c r="I52" i="60"/>
  <c r="N53" i="62"/>
  <c r="N52" i="62"/>
  <c r="I52" i="62"/>
  <c r="N45" i="62"/>
  <c r="N47" i="62" s="1"/>
  <c r="N39" i="62"/>
  <c r="N38" i="62"/>
  <c r="N37" i="62"/>
  <c r="N36" i="62"/>
  <c r="N35" i="62"/>
  <c r="N34" i="62"/>
  <c r="N33" i="62"/>
  <c r="N26" i="62"/>
  <c r="N25" i="62"/>
  <c r="N40" i="62" l="1"/>
  <c r="N56" i="62"/>
  <c r="N53" i="61"/>
  <c r="N52" i="61"/>
  <c r="N45" i="61"/>
  <c r="N47" i="61" s="1"/>
  <c r="N39" i="61"/>
  <c r="N38" i="61"/>
  <c r="N37" i="61"/>
  <c r="N36" i="61"/>
  <c r="N35" i="61"/>
  <c r="N34" i="61"/>
  <c r="N33" i="61"/>
  <c r="N26" i="61"/>
  <c r="N25" i="61"/>
  <c r="N24" i="62" l="1"/>
  <c r="N28" i="62" s="1"/>
  <c r="N40" i="61"/>
  <c r="N56" i="61"/>
  <c r="N24" i="61" s="1"/>
  <c r="N28" i="61" s="1"/>
  <c r="S12" i="58"/>
  <c r="N53" i="60"/>
  <c r="N52" i="60"/>
  <c r="N45" i="60"/>
  <c r="N47" i="60" s="1"/>
  <c r="N39" i="60"/>
  <c r="N38" i="60"/>
  <c r="N37" i="60"/>
  <c r="N36" i="60"/>
  <c r="N35" i="60"/>
  <c r="N34" i="60"/>
  <c r="N33" i="60"/>
  <c r="N26" i="60"/>
  <c r="P44" i="57"/>
  <c r="N58" i="62" l="1"/>
  <c r="N58" i="61"/>
  <c r="N63" i="61" s="1"/>
  <c r="N56" i="60"/>
  <c r="N40" i="60"/>
  <c r="N63" i="62" l="1"/>
  <c r="N65" i="62"/>
  <c r="N64" i="62"/>
  <c r="N64" i="61"/>
  <c r="N65" i="61"/>
  <c r="N24" i="60"/>
  <c r="N28" i="60" s="1"/>
  <c r="N58" i="60" s="1"/>
  <c r="N66" i="62"/>
  <c r="N68" i="62" s="1"/>
  <c r="N66" i="61" l="1"/>
  <c r="N68" i="61" s="1"/>
  <c r="K44" i="44" l="1"/>
  <c r="P44" i="59"/>
  <c r="I44" i="59"/>
  <c r="K44" i="59" s="1"/>
  <c r="N44" i="59" s="1"/>
  <c r="N46" i="59"/>
  <c r="K45" i="59"/>
  <c r="N45" i="59" s="1"/>
  <c r="N34" i="59"/>
  <c r="N39" i="59" s="1"/>
  <c r="N28" i="59"/>
  <c r="N27" i="59"/>
  <c r="N26" i="59"/>
  <c r="N25" i="59"/>
  <c r="N24" i="59"/>
  <c r="N23" i="59"/>
  <c r="N22" i="59"/>
  <c r="N12" i="59"/>
  <c r="N11" i="59"/>
  <c r="N10" i="59"/>
  <c r="N9" i="59"/>
  <c r="N50" i="59" l="1"/>
  <c r="N16" i="59" s="1"/>
  <c r="N17" i="59"/>
  <c r="N29" i="59"/>
  <c r="G28" i="36"/>
  <c r="G29" i="36"/>
  <c r="I44" i="57"/>
  <c r="K44" i="57" s="1"/>
  <c r="N44" i="57" s="1"/>
  <c r="N22" i="57"/>
  <c r="N46" i="57"/>
  <c r="K45" i="57"/>
  <c r="N45" i="57" s="1"/>
  <c r="N34" i="57"/>
  <c r="N39" i="57" s="1"/>
  <c r="N28" i="57"/>
  <c r="N27" i="57"/>
  <c r="N26" i="57"/>
  <c r="N25" i="57"/>
  <c r="N24" i="57"/>
  <c r="N23" i="57"/>
  <c r="N12" i="57"/>
  <c r="N11" i="57"/>
  <c r="N10" i="57"/>
  <c r="R44" i="58"/>
  <c r="Q44" i="58"/>
  <c r="P44" i="58"/>
  <c r="K45" i="58"/>
  <c r="I44" i="58"/>
  <c r="N50" i="57" l="1"/>
  <c r="N16" i="57" s="1"/>
  <c r="N17" i="57" s="1"/>
  <c r="N52" i="59"/>
  <c r="N29" i="57"/>
  <c r="P27" i="58"/>
  <c r="N52" i="57" l="1"/>
  <c r="N23" i="45" l="1"/>
  <c r="N24" i="45"/>
  <c r="N25" i="45"/>
  <c r="N26" i="45"/>
  <c r="N27" i="45"/>
  <c r="N28" i="45"/>
  <c r="N23" i="58" l="1"/>
  <c r="N26" i="58"/>
  <c r="N24" i="58"/>
  <c r="N25" i="58"/>
  <c r="N27" i="58"/>
  <c r="N28" i="58"/>
  <c r="P24" i="58"/>
  <c r="N22" i="58"/>
  <c r="S25" i="58"/>
  <c r="R25" i="58"/>
  <c r="R24" i="58"/>
  <c r="Q24" i="58"/>
  <c r="S22" i="58"/>
  <c r="R22" i="58"/>
  <c r="Q22" i="58"/>
  <c r="P22" i="58"/>
  <c r="Q11" i="58"/>
  <c r="P11" i="58"/>
  <c r="P10" i="58"/>
  <c r="N12" i="58"/>
  <c r="Q12" i="58"/>
  <c r="P12" i="58"/>
  <c r="N46" i="58"/>
  <c r="N45" i="58"/>
  <c r="K44" i="58"/>
  <c r="N44" i="58" s="1"/>
  <c r="N34" i="58"/>
  <c r="N39" i="58" s="1"/>
  <c r="N11" i="58"/>
  <c r="N10" i="58"/>
  <c r="N9" i="58"/>
  <c r="N50" i="58" l="1"/>
  <c r="N16" i="58" s="1"/>
  <c r="N17" i="58" s="1"/>
  <c r="N29" i="58"/>
  <c r="N52" i="58" l="1"/>
  <c r="P42" i="56"/>
  <c r="S10" i="56"/>
  <c r="S9" i="56"/>
  <c r="Q10" i="56"/>
  <c r="R9" i="56"/>
  <c r="K32" i="56"/>
  <c r="N32" i="56" s="1"/>
  <c r="I32" i="56"/>
  <c r="I42" i="56"/>
  <c r="AF28" i="36" l="1"/>
  <c r="AL28" i="36"/>
  <c r="AF30" i="36"/>
  <c r="AL30" i="36"/>
  <c r="N44" i="56"/>
  <c r="N43" i="56"/>
  <c r="K42" i="56"/>
  <c r="N42" i="56" s="1"/>
  <c r="N37" i="56"/>
  <c r="N22" i="56"/>
  <c r="N27" i="56" s="1"/>
  <c r="N11" i="56"/>
  <c r="N10" i="56"/>
  <c r="N9" i="56"/>
  <c r="P42" i="55"/>
  <c r="N42" i="55"/>
  <c r="R10" i="55"/>
  <c r="V9" i="55"/>
  <c r="U9" i="55"/>
  <c r="S9" i="55"/>
  <c r="Q9" i="55"/>
  <c r="P9" i="55"/>
  <c r="I44" i="55"/>
  <c r="K44" i="55" s="1"/>
  <c r="N44" i="55" s="1"/>
  <c r="K43" i="55"/>
  <c r="N43" i="55" s="1"/>
  <c r="I42" i="55"/>
  <c r="K42" i="55" s="1"/>
  <c r="K32" i="55"/>
  <c r="N32" i="55" s="1"/>
  <c r="N37" i="55" s="1"/>
  <c r="M22" i="55"/>
  <c r="N22" i="55" s="1"/>
  <c r="N27" i="55" s="1"/>
  <c r="N10" i="55"/>
  <c r="N9" i="55"/>
  <c r="P42" i="17"/>
  <c r="N43" i="17"/>
  <c r="N26" i="41"/>
  <c r="N37" i="41"/>
  <c r="N10" i="16"/>
  <c r="N9" i="16"/>
  <c r="N44" i="15"/>
  <c r="N43" i="15"/>
  <c r="N44" i="14"/>
  <c r="N43" i="14"/>
  <c r="P9" i="15"/>
  <c r="AH30" i="36" l="1"/>
  <c r="AI30" i="36" s="1"/>
  <c r="AH28" i="36"/>
  <c r="AI28" i="36" s="1"/>
  <c r="N48" i="56"/>
  <c r="N48" i="55"/>
  <c r="N16" i="55" s="1"/>
  <c r="N17" i="55" s="1"/>
  <c r="N50" i="55" s="1"/>
  <c r="N51" i="33"/>
  <c r="N51" i="39"/>
  <c r="N27" i="33"/>
  <c r="N32" i="33"/>
  <c r="K32" i="33"/>
  <c r="N21" i="33"/>
  <c r="N42" i="10"/>
  <c r="N43" i="39"/>
  <c r="N16" i="56" l="1"/>
  <c r="N17" i="56" s="1"/>
  <c r="N50" i="56" s="1"/>
  <c r="I43" i="32"/>
  <c r="P43" i="32"/>
  <c r="N8" i="32" l="1"/>
  <c r="N9" i="32"/>
  <c r="N15" i="32" s="1"/>
  <c r="N20" i="32"/>
  <c r="N26" i="32" s="1"/>
  <c r="N21" i="32"/>
  <c r="N22" i="32"/>
  <c r="N23" i="32"/>
  <c r="N24" i="32"/>
  <c r="N25" i="32"/>
  <c r="N31" i="32"/>
  <c r="N37" i="32"/>
  <c r="N42" i="32"/>
  <c r="N43" i="32"/>
  <c r="N48" i="32" l="1"/>
  <c r="N50" i="32" s="1"/>
  <c r="O64" i="36"/>
  <c r="P64" i="36" l="1"/>
  <c r="Q64" i="36" l="1"/>
  <c r="R49" i="36" l="1"/>
  <c r="F49" i="36" s="1"/>
  <c r="R64" i="36"/>
  <c r="AC49" i="36" l="1"/>
  <c r="S64" i="36"/>
  <c r="H53" i="73" l="1"/>
  <c r="T64" i="36"/>
  <c r="T33" i="36"/>
  <c r="L46" i="36"/>
  <c r="N53" i="73" l="1"/>
  <c r="J53" i="73"/>
  <c r="AC33" i="36"/>
  <c r="H37" i="73" s="1"/>
  <c r="AC64" i="36"/>
  <c r="H70" i="73" s="1"/>
  <c r="N10" i="17"/>
  <c r="N11" i="17"/>
  <c r="P9" i="17"/>
  <c r="N9" i="17"/>
  <c r="K32" i="17"/>
  <c r="N32" i="17" s="1"/>
  <c r="P32" i="34"/>
  <c r="Q33" i="17"/>
  <c r="M22" i="17"/>
  <c r="N9" i="41"/>
  <c r="I43" i="34"/>
  <c r="J37" i="73" l="1"/>
  <c r="N37" i="73"/>
  <c r="J59" i="73"/>
  <c r="J70" i="73"/>
  <c r="J71" i="73" s="1"/>
  <c r="N70" i="73"/>
  <c r="P42" i="19"/>
  <c r="K43" i="19"/>
  <c r="N43" i="19" s="1"/>
  <c r="K42" i="19"/>
  <c r="N42" i="19" s="1"/>
  <c r="I42" i="17"/>
  <c r="K42" i="17" s="1"/>
  <c r="N42" i="17" s="1"/>
  <c r="K43" i="17"/>
  <c r="I44" i="17"/>
  <c r="K44" i="17" s="1"/>
  <c r="N44" i="17" s="1"/>
  <c r="I43" i="16"/>
  <c r="K43" i="16" s="1"/>
  <c r="N43" i="16" s="1"/>
  <c r="I45" i="48"/>
  <c r="I45" i="46"/>
  <c r="I45" i="45"/>
  <c r="I43" i="44"/>
  <c r="I45" i="51"/>
  <c r="I44" i="49"/>
  <c r="I44" i="43"/>
  <c r="I44" i="42"/>
  <c r="N21" i="41"/>
  <c r="K43" i="41"/>
  <c r="N43" i="41" s="1"/>
  <c r="K42" i="41"/>
  <c r="N42" i="41" s="1"/>
  <c r="I42" i="41"/>
  <c r="K44" i="15"/>
  <c r="K43" i="15"/>
  <c r="I44" i="15"/>
  <c r="I44" i="14"/>
  <c r="I43" i="39"/>
  <c r="I44" i="54"/>
  <c r="P44" i="54"/>
  <c r="N14" i="36"/>
  <c r="AD14" i="36" s="1"/>
  <c r="K44" i="54"/>
  <c r="N44" i="54" s="1"/>
  <c r="K45" i="54"/>
  <c r="N45" i="54" s="1"/>
  <c r="N38" i="54"/>
  <c r="N37" i="54"/>
  <c r="N36" i="54"/>
  <c r="N35" i="54"/>
  <c r="N34" i="54"/>
  <c r="N33" i="54"/>
  <c r="N27" i="54"/>
  <c r="N26" i="54"/>
  <c r="N25" i="54"/>
  <c r="N24" i="54"/>
  <c r="N23" i="54"/>
  <c r="N22" i="54"/>
  <c r="N21" i="54"/>
  <c r="N13" i="54"/>
  <c r="N12" i="54"/>
  <c r="N11" i="54"/>
  <c r="N10" i="54"/>
  <c r="N9" i="54"/>
  <c r="I44" i="38"/>
  <c r="K44" i="38" s="1"/>
  <c r="N44" i="38" s="1"/>
  <c r="N50" i="38" s="1"/>
  <c r="N21" i="38"/>
  <c r="N20" i="38"/>
  <c r="N28" i="38" s="1"/>
  <c r="N22" i="52"/>
  <c r="N23" i="52"/>
  <c r="N24" i="52"/>
  <c r="N25" i="52"/>
  <c r="N26" i="52"/>
  <c r="N21" i="52"/>
  <c r="N20" i="52"/>
  <c r="N39" i="52"/>
  <c r="N45" i="52"/>
  <c r="N44" i="52"/>
  <c r="P21" i="52"/>
  <c r="J76" i="73" l="1"/>
  <c r="L76" i="73"/>
  <c r="J81" i="73"/>
  <c r="J82" i="73" s="1"/>
  <c r="N48" i="41"/>
  <c r="N39" i="54"/>
  <c r="N28" i="54"/>
  <c r="N50" i="52"/>
  <c r="N10" i="52" s="1"/>
  <c r="N50" i="54"/>
  <c r="N14" i="54" s="1"/>
  <c r="N16" i="54" s="1"/>
  <c r="N13" i="38"/>
  <c r="N15" i="38" s="1"/>
  <c r="N52" i="38" s="1"/>
  <c r="N28" i="52"/>
  <c r="N9" i="52"/>
  <c r="N11" i="52"/>
  <c r="N8" i="52"/>
  <c r="N52" i="54" l="1"/>
  <c r="N13" i="52"/>
  <c r="N15" i="52" s="1"/>
  <c r="N52" i="52" s="1"/>
  <c r="N15" i="41"/>
  <c r="N16" i="41" s="1"/>
  <c r="N50" i="41" s="1"/>
  <c r="N58" i="54" l="1"/>
  <c r="N59" i="54"/>
  <c r="N57" i="54"/>
  <c r="N60" i="54" s="1"/>
  <c r="N62" i="54" s="1"/>
  <c r="P21" i="51"/>
  <c r="N46" i="51"/>
  <c r="N45" i="51"/>
  <c r="N40" i="51"/>
  <c r="N27" i="51"/>
  <c r="N26" i="51"/>
  <c r="N25" i="51"/>
  <c r="N24" i="51"/>
  <c r="N23" i="51"/>
  <c r="N22" i="51"/>
  <c r="N21" i="51"/>
  <c r="N10" i="51"/>
  <c r="N9" i="51"/>
  <c r="N29" i="51" l="1"/>
  <c r="N51" i="51"/>
  <c r="N14" i="51" l="1"/>
  <c r="N16" i="51" s="1"/>
  <c r="N53" i="51" l="1"/>
  <c r="N39" i="49" l="1"/>
  <c r="K33" i="49"/>
  <c r="N22" i="49"/>
  <c r="K22" i="49"/>
  <c r="K45" i="49"/>
  <c r="N45" i="49" s="1"/>
  <c r="K44" i="49"/>
  <c r="N44" i="49" s="1"/>
  <c r="N21" i="49"/>
  <c r="N50" i="49" l="1"/>
  <c r="N28" i="49"/>
  <c r="N16" i="49" l="1"/>
  <c r="N52" i="49" s="1"/>
  <c r="N59" i="49" l="1"/>
  <c r="N58" i="49"/>
  <c r="N57" i="49"/>
  <c r="N60" i="49" l="1"/>
  <c r="N62" i="49" s="1"/>
  <c r="N11" i="44" l="1"/>
  <c r="K20" i="44" l="1"/>
  <c r="X40" i="36"/>
  <c r="W40" i="36"/>
  <c r="X39" i="36"/>
  <c r="W39" i="36"/>
  <c r="N38" i="36"/>
  <c r="AD38" i="36" s="1"/>
  <c r="Y39" i="36" l="1"/>
  <c r="N39" i="36" s="1"/>
  <c r="X38" i="36"/>
  <c r="Y40" i="36"/>
  <c r="W38" i="36"/>
  <c r="AA40" i="36"/>
  <c r="AD39" i="36"/>
  <c r="K46" i="48"/>
  <c r="N46" i="48" s="1"/>
  <c r="K45" i="48"/>
  <c r="N45" i="48" s="1"/>
  <c r="K34" i="48"/>
  <c r="N34" i="48" s="1"/>
  <c r="N40" i="48" s="1"/>
  <c r="N27" i="48"/>
  <c r="N26" i="48"/>
  <c r="N25" i="48"/>
  <c r="N24" i="48"/>
  <c r="N23" i="48"/>
  <c r="N22" i="48"/>
  <c r="N21" i="48"/>
  <c r="N12" i="48"/>
  <c r="N11" i="48"/>
  <c r="N10" i="48"/>
  <c r="N9" i="48"/>
  <c r="K34" i="46"/>
  <c r="N34" i="46" s="1"/>
  <c r="N40" i="46" s="1"/>
  <c r="N26" i="46"/>
  <c r="N25" i="46"/>
  <c r="N24" i="46"/>
  <c r="N23" i="46"/>
  <c r="N22" i="46"/>
  <c r="N21" i="46"/>
  <c r="N45" i="46"/>
  <c r="N12" i="46"/>
  <c r="N11" i="46"/>
  <c r="N10" i="46"/>
  <c r="N9" i="46"/>
  <c r="F62" i="36"/>
  <c r="N46" i="46"/>
  <c r="F44" i="36"/>
  <c r="AL44" i="36" s="1"/>
  <c r="F63" i="36"/>
  <c r="AL63" i="36" s="1"/>
  <c r="F64" i="36"/>
  <c r="AL64" i="36" s="1"/>
  <c r="N37" i="36"/>
  <c r="AD37" i="36" s="1"/>
  <c r="AD36" i="36"/>
  <c r="AF62" i="36" l="1"/>
  <c r="AL62" i="36"/>
  <c r="Y38" i="36"/>
  <c r="AA38" i="36" s="1"/>
  <c r="AF64" i="36"/>
  <c r="AF63" i="36"/>
  <c r="AF44" i="36"/>
  <c r="AF45" i="36"/>
  <c r="AB38" i="36"/>
  <c r="N29" i="48"/>
  <c r="N51" i="48"/>
  <c r="N14" i="48" s="1"/>
  <c r="N16" i="48" s="1"/>
  <c r="N53" i="48" s="1"/>
  <c r="N51" i="46"/>
  <c r="F36" i="36"/>
  <c r="AL36" i="36" s="1"/>
  <c r="F37" i="36"/>
  <c r="AL37" i="36" s="1"/>
  <c r="F35" i="36"/>
  <c r="N10" i="44"/>
  <c r="N9" i="44"/>
  <c r="N10" i="45"/>
  <c r="K46" i="45"/>
  <c r="N46" i="45" s="1"/>
  <c r="K45" i="45"/>
  <c r="N45" i="45" s="1"/>
  <c r="N22" i="45"/>
  <c r="K43" i="44"/>
  <c r="N43" i="44" s="1"/>
  <c r="N21" i="44"/>
  <c r="N22" i="44"/>
  <c r="N20" i="44"/>
  <c r="N44" i="44"/>
  <c r="AF35" i="36" l="1"/>
  <c r="AL35" i="36"/>
  <c r="AH62" i="36"/>
  <c r="AI62" i="36" s="1"/>
  <c r="AH63" i="36"/>
  <c r="AI63" i="36" s="1"/>
  <c r="AH64" i="36"/>
  <c r="AI64" i="36" s="1"/>
  <c r="AH44" i="36"/>
  <c r="AI44" i="36" s="1"/>
  <c r="AH45" i="36"/>
  <c r="AI45" i="36" s="1"/>
  <c r="AF37" i="36"/>
  <c r="AF36" i="36"/>
  <c r="N29" i="45"/>
  <c r="N49" i="44"/>
  <c r="N14" i="44" s="1"/>
  <c r="N15" i="44" s="1"/>
  <c r="N14" i="46"/>
  <c r="N16" i="46" s="1"/>
  <c r="N53" i="46" s="1"/>
  <c r="N51" i="45"/>
  <c r="N15" i="45" s="1"/>
  <c r="N27" i="44"/>
  <c r="AH35" i="36" l="1"/>
  <c r="AI35" i="36" s="1"/>
  <c r="AH37" i="36"/>
  <c r="AI37" i="36" s="1"/>
  <c r="AH36" i="36"/>
  <c r="AI36" i="36" s="1"/>
  <c r="N51" i="44"/>
  <c r="N17" i="45"/>
  <c r="N53" i="45" s="1"/>
  <c r="F34" i="36" l="1"/>
  <c r="AL34" i="36" s="1"/>
  <c r="AF34" i="36" l="1"/>
  <c r="N28" i="43"/>
  <c r="K45" i="43"/>
  <c r="N45" i="43" s="1"/>
  <c r="K44" i="43"/>
  <c r="N44" i="43" s="1"/>
  <c r="P9" i="43"/>
  <c r="N9" i="43"/>
  <c r="N9" i="42"/>
  <c r="P9" i="42"/>
  <c r="K45" i="42"/>
  <c r="N45" i="42" s="1"/>
  <c r="K44" i="42"/>
  <c r="N44" i="42" s="1"/>
  <c r="K44" i="14"/>
  <c r="K43" i="14"/>
  <c r="AH34" i="36" l="1"/>
  <c r="AI34" i="36" s="1"/>
  <c r="N50" i="42"/>
  <c r="N14" i="42"/>
  <c r="N16" i="42" s="1"/>
  <c r="N50" i="43"/>
  <c r="N14" i="43" l="1"/>
  <c r="N16" i="43" s="1"/>
  <c r="N52" i="43" s="1"/>
  <c r="N59" i="43" l="1"/>
  <c r="N58" i="43"/>
  <c r="N57" i="43"/>
  <c r="N60" i="43" s="1"/>
  <c r="N62" i="43" s="1"/>
  <c r="F51" i="36"/>
  <c r="AL51" i="36" s="1"/>
  <c r="N15" i="36"/>
  <c r="AD15" i="36" s="1"/>
  <c r="F14" i="36"/>
  <c r="AL14" i="36" s="1"/>
  <c r="F43" i="36"/>
  <c r="AL43" i="36" s="1"/>
  <c r="AF43" i="36" l="1"/>
  <c r="AF14" i="36"/>
  <c r="AF51" i="36"/>
  <c r="H18" i="36"/>
  <c r="F29" i="36"/>
  <c r="AL29" i="36" s="1"/>
  <c r="AH14" i="36" l="1"/>
  <c r="AI14" i="36" s="1"/>
  <c r="AH51" i="36"/>
  <c r="AI51" i="36" s="1"/>
  <c r="AH43" i="36"/>
  <c r="AI43" i="36" s="1"/>
  <c r="AF29" i="36"/>
  <c r="AH29" i="36" l="1"/>
  <c r="AI29" i="36" s="1"/>
  <c r="K43" i="33"/>
  <c r="Q43" i="39"/>
  <c r="K43" i="39"/>
  <c r="N49" i="39" s="1"/>
  <c r="N15" i="39" s="1"/>
  <c r="B43" i="39"/>
  <c r="K32" i="39"/>
  <c r="N32" i="39" s="1"/>
  <c r="N38" i="39" s="1"/>
  <c r="H32" i="39"/>
  <c r="B32" i="39"/>
  <c r="S10" i="39"/>
  <c r="T10" i="39" s="1"/>
  <c r="N9" i="39"/>
  <c r="B9" i="39"/>
  <c r="F61" i="36"/>
  <c r="AL61" i="36" s="1"/>
  <c r="AF61" i="36" l="1"/>
  <c r="N16" i="39"/>
  <c r="AH61" i="36" l="1"/>
  <c r="AI61" i="36" s="1"/>
  <c r="H33" i="36" l="1"/>
  <c r="F33" i="36" s="1"/>
  <c r="AL33" i="36"/>
  <c r="G24" i="36"/>
  <c r="G19" i="36"/>
  <c r="AE19" i="36" s="1"/>
  <c r="H19" i="36"/>
  <c r="AL13" i="36"/>
  <c r="C12" i="36"/>
  <c r="C13" i="36" s="1"/>
  <c r="C14" i="36" s="1"/>
  <c r="C15" i="36" s="1"/>
  <c r="AE33" i="36" l="1"/>
  <c r="AF13" i="36"/>
  <c r="Z15" i="36"/>
  <c r="Y15" i="36"/>
  <c r="X15" i="36"/>
  <c r="W15" i="36"/>
  <c r="H15" i="36"/>
  <c r="G15" i="36"/>
  <c r="H12" i="36"/>
  <c r="F12" i="36" s="1"/>
  <c r="G10" i="36"/>
  <c r="F10" i="36" s="1"/>
  <c r="F48" i="36"/>
  <c r="AL48" i="36" s="1"/>
  <c r="G54" i="36"/>
  <c r="G53" i="36"/>
  <c r="G56" i="36"/>
  <c r="G58" i="36" s="1"/>
  <c r="G26" i="36"/>
  <c r="F15" i="36" l="1"/>
  <c r="AH13" i="36"/>
  <c r="AI13" i="36" s="1"/>
  <c r="AA15" i="36"/>
  <c r="I47" i="36"/>
  <c r="I42" i="36"/>
  <c r="I40" i="36"/>
  <c r="I38" i="36"/>
  <c r="I39" i="36"/>
  <c r="AF10" i="36" l="1"/>
  <c r="AL10" i="36"/>
  <c r="X46" i="36"/>
  <c r="W46" i="36"/>
  <c r="H46" i="36"/>
  <c r="K47" i="36"/>
  <c r="F47" i="36" s="1"/>
  <c r="AL47" i="36" s="1"/>
  <c r="K42" i="36"/>
  <c r="F42" i="36" s="1"/>
  <c r="AL42" i="36" s="1"/>
  <c r="K40" i="36"/>
  <c r="AE40" i="36" s="1"/>
  <c r="H38" i="36"/>
  <c r="H39" i="36"/>
  <c r="G23" i="36"/>
  <c r="G25" i="36" s="1"/>
  <c r="H23" i="36"/>
  <c r="AH10" i="36" l="1"/>
  <c r="AI10" i="36" s="1"/>
  <c r="AE42" i="36"/>
  <c r="AE47" i="36"/>
  <c r="AE46" i="36"/>
  <c r="AE38" i="36"/>
  <c r="F23" i="36"/>
  <c r="F39" i="36"/>
  <c r="AL39" i="36" s="1"/>
  <c r="AE39" i="36"/>
  <c r="F40" i="36"/>
  <c r="Y46" i="36"/>
  <c r="AF23" i="36" l="1"/>
  <c r="AH23" i="36" s="1"/>
  <c r="AI23" i="36" s="1"/>
  <c r="AL23" i="36"/>
  <c r="AF40" i="36"/>
  <c r="AL40" i="36"/>
  <c r="AF39" i="36"/>
  <c r="AF42" i="36"/>
  <c r="AF47" i="36"/>
  <c r="G18" i="36"/>
  <c r="AE18" i="36" s="1"/>
  <c r="AF33" i="36"/>
  <c r="K43" i="13"/>
  <c r="P9" i="13"/>
  <c r="K43" i="11"/>
  <c r="I43" i="11"/>
  <c r="K42" i="10"/>
  <c r="I42" i="10"/>
  <c r="AH40" i="36" l="1"/>
  <c r="AI40" i="36" s="1"/>
  <c r="AH47" i="36"/>
  <c r="AI47" i="36" s="1"/>
  <c r="AH39" i="36"/>
  <c r="AI39" i="36" s="1"/>
  <c r="AH42" i="36"/>
  <c r="AI42" i="36" s="1"/>
  <c r="AH33" i="36"/>
  <c r="AI33" i="36" s="1"/>
  <c r="AL20" i="36"/>
  <c r="Q43" i="11"/>
  <c r="AF20" i="36" l="1"/>
  <c r="F59" i="36"/>
  <c r="AL59" i="36" s="1"/>
  <c r="F58" i="36"/>
  <c r="AL58" i="36" s="1"/>
  <c r="F57" i="36"/>
  <c r="AL57" i="36" s="1"/>
  <c r="F56" i="36"/>
  <c r="AL56" i="36" s="1"/>
  <c r="F54" i="36"/>
  <c r="AL54" i="36" s="1"/>
  <c r="F53" i="36"/>
  <c r="AL53" i="36" s="1"/>
  <c r="F52" i="36"/>
  <c r="AL52" i="36" s="1"/>
  <c r="F50" i="36"/>
  <c r="AL50" i="36" s="1"/>
  <c r="AL49" i="36"/>
  <c r="F46" i="36"/>
  <c r="AL46" i="36" s="1"/>
  <c r="F38" i="36"/>
  <c r="F26" i="36"/>
  <c r="AL26" i="36" s="1"/>
  <c r="F25" i="36"/>
  <c r="AL25" i="36" s="1"/>
  <c r="F24" i="36"/>
  <c r="AL24" i="36" s="1"/>
  <c r="F19" i="36"/>
  <c r="AL19" i="36" s="1"/>
  <c r="F18" i="36"/>
  <c r="AL18" i="36" s="1"/>
  <c r="AL12" i="36"/>
  <c r="AL16" i="36"/>
  <c r="C16" i="36"/>
  <c r="C18" i="36" s="1"/>
  <c r="C19" i="36" s="1"/>
  <c r="AF38" i="36" l="1"/>
  <c r="AL38" i="36"/>
  <c r="G67" i="36"/>
  <c r="F67" i="36" s="1"/>
  <c r="AL15" i="36"/>
  <c r="AH20" i="36"/>
  <c r="AI20" i="36" s="1"/>
  <c r="AF54" i="36"/>
  <c r="AF19" i="36"/>
  <c r="AF57" i="36"/>
  <c r="AF11" i="36"/>
  <c r="AF56" i="36"/>
  <c r="AF46" i="36"/>
  <c r="AF48" i="36"/>
  <c r="AF58" i="36"/>
  <c r="AF49" i="36"/>
  <c r="AF25" i="36"/>
  <c r="AF18" i="36"/>
  <c r="AF24" i="36"/>
  <c r="AF59" i="36"/>
  <c r="AF16" i="36"/>
  <c r="AF50" i="36"/>
  <c r="AF15" i="36"/>
  <c r="AF26" i="36"/>
  <c r="AF52" i="36"/>
  <c r="AF12" i="36"/>
  <c r="AF53" i="36"/>
  <c r="C20" i="36"/>
  <c r="C21" i="36" l="1"/>
  <c r="C23" i="36" s="1"/>
  <c r="C24" i="36" s="1"/>
  <c r="C25" i="36" s="1"/>
  <c r="C26" i="36" s="1"/>
  <c r="C28" i="36" s="1"/>
  <c r="C29" i="36" s="1"/>
  <c r="AH58" i="36"/>
  <c r="AI58" i="36" s="1"/>
  <c r="AH18" i="36"/>
  <c r="AI18" i="36" s="1"/>
  <c r="AH53" i="36"/>
  <c r="AI53" i="36" s="1"/>
  <c r="AH50" i="36"/>
  <c r="AI50" i="36" s="1"/>
  <c r="AH26" i="36"/>
  <c r="AI26" i="36" s="1"/>
  <c r="AH57" i="36"/>
  <c r="AI57" i="36" s="1"/>
  <c r="AH15" i="36"/>
  <c r="AI15" i="36" s="1"/>
  <c r="AH59" i="36"/>
  <c r="AI59" i="36" s="1"/>
  <c r="AH25" i="36"/>
  <c r="AI25" i="36" s="1"/>
  <c r="AH46" i="36"/>
  <c r="AI46" i="36" s="1"/>
  <c r="AH19" i="36"/>
  <c r="AI19" i="36" s="1"/>
  <c r="AH16" i="36"/>
  <c r="AI16" i="36" s="1"/>
  <c r="AF67" i="36"/>
  <c r="AH67" i="36" s="1"/>
  <c r="AI67" i="36" s="1"/>
  <c r="AL67" i="36"/>
  <c r="AL70" i="36" s="1"/>
  <c r="AH52" i="36"/>
  <c r="AI52" i="36" s="1"/>
  <c r="AH24" i="36"/>
  <c r="AI24" i="36" s="1"/>
  <c r="AH49" i="36"/>
  <c r="AI49" i="36" s="1"/>
  <c r="AH56" i="36"/>
  <c r="AI56" i="36" s="1"/>
  <c r="AH54" i="36"/>
  <c r="AI54" i="36" s="1"/>
  <c r="AH38" i="36"/>
  <c r="AI38" i="36" s="1"/>
  <c r="AH11" i="36"/>
  <c r="AI11" i="36" s="1"/>
  <c r="AH12" i="36"/>
  <c r="AI12" i="36" s="1"/>
  <c r="AH48" i="36"/>
  <c r="AI48" i="36" s="1"/>
  <c r="C30" i="36" l="1"/>
  <c r="C31" i="36" l="1"/>
  <c r="C33" i="36" s="1"/>
  <c r="C34" i="36" s="1"/>
  <c r="C35" i="36" s="1"/>
  <c r="C36" i="36" s="1"/>
  <c r="C37" i="36" s="1"/>
  <c r="C38" i="36" s="1"/>
  <c r="K42" i="35"/>
  <c r="N32" i="35"/>
  <c r="N31" i="35"/>
  <c r="N24" i="35"/>
  <c r="N23" i="35"/>
  <c r="N22" i="35"/>
  <c r="N21" i="35"/>
  <c r="N9" i="35"/>
  <c r="N43" i="34"/>
  <c r="K32" i="34"/>
  <c r="N22" i="34"/>
  <c r="N21" i="34"/>
  <c r="N38" i="33"/>
  <c r="N9" i="33"/>
  <c r="C39" i="36" l="1"/>
  <c r="C40" i="36" s="1"/>
  <c r="C41" i="36" s="1"/>
  <c r="C42" i="36" s="1"/>
  <c r="C43" i="36" s="1"/>
  <c r="C44" i="36" s="1"/>
  <c r="N37" i="35"/>
  <c r="N16" i="35"/>
  <c r="N26" i="35"/>
  <c r="N42" i="35"/>
  <c r="N48" i="35" s="1"/>
  <c r="N32" i="34"/>
  <c r="N38" i="34" s="1"/>
  <c r="N16" i="34"/>
  <c r="N27" i="34"/>
  <c r="N49" i="34"/>
  <c r="N9" i="34" s="1"/>
  <c r="N43" i="33"/>
  <c r="N49" i="33" s="1"/>
  <c r="C45" i="36" l="1"/>
  <c r="C46" i="36" s="1"/>
  <c r="C47" i="36" s="1"/>
  <c r="C48" i="36" s="1"/>
  <c r="C49" i="36" s="1"/>
  <c r="C50" i="36" s="1"/>
  <c r="C51" i="36" s="1"/>
  <c r="C52" i="36" s="1"/>
  <c r="C53" i="36" s="1"/>
  <c r="C54" i="36" s="1"/>
  <c r="C56" i="36" s="1"/>
  <c r="C57" i="36" s="1"/>
  <c r="C58" i="36" s="1"/>
  <c r="C59" i="36" s="1"/>
  <c r="C61" i="36" s="1"/>
  <c r="N50" i="35"/>
  <c r="N51" i="34"/>
  <c r="N16" i="33"/>
  <c r="Q18" i="24"/>
  <c r="Q16" i="24"/>
  <c r="N9" i="31"/>
  <c r="N10" i="31"/>
  <c r="N21" i="31"/>
  <c r="N22" i="31"/>
  <c r="N23" i="31"/>
  <c r="B45" i="31"/>
  <c r="B44" i="31"/>
  <c r="J23" i="31"/>
  <c r="B23" i="31"/>
  <c r="J22" i="31"/>
  <c r="B22" i="31"/>
  <c r="J21" i="31"/>
  <c r="B21" i="31"/>
  <c r="B10" i="31"/>
  <c r="B9" i="31"/>
  <c r="N9" i="30"/>
  <c r="N10" i="30"/>
  <c r="N44" i="30"/>
  <c r="N21" i="30"/>
  <c r="N22" i="30"/>
  <c r="B45" i="30"/>
  <c r="B44" i="30"/>
  <c r="J21" i="30"/>
  <c r="B21" i="30"/>
  <c r="B10" i="30"/>
  <c r="B9" i="30"/>
  <c r="N32" i="11"/>
  <c r="N38" i="11" s="1"/>
  <c r="N9" i="24"/>
  <c r="N16" i="24" s="1"/>
  <c r="N51" i="24" s="1"/>
  <c r="B9" i="24"/>
  <c r="B45" i="22"/>
  <c r="B44" i="22"/>
  <c r="N23" i="22"/>
  <c r="J23" i="22"/>
  <c r="B23" i="22"/>
  <c r="N22" i="22"/>
  <c r="J22" i="22"/>
  <c r="B22" i="22"/>
  <c r="N21" i="22"/>
  <c r="J21" i="22"/>
  <c r="B21" i="22"/>
  <c r="N10" i="22"/>
  <c r="B10" i="22"/>
  <c r="N9" i="22"/>
  <c r="B43" i="21"/>
  <c r="B42" i="21"/>
  <c r="L32" i="21"/>
  <c r="N32" i="21" s="1"/>
  <c r="K32" i="21"/>
  <c r="B32" i="21"/>
  <c r="L31" i="21"/>
  <c r="K31" i="21"/>
  <c r="B31" i="21"/>
  <c r="N24" i="21"/>
  <c r="N23" i="21"/>
  <c r="N22" i="21"/>
  <c r="N21" i="21"/>
  <c r="J21" i="21"/>
  <c r="B21" i="21"/>
  <c r="K9" i="21"/>
  <c r="N9" i="21" s="1"/>
  <c r="B9" i="21"/>
  <c r="N43" i="20"/>
  <c r="B43" i="20"/>
  <c r="B42" i="20"/>
  <c r="L32" i="20"/>
  <c r="N32" i="20" s="1"/>
  <c r="K32" i="20"/>
  <c r="B32" i="20"/>
  <c r="L31" i="20"/>
  <c r="K31" i="20"/>
  <c r="B31" i="20"/>
  <c r="N23" i="20"/>
  <c r="J23" i="20"/>
  <c r="B23" i="20"/>
  <c r="M22" i="20"/>
  <c r="N22" i="20" s="1"/>
  <c r="J22" i="20"/>
  <c r="B22" i="20"/>
  <c r="M21" i="20"/>
  <c r="N21" i="20" s="1"/>
  <c r="J21" i="20"/>
  <c r="B21" i="20"/>
  <c r="K9" i="20"/>
  <c r="N9" i="20" s="1"/>
  <c r="B9" i="20"/>
  <c r="B43" i="19"/>
  <c r="B42" i="19"/>
  <c r="L33" i="19"/>
  <c r="K33" i="19"/>
  <c r="B33" i="19"/>
  <c r="M22" i="19"/>
  <c r="N22" i="19" s="1"/>
  <c r="J22" i="19"/>
  <c r="B22" i="19"/>
  <c r="M21" i="19"/>
  <c r="N21" i="19" s="1"/>
  <c r="J21" i="19"/>
  <c r="B21" i="19"/>
  <c r="K9" i="19"/>
  <c r="N9" i="19" s="1"/>
  <c r="B9" i="19"/>
  <c r="N22" i="17"/>
  <c r="N27" i="17" s="1"/>
  <c r="J22" i="17"/>
  <c r="B43" i="16"/>
  <c r="N21" i="16"/>
  <c r="N27" i="16" s="1"/>
  <c r="J21" i="16"/>
  <c r="B44" i="15"/>
  <c r="B43" i="15"/>
  <c r="K32" i="15"/>
  <c r="N32" i="15" s="1"/>
  <c r="N38" i="15" s="1"/>
  <c r="B32" i="15"/>
  <c r="N22" i="15"/>
  <c r="J22" i="15"/>
  <c r="B22" i="15"/>
  <c r="N21" i="15"/>
  <c r="J21" i="15"/>
  <c r="B21" i="15"/>
  <c r="K11" i="15"/>
  <c r="N11" i="15" s="1"/>
  <c r="B11" i="15"/>
  <c r="K10" i="15"/>
  <c r="N10" i="15" s="1"/>
  <c r="B10" i="15"/>
  <c r="K9" i="15"/>
  <c r="N9" i="15" s="1"/>
  <c r="B9" i="15"/>
  <c r="B44" i="14"/>
  <c r="B43" i="14"/>
  <c r="K32" i="14"/>
  <c r="B32" i="14"/>
  <c r="N22" i="14"/>
  <c r="J22" i="14"/>
  <c r="B22" i="14"/>
  <c r="N21" i="14"/>
  <c r="J21" i="14"/>
  <c r="B21" i="14"/>
  <c r="K11" i="14"/>
  <c r="N11" i="14" s="1"/>
  <c r="B11" i="14"/>
  <c r="K10" i="14"/>
  <c r="N10" i="14" s="1"/>
  <c r="B10" i="14"/>
  <c r="K9" i="14"/>
  <c r="N9" i="14" s="1"/>
  <c r="B9" i="14"/>
  <c r="B43" i="13"/>
  <c r="N27" i="13"/>
  <c r="K10" i="13"/>
  <c r="N10" i="13" s="1"/>
  <c r="B10" i="13"/>
  <c r="K9" i="13"/>
  <c r="N9" i="13" s="1"/>
  <c r="B9" i="13"/>
  <c r="N43" i="11"/>
  <c r="B43" i="11"/>
  <c r="H32" i="11"/>
  <c r="N10" i="11"/>
  <c r="B42" i="10"/>
  <c r="K31" i="10"/>
  <c r="H31" i="10"/>
  <c r="B31" i="10"/>
  <c r="K8" i="10"/>
  <c r="N8" i="10" s="1"/>
  <c r="B8" i="10"/>
  <c r="N37" i="17"/>
  <c r="N42" i="21"/>
  <c r="N48" i="21" s="1"/>
  <c r="N43" i="13"/>
  <c r="N49" i="13" s="1"/>
  <c r="N15" i="13" s="1"/>
  <c r="N45" i="22"/>
  <c r="N44" i="22"/>
  <c r="N43" i="21"/>
  <c r="N42" i="20"/>
  <c r="N49" i="16"/>
  <c r="N14" i="16" s="1"/>
  <c r="N32" i="14"/>
  <c r="N38" i="14" s="1"/>
  <c r="N48" i="10"/>
  <c r="N14" i="10" s="1"/>
  <c r="N31" i="21" l="1"/>
  <c r="N37" i="21" s="1"/>
  <c r="N31" i="20"/>
  <c r="N37" i="20" s="1"/>
  <c r="N56" i="35"/>
  <c r="N55" i="35"/>
  <c r="N57" i="35"/>
  <c r="N28" i="22"/>
  <c r="N50" i="22"/>
  <c r="N14" i="22" s="1"/>
  <c r="N16" i="22" s="1"/>
  <c r="N52" i="22" s="1"/>
  <c r="N48" i="20"/>
  <c r="N14" i="20" s="1"/>
  <c r="N28" i="19"/>
  <c r="N27" i="14"/>
  <c r="N27" i="15"/>
  <c r="N14" i="21"/>
  <c r="N16" i="21" s="1"/>
  <c r="N26" i="20"/>
  <c r="N33" i="19"/>
  <c r="N37" i="19" s="1"/>
  <c r="N48" i="19"/>
  <c r="N14" i="19" s="1"/>
  <c r="N16" i="19" s="1"/>
  <c r="N48" i="17"/>
  <c r="N49" i="15"/>
  <c r="N14" i="15" s="1"/>
  <c r="N16" i="15" s="1"/>
  <c r="C62" i="36"/>
  <c r="C63" i="36" s="1"/>
  <c r="C64" i="36" s="1"/>
  <c r="N16" i="13"/>
  <c r="N51" i="13" s="1"/>
  <c r="N31" i="10"/>
  <c r="N37" i="10" s="1"/>
  <c r="N16" i="20"/>
  <c r="N15" i="10"/>
  <c r="N16" i="16"/>
  <c r="N51" i="16" s="1"/>
  <c r="N28" i="30"/>
  <c r="N28" i="31"/>
  <c r="N50" i="31"/>
  <c r="N16" i="31" s="1"/>
  <c r="N50" i="10" l="1"/>
  <c r="M11" i="73" s="1"/>
  <c r="N11" i="73" s="1"/>
  <c r="N50" i="21"/>
  <c r="N50" i="20"/>
  <c r="N57" i="13"/>
  <c r="N56" i="13"/>
  <c r="N58" i="13"/>
  <c r="N57" i="22"/>
  <c r="N59" i="22"/>
  <c r="N58" i="22"/>
  <c r="N58" i="35"/>
  <c r="N60" i="35" s="1"/>
  <c r="N50" i="19"/>
  <c r="N51" i="15"/>
  <c r="N16" i="17"/>
  <c r="N17" i="17" s="1"/>
  <c r="N50" i="17" s="1"/>
  <c r="N52" i="31"/>
  <c r="N56" i="10" l="1"/>
  <c r="N57" i="10"/>
  <c r="N55" i="10"/>
  <c r="N55" i="21"/>
  <c r="N56" i="21"/>
  <c r="N57" i="21"/>
  <c r="N55" i="20"/>
  <c r="N56" i="20"/>
  <c r="M50" i="73"/>
  <c r="N50" i="73" s="1"/>
  <c r="N57" i="20"/>
  <c r="N57" i="15"/>
  <c r="N58" i="15"/>
  <c r="N56" i="15"/>
  <c r="N59" i="13"/>
  <c r="N61" i="13" s="1"/>
  <c r="N57" i="19"/>
  <c r="N56" i="19"/>
  <c r="N55" i="19"/>
  <c r="N57" i="31"/>
  <c r="N58" i="31"/>
  <c r="N59" i="31"/>
  <c r="N60" i="22"/>
  <c r="N62" i="22" s="1"/>
  <c r="N49" i="11"/>
  <c r="N15" i="11" s="1"/>
  <c r="N16" i="11" s="1"/>
  <c r="N51" i="11" s="1"/>
  <c r="N58" i="21" l="1"/>
  <c r="N60" i="21" s="1"/>
  <c r="N58" i="10"/>
  <c r="N60" i="10" s="1"/>
  <c r="P60" i="10" s="1"/>
  <c r="N58" i="20"/>
  <c r="N60" i="20" s="1"/>
  <c r="N59" i="15"/>
  <c r="N61" i="15" s="1"/>
  <c r="N58" i="19"/>
  <c r="N60" i="19" s="1"/>
  <c r="N60" i="31"/>
  <c r="N62" i="31" s="1"/>
  <c r="N49" i="14" l="1"/>
  <c r="N14" i="14" s="1"/>
  <c r="N16" i="14" s="1"/>
  <c r="N51" i="14" s="1"/>
  <c r="M20" i="73" l="1"/>
  <c r="N20" i="73" s="1"/>
  <c r="N76" i="73" s="1"/>
  <c r="N57" i="14"/>
  <c r="N56" i="14"/>
  <c r="N58" i="14"/>
  <c r="M77" i="73" l="1"/>
  <c r="E12" i="79"/>
  <c r="I28" i="79" s="1"/>
  <c r="N59" i="14"/>
  <c r="N61" i="14" s="1"/>
  <c r="I24" i="79" l="1"/>
  <c r="I23" i="79"/>
  <c r="F67" i="79"/>
  <c r="F71" i="79"/>
  <c r="I16" i="79"/>
  <c r="F69" i="79"/>
  <c r="I25" i="79"/>
  <c r="I36" i="79"/>
  <c r="I37" i="79"/>
  <c r="I18" i="79"/>
  <c r="I35" i="79"/>
  <c r="I19" i="79"/>
  <c r="I20" i="79"/>
  <c r="F70" i="79"/>
  <c r="I40" i="79"/>
  <c r="F72" i="79"/>
  <c r="F68" i="79"/>
  <c r="I41" i="79"/>
  <c r="I32" i="79"/>
  <c r="I33" i="79"/>
  <c r="I42" i="79"/>
  <c r="I27" i="79"/>
  <c r="I26" i="79"/>
  <c r="I22" i="79"/>
  <c r="I43" i="79"/>
  <c r="I21" i="79"/>
  <c r="I38" i="79"/>
  <c r="F73" i="79"/>
  <c r="I17" i="79"/>
  <c r="I34" i="79"/>
  <c r="N65" i="65"/>
  <c r="N64" i="65"/>
  <c r="N63" i="65"/>
  <c r="F74" i="79" l="1"/>
  <c r="F75" i="79" s="1"/>
  <c r="G75" i="79" s="1"/>
  <c r="H50" i="79" s="1"/>
  <c r="I29" i="79"/>
  <c r="H48" i="79" s="1"/>
  <c r="I45" i="79"/>
  <c r="H49" i="79" s="1"/>
  <c r="N66" i="65"/>
  <c r="N68" i="65" s="1"/>
  <c r="K45" i="30"/>
  <c r="N45" i="30" s="1"/>
  <c r="N50" i="30" s="1"/>
  <c r="N14" i="30" s="1"/>
  <c r="N16" i="30" s="1"/>
  <c r="N52" i="30" s="1"/>
  <c r="H51" i="79" l="1"/>
  <c r="H60" i="79" s="1"/>
  <c r="N59" i="30"/>
  <c r="N57" i="30"/>
  <c r="N58" i="30"/>
  <c r="H63" i="79" l="1"/>
  <c r="J86" i="73"/>
  <c r="J89" i="73" s="1"/>
  <c r="N60" i="30"/>
  <c r="N62" i="30" s="1"/>
</calcChain>
</file>

<file path=xl/comments1.xml><?xml version="1.0" encoding="utf-8"?>
<comments xmlns="http://schemas.openxmlformats.org/spreadsheetml/2006/main">
  <authors>
    <author>Autor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estrcuturas de encole y descole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demol cunetas para filtro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filtros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muros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muros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anden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en muros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pav rigido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ultimos 200 son en rigido</t>
        </r>
      </text>
    </comment>
    <comment ref="I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3900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2+600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L=5,72, H=4,0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disipadores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canal escalonado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muro, caisson y canales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retira para usar en relleno</t>
        </r>
      </text>
    </comment>
  </commentList>
</comments>
</file>

<file path=xl/sharedStrings.xml><?xml version="1.0" encoding="utf-8"?>
<sst xmlns="http://schemas.openxmlformats.org/spreadsheetml/2006/main" count="3717" uniqueCount="497">
  <si>
    <t>Nº</t>
  </si>
  <si>
    <t>ITEM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</si>
  <si>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</si>
  <si>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</si>
  <si>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</si>
  <si>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</si>
  <si>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</si>
  <si>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</si>
  <si>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</si>
  <si>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EXPLANACIONES</t>
  </si>
  <si>
    <t>200-13</t>
  </si>
  <si>
    <t>201-13</t>
  </si>
  <si>
    <t>m3</t>
  </si>
  <si>
    <t>210-13</t>
  </si>
  <si>
    <t>Excavaciones en material común de la Explanación y Canales</t>
  </si>
  <si>
    <t>BASES, SUBBASES Y AFIRMADOS</t>
  </si>
  <si>
    <t>320-13</t>
  </si>
  <si>
    <t>330-13</t>
  </si>
  <si>
    <t>420-13</t>
  </si>
  <si>
    <t>Riego de imprimación con emulsión  asfáltica  CRL‐1</t>
  </si>
  <si>
    <t>m2</t>
  </si>
  <si>
    <t>Mezcla densa en caliente Tipo MDC-19</t>
  </si>
  <si>
    <t>ESTRUCTURAS Y DRENAJES</t>
  </si>
  <si>
    <t>640-13</t>
  </si>
  <si>
    <t>Acero de refuerzo Fy=420 Mpa.</t>
  </si>
  <si>
    <t>kg</t>
  </si>
  <si>
    <t>661-13</t>
  </si>
  <si>
    <t>m</t>
  </si>
  <si>
    <t>671-13</t>
  </si>
  <si>
    <t>SEÑALIZACIÓN Y SEGURIDAD</t>
  </si>
  <si>
    <t>700-13</t>
  </si>
  <si>
    <t>u</t>
  </si>
  <si>
    <t>710-13</t>
  </si>
  <si>
    <t>Señal vertical de Tránsito Tipo I con lamina retroreflectiva de 75x75 cm</t>
  </si>
  <si>
    <t>TRANSPORTES</t>
  </si>
  <si>
    <t>900-13</t>
  </si>
  <si>
    <t>Transporte de materiales provenientes de la excavación de la explanación, canales y préstamos para distancias mayores de mil metros (1.000 m), medido a partir de 100m</t>
  </si>
  <si>
    <t>m3-km</t>
  </si>
  <si>
    <t>GOBERNACIÓN DEL QUINDÍO</t>
  </si>
  <si>
    <t>Subbase Granular clase B</t>
  </si>
  <si>
    <t>Base granular clase B</t>
  </si>
  <si>
    <t>450-13</t>
  </si>
  <si>
    <t xml:space="preserve">Cuneta de concreto vaciada insitu, incluye la conformación de la superficie de apoyo </t>
  </si>
  <si>
    <t>Línea de Demarcación con pintura en frio</t>
  </si>
  <si>
    <t>630-13</t>
  </si>
  <si>
    <t>ITEM</t>
  </si>
  <si>
    <t>GRUPO DE AJUSTE</t>
  </si>
  <si>
    <t>UNIDAD</t>
  </si>
  <si>
    <t>Unidad</t>
  </si>
  <si>
    <t>DESMONTE Y LIMPIEZA EN ZONAS NO BOSCOSAS</t>
  </si>
  <si>
    <t>I. EQUIPO</t>
  </si>
  <si>
    <t>TIPO</t>
  </si>
  <si>
    <t>TARIFA/HORA</t>
  </si>
  <si>
    <t>RENDIMIENTO</t>
  </si>
  <si>
    <t>Vr. UNITARIO</t>
  </si>
  <si>
    <t>C0010530</t>
  </si>
  <si>
    <t>C0010620</t>
  </si>
  <si>
    <t>HERRAMIENTA MENOR (%)</t>
  </si>
  <si>
    <t>SUBTOTAL $</t>
  </si>
  <si>
    <t>II. MATERIALES</t>
  </si>
  <si>
    <t>PRECIO UNIT.</t>
  </si>
  <si>
    <t>III. TRANSPORTES</t>
  </si>
  <si>
    <t>MATERIAL</t>
  </si>
  <si>
    <t>CANTIDAD      (1)</t>
  </si>
  <si>
    <t>DISTANCIA (2)</t>
  </si>
  <si>
    <t>(1) * (2)</t>
  </si>
  <si>
    <t>TARIFA</t>
  </si>
  <si>
    <t>T0010040</t>
  </si>
  <si>
    <t>IV. MANO DE OBRA</t>
  </si>
  <si>
    <t>TRABAJADOR</t>
  </si>
  <si>
    <t>JORNAL</t>
  </si>
  <si>
    <t>PRESTACIONES (%)</t>
  </si>
  <si>
    <t>JORNAL TOTAL</t>
  </si>
  <si>
    <t>A0030020</t>
  </si>
  <si>
    <t>TOTAL COSTO DIRECTO $</t>
  </si>
  <si>
    <t>ADMINISTRACION</t>
  </si>
  <si>
    <t>UTILIDAD</t>
  </si>
  <si>
    <t>C0010790</t>
  </si>
  <si>
    <t>C0010270</t>
  </si>
  <si>
    <t>C0010330</t>
  </si>
  <si>
    <t>T0010032</t>
  </si>
  <si>
    <t>A0040010</t>
  </si>
  <si>
    <t>C0010140</t>
  </si>
  <si>
    <t>EXCAVACIÓN EN MATERIAL COMÚN DE LA EXPLANACIÓN Y CANALES</t>
  </si>
  <si>
    <t>C0010052</t>
  </si>
  <si>
    <t>B0013790</t>
  </si>
  <si>
    <t>A0030010</t>
  </si>
  <si>
    <t>SUB-BASE GRANULAR CLASE B</t>
  </si>
  <si>
    <t>C0010150</t>
  </si>
  <si>
    <t>C0010610</t>
  </si>
  <si>
    <t>C0010923</t>
  </si>
  <si>
    <t>B0014350</t>
  </si>
  <si>
    <t>B0063200</t>
  </si>
  <si>
    <t>T0010030</t>
  </si>
  <si>
    <t>m3k</t>
  </si>
  <si>
    <t>BASE GRANULAR CLASE B</t>
  </si>
  <si>
    <t>B0014310</t>
  </si>
  <si>
    <t>RIEGO DE IMPRIMACIÓN CON EMULSIÓN ASFÁLTICA CRL-1</t>
  </si>
  <si>
    <t>C0010160</t>
  </si>
  <si>
    <t>C0010250</t>
  </si>
  <si>
    <t>B020002</t>
  </si>
  <si>
    <t>A0030040</t>
  </si>
  <si>
    <t>Mezcla Densa en Caliente tipo MDC-19</t>
  </si>
  <si>
    <t>C0010230</t>
  </si>
  <si>
    <t>C0010211</t>
  </si>
  <si>
    <t>C0010910</t>
  </si>
  <si>
    <t>C0010960</t>
  </si>
  <si>
    <t>B0053191</t>
  </si>
  <si>
    <t>m3km</t>
  </si>
  <si>
    <t>T0010271</t>
  </si>
  <si>
    <t>A0030080</t>
  </si>
  <si>
    <t>A0070020</t>
  </si>
  <si>
    <t>T0010009</t>
  </si>
  <si>
    <t>Acero de Refuerzo Fy 4200 MPa.</t>
  </si>
  <si>
    <t>C0010170</t>
  </si>
  <si>
    <t>B0020003</t>
  </si>
  <si>
    <t>B026012</t>
  </si>
  <si>
    <t>T0010001</t>
  </si>
  <si>
    <t>kg/km</t>
  </si>
  <si>
    <t>Tubería de Concreto Reforzado  21 Mpa de 900 mm de diametro interior</t>
  </si>
  <si>
    <t>C0010780</t>
  </si>
  <si>
    <t>B0014236</t>
  </si>
  <si>
    <t>B0014402</t>
  </si>
  <si>
    <t>B0015240</t>
  </si>
  <si>
    <t>T0010115</t>
  </si>
  <si>
    <t>kgk</t>
  </si>
  <si>
    <t>T0010141</t>
  </si>
  <si>
    <t>671.3</t>
  </si>
  <si>
    <t>Cuneta de Concreto Vaciada In Situ; incluye la conformacion de la superficie de apoyo</t>
  </si>
  <si>
    <t>C0010190</t>
  </si>
  <si>
    <t>B0014410</t>
  </si>
  <si>
    <t>B0103490</t>
  </si>
  <si>
    <t>B0123660</t>
  </si>
  <si>
    <t>B021001</t>
  </si>
  <si>
    <t>m3/km</t>
  </si>
  <si>
    <t>T0010062</t>
  </si>
  <si>
    <t>A0030050</t>
  </si>
  <si>
    <t>Línea de Demarcación con Pintura en Frío.</t>
  </si>
  <si>
    <t>C0010120</t>
  </si>
  <si>
    <t>C0010920</t>
  </si>
  <si>
    <t>B0013940</t>
  </si>
  <si>
    <t>B0014740</t>
  </si>
  <si>
    <t>B014002</t>
  </si>
  <si>
    <t>A0030030</t>
  </si>
  <si>
    <t>Señal Vertical de Transito tipo 1 con lamina retrorreflectiva tipo III (75 x 75 ) cm</t>
  </si>
  <si>
    <t>Transporte de Materiales Provenientes de la Excavación de la Explanación, Canales y Préstamos para distancias mayores de mil metros (1.000 m) Medidos a partir de cien metros (100 m).</t>
  </si>
  <si>
    <t>CALCULO DEL  A. I. U.</t>
  </si>
  <si>
    <t>1.-</t>
  </si>
  <si>
    <t>CALCULO DE LA ADMINISTRACION :    A</t>
  </si>
  <si>
    <t>1.1.-</t>
  </si>
  <si>
    <t>MANEJO ADMINISTRATIVO MENSUAL</t>
  </si>
  <si>
    <t>PLAZO DEL CONTRATO:</t>
  </si>
  <si>
    <t>DESCRIPCION</t>
  </si>
  <si>
    <t>CANT</t>
  </si>
  <si>
    <t>DEDICACION</t>
  </si>
  <si>
    <t>COSTO</t>
  </si>
  <si>
    <t>Valor Total</t>
  </si>
  <si>
    <t>% Participación</t>
  </si>
  <si>
    <t>PERSONAL TECNICO Y ADM: (Incluye Prestaciones Soc.)</t>
  </si>
  <si>
    <t>MES</t>
  </si>
  <si>
    <t>Subtotal Mensual Personal técnico y administrativo:</t>
  </si>
  <si>
    <t>OFICINA, PAPELERIA Y OTROS:</t>
  </si>
  <si>
    <t>Papelería, informes y Planos</t>
  </si>
  <si>
    <t>Servicios de comunicación</t>
  </si>
  <si>
    <t>Elemento de proteccion personal (No es dotación)</t>
  </si>
  <si>
    <t>Subtotal Mensual oficina , papeleria y otros:</t>
  </si>
  <si>
    <t>RESUMEN DEL CALCULO DEL FACTOR DE ADMINISTRACION:   A</t>
  </si>
  <si>
    <t>%</t>
  </si>
  <si>
    <t>MANEJO ADMINISTRATIVO MENSUAL PERSONAL TECNICO Y ADMINISTRATIVO</t>
  </si>
  <si>
    <t>MANEJO ADMINISTRATIVO MENSUAL OFICINA, PAPELERIA Y OTROS</t>
  </si>
  <si>
    <t>VALOR TOTAL DE LA ADMINISTRACION</t>
  </si>
  <si>
    <t>2.-</t>
  </si>
  <si>
    <t>CALCULO DE IMPREVISTOS :    I</t>
  </si>
  <si>
    <t>3.-</t>
  </si>
  <si>
    <t>CALCULO DE LA UTILIDAD :    U</t>
  </si>
  <si>
    <t>RESUMEN DEL CALCULO DEL  A.  I.  U.</t>
  </si>
  <si>
    <t>VALOR PROYECTO:</t>
  </si>
  <si>
    <t>MESES</t>
  </si>
  <si>
    <t>UND</t>
  </si>
  <si>
    <t>SECRETARIA DE AGUAS E INFRAESTRUCTURA</t>
  </si>
  <si>
    <t>DEPARTAMENTO DEL QUINDIO</t>
  </si>
  <si>
    <t>Alquiler de oficina</t>
  </si>
  <si>
    <t>Ingeniero civil con especialización en hidráulica</t>
  </si>
  <si>
    <t>Ingeniero civil con especialización en geotécnia</t>
  </si>
  <si>
    <t>Ingeniero con especialización en pavimentos</t>
  </si>
  <si>
    <t>F.P 1,67%</t>
  </si>
  <si>
    <t>Alquiler equipos de oficina</t>
  </si>
  <si>
    <t>Ingeniero civil con especialización en gestion ambiental</t>
  </si>
  <si>
    <t>GASTOS DEL CONTRATO</t>
  </si>
  <si>
    <t>VALOR</t>
  </si>
  <si>
    <t>Retención en la fuente</t>
  </si>
  <si>
    <t>APLICA</t>
  </si>
  <si>
    <t>Pro - cultura</t>
  </si>
  <si>
    <t>Pro - desarrollo</t>
  </si>
  <si>
    <t>Prohospital</t>
  </si>
  <si>
    <t>Reteica</t>
  </si>
  <si>
    <t>Pólizas</t>
  </si>
  <si>
    <t>Contribucion Contrato</t>
  </si>
  <si>
    <t>Adulto mayor</t>
  </si>
  <si>
    <t>TOTAL  3</t>
  </si>
  <si>
    <t>GASTOS DE LEGALIZACION</t>
  </si>
  <si>
    <t>Rotura de cilindros</t>
  </si>
  <si>
    <t>Ensayos de laboratorio (Calidad)</t>
  </si>
  <si>
    <t>Caracterizacion materiales (Granulometrias, limites, CBR, Proctor)</t>
  </si>
  <si>
    <t>Briquetas asfalto (Gradacion, % asfalto, % vacios, estabilidad, flujo)</t>
  </si>
  <si>
    <t>Densidades capas granulares</t>
  </si>
  <si>
    <t>Marcas Viales</t>
  </si>
  <si>
    <t>Tacha Reflectiva.</t>
  </si>
  <si>
    <t>C0010540</t>
  </si>
  <si>
    <t>B0014870</t>
  </si>
  <si>
    <t>B0015090</t>
  </si>
  <si>
    <t>Marca Vial con Pintura en Frío.</t>
  </si>
  <si>
    <t>C0010350</t>
  </si>
  <si>
    <t xml:space="preserve">Tachas reflectivas </t>
  </si>
  <si>
    <t>Tacha reflectiva en dos sentidos</t>
  </si>
  <si>
    <t>h</t>
  </si>
  <si>
    <t>k</t>
  </si>
  <si>
    <t>v</t>
  </si>
  <si>
    <t>S/dia</t>
  </si>
  <si>
    <t>m3*km</t>
  </si>
  <si>
    <t>m3/v</t>
  </si>
  <si>
    <t>ml</t>
  </si>
  <si>
    <t>Gravas para cimentacion de tuberia de concreto</t>
  </si>
  <si>
    <t>Corte asfalto a maquina para cunetas</t>
  </si>
  <si>
    <t>km</t>
  </si>
  <si>
    <t>610-13</t>
  </si>
  <si>
    <t>701-13</t>
  </si>
  <si>
    <t>Km</t>
  </si>
  <si>
    <t>Estacas de madera</t>
  </si>
  <si>
    <t>Pintura vinilo</t>
  </si>
  <si>
    <t>Puntillas</t>
  </si>
  <si>
    <t>Herramienta menor</t>
  </si>
  <si>
    <t xml:space="preserve">und </t>
  </si>
  <si>
    <t>gl</t>
  </si>
  <si>
    <t>lb</t>
  </si>
  <si>
    <t>Camioneta D-300</t>
  </si>
  <si>
    <t>Cadeneros (2)</t>
  </si>
  <si>
    <t xml:space="preserve">Obrero </t>
  </si>
  <si>
    <t>Topografo con equipo (estacion y nivel)</t>
  </si>
  <si>
    <t>Compactador manual tipo canguro</t>
  </si>
  <si>
    <t>GRAVAS PARA CIMENTACION DE TUBERIA EN CONCRETO</t>
  </si>
  <si>
    <t>Grava tritturada de 3/4"</t>
  </si>
  <si>
    <t>Transporte de material de grava</t>
  </si>
  <si>
    <t>CORTE ASFALTO A MAQUINA PARA CUNETAS</t>
  </si>
  <si>
    <t>Cortadora de pavimento</t>
  </si>
  <si>
    <t>Disco diamantado para corte</t>
  </si>
  <si>
    <t>ING. CARLOS EDUARDO RIOS GOMEZ</t>
  </si>
  <si>
    <t>Contratista SAID</t>
  </si>
  <si>
    <t>TOPOGRAFIA INTEGRAL PARA AL PROYECTO</t>
  </si>
  <si>
    <t>Alquiler de vehículo incluye conductor y combustible</t>
  </si>
  <si>
    <t>Topografia integral para el proyecto (Inc. Localizacion, conformacion capas granulares)</t>
  </si>
  <si>
    <t>EP-002</t>
  </si>
  <si>
    <t>Bacheo en mezcla asfaltica</t>
  </si>
  <si>
    <t>Anillo para caisson f'c:3500 psi d=1,2 m (inc. Excavacion y ccto)</t>
  </si>
  <si>
    <t>Tubería de 900mm de diámetro interior</t>
  </si>
  <si>
    <t>Filtro frances 0,6*1,0 (inc. Geotextil y grava)</t>
  </si>
  <si>
    <t>Subdren horizontal de 2"</t>
  </si>
  <si>
    <t>A:6,00 M</t>
  </si>
  <si>
    <t xml:space="preserve">Desmonte y limpieza </t>
  </si>
  <si>
    <t>Geotextil Repav 400</t>
  </si>
  <si>
    <t>Pïlote en concreto f'c:3000 psi diam: 50 cms (inc. Perforacion y vaciado - no inc rfzo)</t>
  </si>
  <si>
    <t>Anclaje pasivo f'c:3000 psi diam:15 cms (inc. Perforacion, concreto y refzo)</t>
  </si>
  <si>
    <t>Malla electrosoldada 15x15 de 8.5 mm</t>
  </si>
  <si>
    <t>K2+600</t>
  </si>
  <si>
    <t>K4+500</t>
  </si>
  <si>
    <t>K3+900</t>
  </si>
  <si>
    <t>K3+100</t>
  </si>
  <si>
    <t>PAVIMENTO ASFALTICO</t>
  </si>
  <si>
    <t>PAVIMENTO HIDRAULICO</t>
  </si>
  <si>
    <t>Demolición y rotura de pavimento Rigido e&lt;=0,20m, Incluye cargue y retiro de sobrantes hasta 25Km</t>
  </si>
  <si>
    <t>Demolición de Estructuras, Incluye cargue y retiro de sobrantes hasta 25Km</t>
  </si>
  <si>
    <t>Pavimento en concreto hidráulico MR 40</t>
  </si>
  <si>
    <t>Conformación - Nivelacion de terreno a mano</t>
  </si>
  <si>
    <t>Desmonte de tubería en concreto de 24" incluye cargue y retiro de sobrantes hasta 25Km</t>
  </si>
  <si>
    <t>L:13200 M</t>
  </si>
  <si>
    <t>13000 asf</t>
  </si>
  <si>
    <t>200 rig</t>
  </si>
  <si>
    <t>OBRAS VARIAS</t>
  </si>
  <si>
    <t>Trinchos en guadua</t>
  </si>
  <si>
    <t>Desmonte y limpieza en zonas no boscosas</t>
  </si>
  <si>
    <t>Construccion anden en concreto 3000 psi</t>
  </si>
  <si>
    <t>k9+800</t>
  </si>
  <si>
    <t>Conformacion manual de taludes</t>
  </si>
  <si>
    <t>Geotextil para Repavimentaciòn</t>
  </si>
  <si>
    <t>Obrero (6)</t>
  </si>
  <si>
    <t>Oficial</t>
  </si>
  <si>
    <t>674.2</t>
  </si>
  <si>
    <t>Equipo de perforación (TRACKDRILL), potencia 40 HP, 2100 golpes / minuto</t>
  </si>
  <si>
    <t xml:space="preserve">Tubería Perforada en PVC de 2´´
</t>
  </si>
  <si>
    <t>Obrero (2)</t>
  </si>
  <si>
    <t>Tubería Perforada en PVC de 3´´</t>
  </si>
  <si>
    <t>Subdren horizontal de 3" en conglomerado</t>
  </si>
  <si>
    <t>Concreto f'c 3000 psi para estructuras</t>
  </si>
  <si>
    <t>Concreto f'c 4000 psi para estructuras</t>
  </si>
  <si>
    <t>Anillo en concreto f´c=3.000 para Caisson (Diam:1,2 m)(inc. Excacvacion y refuerzo)(alt = 1 m)</t>
  </si>
  <si>
    <t>Vibrador de concreto electrico</t>
  </si>
  <si>
    <t>Concreto de 3000 psi</t>
  </si>
  <si>
    <t>Alambre negro # 18</t>
  </si>
  <si>
    <t>Acero de Refuezo</t>
  </si>
  <si>
    <t>Obrero (4)</t>
  </si>
  <si>
    <t>Concreto f´c=3.500 para caisson</t>
  </si>
  <si>
    <t>Formaleta madera para anillo de caisson</t>
  </si>
  <si>
    <t>Concreto de 3500 psi</t>
  </si>
  <si>
    <t>Concreto para Caisson f'c:4000 psi</t>
  </si>
  <si>
    <t>Concreto para Caisson f'c:400 psi</t>
  </si>
  <si>
    <t>Concreto para solados f'c: 2000 psi</t>
  </si>
  <si>
    <t>Acelerante para concreto</t>
  </si>
  <si>
    <t>Plastificante para concreto</t>
  </si>
  <si>
    <t>Geotextil NT 2500</t>
  </si>
  <si>
    <t>Zanjas de coronacion o media ladera en suelo-cemento (10:1)</t>
  </si>
  <si>
    <t>Cinta Sika pvc V-15</t>
  </si>
  <si>
    <t>Anclaje activo 4"-1/2x4 alta resistencia (inc. Perforacion,lechada,toron y tensada)</t>
  </si>
  <si>
    <t>Anclaje activo 4"-1/2x6 alta resistencia (inc. Perforacion,lechada,toron y tensada)</t>
  </si>
  <si>
    <t>Dado en concreto reforzado 4000 psi para pantalla</t>
  </si>
  <si>
    <t>und</t>
  </si>
  <si>
    <t>Anclaje activo cable 1/2"x4 Alta resistencia (inc. Perfor, lechada, toron, tensada)</t>
  </si>
  <si>
    <t>Revegetalizacion tulades</t>
  </si>
  <si>
    <t>Equipo de perforacion 6"</t>
  </si>
  <si>
    <t>Equipo inyeccion de lechada</t>
  </si>
  <si>
    <t>Gato para tensionamiento</t>
  </si>
  <si>
    <t>Equipo de transporte</t>
  </si>
  <si>
    <t>Obrero (3)</t>
  </si>
  <si>
    <t>Cable de 1/2" x 4 - Alta resistencia</t>
  </si>
  <si>
    <t>Tubo pcv St 3"</t>
  </si>
  <si>
    <t>Tubo ps 1"</t>
  </si>
  <si>
    <t>Platina 30x30 x 1/4"</t>
  </si>
  <si>
    <t>Polietileno de 1/2"</t>
  </si>
  <si>
    <t>Cemento gris</t>
  </si>
  <si>
    <t>Sikafluid o similar</t>
  </si>
  <si>
    <t>Acarreo interno</t>
  </si>
  <si>
    <t>Anclaje activo cable 1/2"x6 Alta resistencia (inc. Perfor, lechada, toron, tensada)</t>
  </si>
  <si>
    <t>Motobomba sumergible de 3"</t>
  </si>
  <si>
    <t>PARTICULAR</t>
  </si>
  <si>
    <t>Subtotal</t>
  </si>
  <si>
    <t>PLAN DE MANEJO DE TRANSITO</t>
  </si>
  <si>
    <t>PLAN DE MANEJO AMBIENTAL</t>
  </si>
  <si>
    <t>SUBTOTAL OBRAS (INCLUYE IVA)</t>
  </si>
  <si>
    <t>VALOR TOTAL</t>
  </si>
  <si>
    <t>INTERVENTORIA TECNICA, ADMINISTRATIVA, FINANCIERA Y JURIDICA</t>
  </si>
  <si>
    <t xml:space="preserve">VALOR TOTAL EN LETRAS: </t>
  </si>
  <si>
    <t>PORCENTAJE</t>
  </si>
  <si>
    <t>A=</t>
  </si>
  <si>
    <t>I=</t>
  </si>
  <si>
    <t>U=</t>
  </si>
  <si>
    <t>TOTAL A.I.U</t>
  </si>
  <si>
    <t>A.I.U.=</t>
  </si>
  <si>
    <t>IMPREVISTO</t>
  </si>
  <si>
    <t xml:space="preserve">SUB TOTAL OBRAS </t>
  </si>
  <si>
    <t>k1+100</t>
  </si>
  <si>
    <t>cordoba</t>
  </si>
  <si>
    <t>Filtro frances 0,6*1,0 (inc. Geotextil NT 1600 y grava)</t>
  </si>
  <si>
    <t>Filtro frances 0,6 x 1.0 (Inc. Geotextil NT 1600, grava)</t>
  </si>
  <si>
    <t>Geotextil NT 1600</t>
  </si>
  <si>
    <t>Grava seleccionada 3"</t>
  </si>
  <si>
    <t>Volqueta</t>
  </si>
  <si>
    <t>Pïlote en concreto f'c:3000 psi diam: 40 cms (inc. Perforacion y vaciado - no inc rfzo)</t>
  </si>
  <si>
    <t xml:space="preserve">Equipo de perforacion </t>
  </si>
  <si>
    <t>Anclaje pasivo diam 15 cm (inc. Perfor, acero, ccto 3000)</t>
  </si>
  <si>
    <t>Acero de refuerzo</t>
  </si>
  <si>
    <t>Acarreo horizontal en obra</t>
  </si>
  <si>
    <t>Malla electrosoldada 4 mm 15x15 (2.35x6.0)</t>
  </si>
  <si>
    <t xml:space="preserve">Obrero (2) </t>
  </si>
  <si>
    <t>Malla electrosoldad de 4 mm 15x15</t>
  </si>
  <si>
    <t>Geotextil Nt Repav 400 O Similar (Proveedores Pavco, Lafayet, Geomatrix, Tensar, Omnes U Otros)</t>
  </si>
  <si>
    <t>Compresor (barrido y soplado)</t>
  </si>
  <si>
    <t>Lleno manual con material de prestamo</t>
  </si>
  <si>
    <t>k1+300</t>
  </si>
  <si>
    <t>k2+260</t>
  </si>
  <si>
    <t>k2+270</t>
  </si>
  <si>
    <t>k8+200</t>
  </si>
  <si>
    <t>k8+300</t>
  </si>
  <si>
    <t>X</t>
  </si>
  <si>
    <t>M2</t>
  </si>
  <si>
    <t>Demolición de Estructuras, en concreto (inc. Retiro a 25 km)</t>
  </si>
  <si>
    <t>DEMOLICIÓN DE ESTRUCTURAS EN CONCRETO (INC. RETIRO A 25 KM)</t>
  </si>
  <si>
    <t>LLENO MANUAL CON MATERIAL DE PRESTAMO</t>
  </si>
  <si>
    <t>Material seleccionado para relleno</t>
  </si>
  <si>
    <t>Transporte material seleccionado</t>
  </si>
  <si>
    <t>Carrotanque Irrigador de asfalto, 1000 GALONES DE CAPACIDAD</t>
  </si>
  <si>
    <t>Emulsion CRL-1</t>
  </si>
  <si>
    <t>Terminadora de asfalto (Finisher)</t>
  </si>
  <si>
    <t>Mezcal densa MDC-19</t>
  </si>
  <si>
    <t>Transporte de Mezcla Densa en Caliente MDC-19</t>
  </si>
  <si>
    <t>Obrero (8)</t>
  </si>
  <si>
    <t>Rastrilleros (2)</t>
  </si>
  <si>
    <t>Bacheo en mezcal asfaltica en caliente tipo MDC-19</t>
  </si>
  <si>
    <t>Compactador de Rodillo</t>
  </si>
  <si>
    <t xml:space="preserve">Compactador de Rodillo </t>
  </si>
  <si>
    <t xml:space="preserve">Compactador neumático </t>
  </si>
  <si>
    <t>Compresor 120 HP, con martillo.</t>
  </si>
  <si>
    <t>Transporte de material de demolición</t>
  </si>
  <si>
    <t>m3/dia</t>
  </si>
  <si>
    <t>m2/dia</t>
  </si>
  <si>
    <t>h/m3</t>
  </si>
  <si>
    <t>h/m2</t>
  </si>
  <si>
    <t>Pavimento en concreto hidráulico MR 40, e= 20 cm</t>
  </si>
  <si>
    <t>Formaleta metalica para pavimento</t>
  </si>
  <si>
    <t>Regla vibradora</t>
  </si>
  <si>
    <t>Vibrador de concreto</t>
  </si>
  <si>
    <t>Acero de 60,000 psi</t>
  </si>
  <si>
    <t>Cinta de poliuretano</t>
  </si>
  <si>
    <t>Sellador autonivelante</t>
  </si>
  <si>
    <t>Antisol blanco</t>
  </si>
  <si>
    <t>Concreto resistencia MR 40</t>
  </si>
  <si>
    <t>Obrero (7)</t>
  </si>
  <si>
    <t>Construccion anden en concreto 3000 psi e=10 cm</t>
  </si>
  <si>
    <t>Formaleta madera</t>
  </si>
  <si>
    <t>Obrero (1)</t>
  </si>
  <si>
    <t>Anillo para caisson f'c:3000 psi d=1,2 m (inc. Excavacion y ccto)</t>
  </si>
  <si>
    <t>GOBERNACION DEL QUINDIO</t>
  </si>
  <si>
    <t>VERSIÓN</t>
  </si>
  <si>
    <t xml:space="preserve">[NÚMERO DEL PROCESO] </t>
  </si>
  <si>
    <t>CONSTRUCCION DEL PUENTE VEHICULAR SOBRE EL RIO LA VIEJA, EN EL SECTOR DE PUERTO ALEJANDRIA, EN LA VIA 29BQN06 MUNICIPIO DE QUIMBAYA, DEPARTAMENTO DEL QUINDIO</t>
  </si>
  <si>
    <t>PÁGINA</t>
  </si>
  <si>
    <t>DE</t>
  </si>
  <si>
    <t xml:space="preserve">ANALISIS DE PRECIOS UNITARIOS </t>
  </si>
  <si>
    <t>FECHA</t>
  </si>
  <si>
    <t>DD</t>
  </si>
  <si>
    <t>MM</t>
  </si>
  <si>
    <t>AA</t>
  </si>
  <si>
    <t>ITEMS DE LA PROPUESTA ECONÓMICA</t>
  </si>
  <si>
    <t>ITEMS NO PREVISTOS</t>
  </si>
  <si>
    <t>DATOS ESPECÍFICOS</t>
  </si>
  <si>
    <t>MARCA</t>
  </si>
  <si>
    <t>Herramienta menor (5% mano de obra)</t>
  </si>
  <si>
    <t>Vibrador concreto electrico</t>
  </si>
  <si>
    <t>Cuarton 2"x4"x3m rev</t>
  </si>
  <si>
    <t>Puntilla de 2"</t>
  </si>
  <si>
    <t>VOL. o PESO</t>
  </si>
  <si>
    <t>DISTANCIA</t>
  </si>
  <si>
    <t>M3 o Ton/Km</t>
  </si>
  <si>
    <t>PRESTACIONES</t>
  </si>
  <si>
    <t>V. COSTOS INDIRECTOS</t>
  </si>
  <si>
    <t>Descripción</t>
  </si>
  <si>
    <t>Porcentaje</t>
  </si>
  <si>
    <t xml:space="preserve">IMPREVISTOS </t>
  </si>
  <si>
    <t>Precio Unitario Total Aproximado al peso $</t>
  </si>
  <si>
    <t>Tabla formaleta 1"x10"x3.0 m</t>
  </si>
  <si>
    <t>Publicacion medios</t>
  </si>
  <si>
    <t>Concreto de 4000 psi</t>
  </si>
  <si>
    <t>Concreto de 2000 psi</t>
  </si>
  <si>
    <t>Sika set</t>
  </si>
  <si>
    <t>Sika fluid o smiliar</t>
  </si>
  <si>
    <t>Fornaleta de madera</t>
  </si>
  <si>
    <t>Sub dren horizontal 3"</t>
  </si>
  <si>
    <t>Suminsitro e instalacion geotextil NT 2500</t>
  </si>
  <si>
    <t>Formaleta de madera</t>
  </si>
  <si>
    <t>Concreto Resistencia  14 (Mpa)</t>
  </si>
  <si>
    <t>Poste en angulo de 2*2*1/4 de 3,5m para señal</t>
  </si>
  <si>
    <t>Señal (grupo 1). Tablero en lámina galvanizada de 75cm*75cm, calibre 16, reflectivo tipo 1/ incluye poste )</t>
  </si>
  <si>
    <t>Trincho en guadua (h=1.0)</t>
  </si>
  <si>
    <t>Equipo ce transporte</t>
  </si>
  <si>
    <t>Guadua sobrebasa L=3 m)</t>
  </si>
  <si>
    <t>alambre galvanizado C 12</t>
  </si>
  <si>
    <t>Geotextil Nt 2500</t>
  </si>
  <si>
    <t>Revegetalizacion de taludes por mateo</t>
  </si>
  <si>
    <t>Semilla de pasto nativo</t>
  </si>
  <si>
    <t>Abono organico</t>
  </si>
  <si>
    <t>Suministro e instalacion cinta sika pvc V-15</t>
  </si>
  <si>
    <t>Zanjas de coronacion en suelo-cemento (10:1) (Seccion trap 1-0,7, h=0,4)</t>
  </si>
  <si>
    <t>Saco de fibra 0,7*0,5*0,15</t>
  </si>
  <si>
    <t>m3 dia exc</t>
  </si>
  <si>
    <t>m3/ml</t>
  </si>
  <si>
    <t>ml/dia exc</t>
  </si>
  <si>
    <t>sacos</t>
  </si>
  <si>
    <t>NOTA 1:  Los costso de la licitacion se aclaran y se ajustan dentro de los documentos del presente proceso</t>
  </si>
  <si>
    <t>NOTA 2:  Los precios de referencia se ahcen con base a los establecisdo en la base de ddatos de la Secretaria de Aguas e Infraestructura y en los valores vigentes del mercado</t>
  </si>
  <si>
    <t xml:space="preserve">NOTA 3: Se debe tener en cuenta que el PRECIO UNITARIO incluye el valor de A.I.U. </t>
  </si>
  <si>
    <t xml:space="preserve">NOTA 4: Cuando la fracción decimal del peso sea  igual o superior a 5 se aproximara por exceso al número entero siguiente del peso y cuando la fracción decimal del peso sea inferior a 5 se aproximará por defecto al número entero del peso. </t>
  </si>
  <si>
    <t xml:space="preserve">NOTA 5:  El A.I.U y su discriminación deben estar en porcentaje (%). </t>
  </si>
  <si>
    <t xml:space="preserve">NOTA 6:  El reconocimiento económico de los requerimientos  ambientales exigidos  por las autoridades ambientales, y/o sociales que son de obligatorio cumplimiento, serán reconocidos a cargo de reembolso de gastos (afectados por un % de administracion).(Ajustar de acuerdo al proyecto) </t>
  </si>
  <si>
    <t>muro 9+800</t>
  </si>
  <si>
    <t>muros pijao</t>
  </si>
  <si>
    <t>rehabil</t>
  </si>
  <si>
    <t>muros cordoba</t>
  </si>
  <si>
    <t>Tuberia corrugada de 3"</t>
  </si>
  <si>
    <t>Por Administración    :  A</t>
  </si>
  <si>
    <t>Por Imprevistos         :   I</t>
  </si>
  <si>
    <t>Por Utilidades           :  U</t>
  </si>
  <si>
    <t>Apoyo a la supervision</t>
  </si>
  <si>
    <t>Material de afirmado</t>
  </si>
  <si>
    <t>MATERIAL DE AFIRMADO</t>
  </si>
  <si>
    <t>Vibrocompactador o rana</t>
  </si>
  <si>
    <t>m3-k</t>
  </si>
  <si>
    <t>Transporte de material de afirmado</t>
  </si>
  <si>
    <t>Derretidora de asfalto (crafco o similar)</t>
  </si>
  <si>
    <t>Emulsión CRR-2</t>
  </si>
  <si>
    <t>Lt</t>
  </si>
  <si>
    <t>Sello de grietas en pavimento asfáltico sin ruteo</t>
  </si>
  <si>
    <t>Camioneta</t>
  </si>
  <si>
    <t>Corrección</t>
  </si>
  <si>
    <t>Material para afirmado</t>
  </si>
  <si>
    <t>FORMULARIO 1 - PRESUPUESTO OFICIAL</t>
  </si>
  <si>
    <t>MÓDULO 1: OBRAS ESTABILIZACION DE LA VIA CORDOBA - CARNICEROS (COD. 40QN09) - 6 PUNTOS CRITICOS</t>
  </si>
  <si>
    <t>ING. MARCO AURELIO FORERO PATIÑO</t>
  </si>
  <si>
    <t>Director de Infraestructura Vial y Social</t>
  </si>
  <si>
    <t>PROYECTO: CONSTRUCCION OBRAS DE ESTABILIZACIÓN Y REHABILITACIÓN DE LA VÍA RÍO VERDE - PIJAO (COD. 40QN03), ESTABILIZACIÓN DE LA VÍA CORDOBA - CARNICEROS (COD. 40QN09), MUNICIPIOS DE PIJAO, BUENAVISTA Y CORDOBA, EN EL DEPARTAMENTO DEL QUINDIO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</si>
</sst>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 &quot;$&quot;\ * #,##0_ ;_ &quot;$&quot;\ * \-#,##0_ ;_ &quot;$&quot;\ * &quot;-&quot;_ ;_ @_ "/>
    <numFmt numFmtId="169" formatCode="&quot;$&quot;\ #,##0.00;[Red]&quot;$&quot;\ \-#,##0.00"/>
    <numFmt numFmtId="170" formatCode="_-[$$-240A]\ * #,##0.00_ ;_-[$$-240A]\ * \-#,##0.00\ ;_-[$$-240A]\ * &quot;-&quot;??_ ;_-@_ "/>
    <numFmt numFmtId="171" formatCode="_-* #,##0.00\ &quot;€&quot;_-;\-* #,##0.00\ &quot;€&quot;_-;_-* &quot;-&quot;??\ &quot;€&quot;_-;_-@_-"/>
    <numFmt numFmtId="172" formatCode="_ * #,##0.00_ ;_ * \-#,##0.00_ ;_ * &quot;-&quot;??_ ;_ @_ "/>
    <numFmt numFmtId="173" formatCode="_-&quot;$&quot;* #,##0_-;\-&quot;$&quot;* #,##0_-;_-&quot;$&quot;* &quot;-&quot;_-;_-@_-"/>
    <numFmt numFmtId="174" formatCode="\$#.00"/>
    <numFmt numFmtId="175" formatCode="_-* #,##0.00\ [$€]_-;\-* #,##0.00\ [$€]_-;_-* &quot;-&quot;??\ [$€]_-;_-@_-"/>
    <numFmt numFmtId="176" formatCode="#,##0.0000"/>
    <numFmt numFmtId="177" formatCode="#.00"/>
    <numFmt numFmtId="178" formatCode="#,##0.00000"/>
    <numFmt numFmtId="179" formatCode="#,##0.00_ ;\-#,##0.00\ "/>
    <numFmt numFmtId="180" formatCode="#.##0.0"/>
    <numFmt numFmtId="181" formatCode="_-* #.##0.00_-;\-* #.##0.00_-;_-* &quot;-&quot;??_-;_-@_-"/>
    <numFmt numFmtId="182" formatCode="#,##0.0"/>
    <numFmt numFmtId="183" formatCode="#,##0.000"/>
    <numFmt numFmtId="184" formatCode="_-* #,##0.00\ &quot;pta&quot;_-;\-* #,##0.00\ &quot;pta&quot;_-;_-* &quot;-&quot;??\ &quot;pta&quot;_-;_-@_-"/>
    <numFmt numFmtId="185" formatCode="_-* #,##0.00\ &quot;Pts&quot;_-;\-* #,##0.00\ &quot;Pts&quot;_-;_-* &quot;-&quot;??\ &quot;Pts&quot;_-;_-@_-"/>
    <numFmt numFmtId="186" formatCode="&quot;$&quot;\ #,##0.00;&quot;$&quot;\ \-#,##0.00"/>
    <numFmt numFmtId="187" formatCode="_ &quot;$&quot;\ * #,##0.00_ ;_ &quot;$&quot;\ * \-#,##0.00_ ;_ &quot;$&quot;\ * &quot;-&quot;??_ ;_ @_ "/>
    <numFmt numFmtId="188" formatCode="_(&quot;C$&quot;* #,##0_);_(&quot;C$&quot;* \(#,##0\);_(&quot;C$&quot;* &quot;-&quot;_);_(@_)"/>
    <numFmt numFmtId="189" formatCode="[$$-500A]\ #,##0.00"/>
    <numFmt numFmtId="190" formatCode="_-&quot;$&quot;* #,##0.00_-;\-&quot;$&quot;* #,##0.00_-;_-&quot;$&quot;* &quot;-&quot;??_-;_-@_-"/>
    <numFmt numFmtId="191" formatCode="_(&quot;C$&quot;* #,##0.00_);_(&quot;C$&quot;* \(#,##0.00\);_(&quot;C$&quot;* &quot;-&quot;??_);_(@_)"/>
    <numFmt numFmtId="192" formatCode="#,##0.00;[Red]#,##0.00"/>
    <numFmt numFmtId="193" formatCode="_ &quot;$&quot;\ * #.##0.00_ ;_ &quot;$&quot;\ * \-#.##0.00_ ;_ &quot;$&quot;\ * &quot;-&quot;??_ ;_ @_ "/>
    <numFmt numFmtId="194" formatCode="%#.00"/>
    <numFmt numFmtId="195" formatCode="_([$$-240A]\ * #,##0.00_);_([$$-240A]\ * \(#,##0.00\);_([$$-240A]\ * &quot;-&quot;??_);_(@_)"/>
    <numFmt numFmtId="196" formatCode="0.000"/>
    <numFmt numFmtId="197" formatCode="&quot;$&quot;\ #,##0"/>
    <numFmt numFmtId="198" formatCode="0.0%"/>
    <numFmt numFmtId="199" formatCode="_ &quot;$&quot;\ * #,##0_ ;_ &quot;$&quot;\ * \-#,##0_ ;_ &quot;$&quot;\ * &quot;-&quot;??_ ;_ @_ "/>
    <numFmt numFmtId="200" formatCode="&quot;$&quot;\ #,##0_);\(&quot;$&quot;\ #,##0\)"/>
    <numFmt numFmtId="201" formatCode="_-* #,##0.00_-;\-* #,##0.00_-;_-* &quot;-&quot;_-;_-@_-"/>
    <numFmt numFmtId="202" formatCode="&quot;$&quot;\ #,##0.0000"/>
    <numFmt numFmtId="203" formatCode="_-* #,##0.00\ _€_-;\-* #,##0.00\ _€_-;_-* &quot;-&quot;??\ _€_-;_-@_-"/>
    <numFmt numFmtId="204" formatCode="0#.00\ \L\t"/>
    <numFmt numFmtId="205" formatCode="_-&quot;$&quot;\ * #,##0.0_-;\-&quot;$&quot;\ * #,##0.0_-;_-&quot;$&quot;\ * &quot;-&quot;_-;_-@_-"/>
    <numFmt numFmtId="206" formatCode="_-&quot;$&quot;\ * #,##0.00_-;\-&quot;$&quot;\ * #,##0.00_-;_-&quot;$&quot;\ * &quot;-&quot;_-;_-@_-"/>
    <numFmt numFmtId="207" formatCode="_-[$$-240A]\ * #,##0.00_-;\-[$$-240A]\ * #,##0.00_-;_-[$$-240A]\ * &quot;-&quot;??_-;_-@_-"/>
    <numFmt numFmtId="208" formatCode="0.0000"/>
    <numFmt numFmtId="209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theme="1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sz val="7"/>
      <name val="Arial Narrow"/>
      <family val="2"/>
    </font>
    <font>
      <sz val="10"/>
      <name val="Geneva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C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4659260841701"/>
        <bgColor rgb="FF000000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9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22" applyNumberFormat="0" applyAlignment="0" applyProtection="0"/>
    <xf numFmtId="0" fontId="9" fillId="19" borderId="23" applyNumberFormat="0" applyAlignment="0" applyProtection="0"/>
    <xf numFmtId="0" fontId="10" fillId="0" borderId="24" applyNumberFormat="0" applyFill="0" applyAlignment="0" applyProtection="0"/>
    <xf numFmtId="4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4" fillId="9" borderId="22" applyNumberFormat="0" applyAlignment="0" applyProtection="0"/>
    <xf numFmtId="0" fontId="1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177" fontId="11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0" applyNumberFormat="0" applyBorder="0" applyAlignment="0" applyProtection="0"/>
    <xf numFmtId="41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2" fontId="23" fillId="0" borderId="25" applyFont="0" applyBorder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4" fillId="3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36" borderId="26" applyNumberFormat="0" applyFont="0" applyAlignment="0" applyProtection="0"/>
    <xf numFmtId="194" fontId="11" fillId="0" borderId="0"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18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12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31" applyNumberFormat="0" applyFill="0" applyAlignment="0" applyProtection="0"/>
    <xf numFmtId="4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5" fillId="0" borderId="0" applyNumberFormat="0" applyBorder="0" applyAlignment="0"/>
    <xf numFmtId="9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Border="0" applyAlignment="0"/>
    <xf numFmtId="9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4" fillId="0" borderId="0"/>
  </cellStyleXfs>
  <cellXfs count="813">
    <xf numFmtId="0" fontId="0" fillId="0" borderId="0" xfId="0"/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2" fillId="0" borderId="3" xfId="1" applyFont="1" applyFill="1" applyBorder="1" applyProtection="1"/>
    <xf numFmtId="0" fontId="2" fillId="0" borderId="0" xfId="1" applyFont="1" applyFill="1" applyProtection="1"/>
    <xf numFmtId="0" fontId="2" fillId="0" borderId="4" xfId="1" applyFont="1" applyFill="1" applyBorder="1" applyProtection="1"/>
    <xf numFmtId="0" fontId="2" fillId="0" borderId="5" xfId="1" applyFont="1" applyFill="1" applyBorder="1" applyProtection="1"/>
    <xf numFmtId="0" fontId="3" fillId="2" borderId="9" xfId="4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left" vertical="center" wrapText="1"/>
    </xf>
    <xf numFmtId="4" fontId="2" fillId="0" borderId="19" xfId="5" applyNumberFormat="1" applyFont="1" applyFill="1" applyBorder="1" applyAlignment="1" applyProtection="1">
      <alignment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4" fontId="3" fillId="2" borderId="10" xfId="2" applyNumberFormat="1" applyFont="1" applyFill="1" applyBorder="1" applyAlignment="1" applyProtection="1">
      <alignment vertical="center"/>
    </xf>
    <xf numFmtId="0" fontId="2" fillId="0" borderId="20" xfId="2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left"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2" fillId="0" borderId="4" xfId="8" applyFont="1" applyFill="1" applyBorder="1" applyProtection="1"/>
    <xf numFmtId="49" fontId="3" fillId="0" borderId="0" xfId="9" applyNumberFormat="1" applyFont="1" applyFill="1" applyBorder="1" applyAlignment="1">
      <alignment horizontal="right" vertical="center"/>
    </xf>
    <xf numFmtId="170" fontId="3" fillId="0" borderId="0" xfId="9" applyNumberFormat="1" applyFont="1" applyFill="1" applyBorder="1" applyAlignment="1">
      <alignment vertical="center"/>
    </xf>
    <xf numFmtId="0" fontId="2" fillId="0" borderId="5" xfId="8" applyFont="1" applyFill="1" applyBorder="1" applyProtection="1"/>
    <xf numFmtId="0" fontId="2" fillId="0" borderId="0" xfId="8" applyFont="1" applyFill="1" applyProtection="1"/>
    <xf numFmtId="0" fontId="2" fillId="0" borderId="0" xfId="1" applyFont="1" applyFill="1" applyAlignment="1" applyProtection="1">
      <alignment horizontal="center"/>
    </xf>
    <xf numFmtId="0" fontId="2" fillId="3" borderId="21" xfId="2" applyFont="1" applyFill="1" applyBorder="1" applyAlignment="1" applyProtection="1">
      <alignment horizontal="left" vertical="center"/>
    </xf>
    <xf numFmtId="0" fontId="35" fillId="0" borderId="0" xfId="274" applyFill="1" applyProtection="1"/>
    <xf numFmtId="0" fontId="4" fillId="37" borderId="4" xfId="274" applyFont="1" applyFill="1" applyBorder="1"/>
    <xf numFmtId="0" fontId="4" fillId="37" borderId="0" xfId="274" applyFont="1" applyFill="1" applyBorder="1"/>
    <xf numFmtId="0" fontId="4" fillId="37" borderId="5" xfId="274" applyFont="1" applyFill="1" applyBorder="1"/>
    <xf numFmtId="4" fontId="4" fillId="37" borderId="41" xfId="274" applyNumberFormat="1" applyFont="1" applyFill="1" applyBorder="1"/>
    <xf numFmtId="0" fontId="4" fillId="0" borderId="62" xfId="173" applyFont="1" applyFill="1" applyBorder="1"/>
    <xf numFmtId="1" fontId="4" fillId="0" borderId="32" xfId="275" applyNumberFormat="1" applyFont="1" applyFill="1" applyBorder="1" applyAlignment="1">
      <alignment horizontal="center"/>
    </xf>
    <xf numFmtId="195" fontId="4" fillId="0" borderId="32" xfId="276" applyNumberFormat="1" applyFont="1" applyFill="1" applyBorder="1"/>
    <xf numFmtId="4" fontId="4" fillId="0" borderId="52" xfId="173" applyNumberFormat="1" applyFont="1" applyFill="1" applyBorder="1"/>
    <xf numFmtId="4" fontId="4" fillId="0" borderId="42" xfId="173" applyNumberFormat="1" applyFont="1" applyFill="1" applyBorder="1"/>
    <xf numFmtId="195" fontId="35" fillId="0" borderId="0" xfId="274" applyNumberFormat="1" applyFill="1" applyProtection="1"/>
    <xf numFmtId="9" fontId="4" fillId="0" borderId="32" xfId="275" applyFont="1" applyFill="1" applyBorder="1" applyAlignment="1">
      <alignment horizontal="center"/>
    </xf>
    <xf numFmtId="4" fontId="4" fillId="0" borderId="32" xfId="173" applyNumberFormat="1" applyFont="1" applyFill="1" applyBorder="1"/>
    <xf numFmtId="4" fontId="4" fillId="0" borderId="41" xfId="173" applyNumberFormat="1" applyFont="1" applyFill="1" applyBorder="1"/>
    <xf numFmtId="0" fontId="23" fillId="0" borderId="0" xfId="274" applyFont="1" applyFill="1" applyAlignment="1" applyProtection="1">
      <alignment horizontal="left" vertical="top" wrapText="1"/>
    </xf>
    <xf numFmtId="0" fontId="34" fillId="0" borderId="0" xfId="274" applyFont="1" applyFill="1" applyAlignment="1" applyProtection="1">
      <alignment horizontal="left" vertical="center" wrapText="1"/>
    </xf>
    <xf numFmtId="0" fontId="34" fillId="0" borderId="0" xfId="274" applyFont="1" applyFill="1" applyAlignment="1" applyProtection="1">
      <alignment horizontal="left" vertical="top" wrapText="1"/>
    </xf>
    <xf numFmtId="49" fontId="23" fillId="0" borderId="0" xfId="274" applyNumberFormat="1" applyFont="1" applyFill="1" applyAlignment="1" applyProtection="1">
      <alignment horizontal="left" vertical="top" wrapText="1"/>
    </xf>
    <xf numFmtId="0" fontId="38" fillId="0" borderId="0" xfId="0" applyFont="1"/>
    <xf numFmtId="0" fontId="40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41" fillId="0" borderId="0" xfId="0" applyFont="1"/>
    <xf numFmtId="0" fontId="42" fillId="0" borderId="0" xfId="0" applyFont="1"/>
    <xf numFmtId="0" fontId="41" fillId="41" borderId="72" xfId="0" applyFont="1" applyFill="1" applyBorder="1" applyAlignment="1" applyProtection="1">
      <alignment horizontal="left" vertical="center"/>
    </xf>
    <xf numFmtId="0" fontId="41" fillId="41" borderId="75" xfId="0" applyFont="1" applyFill="1" applyBorder="1" applyAlignment="1" applyProtection="1">
      <alignment horizontal="center" vertical="center"/>
    </xf>
    <xf numFmtId="0" fontId="41" fillId="41" borderId="74" xfId="0" applyFont="1" applyFill="1" applyBorder="1" applyAlignment="1" applyProtection="1">
      <alignment horizontal="center" vertical="center"/>
    </xf>
    <xf numFmtId="166" fontId="38" fillId="41" borderId="0" xfId="95" applyFont="1" applyFill="1" applyProtection="1"/>
    <xf numFmtId="0" fontId="43" fillId="0" borderId="74" xfId="0" applyFont="1" applyFill="1" applyBorder="1" applyAlignment="1" applyProtection="1">
      <alignment horizontal="center" vertical="center"/>
      <protection locked="0"/>
    </xf>
    <xf numFmtId="0" fontId="38" fillId="0" borderId="74" xfId="0" applyFont="1" applyFill="1" applyBorder="1" applyAlignment="1" applyProtection="1">
      <alignment horizontal="center" vertical="center"/>
      <protection locked="0"/>
    </xf>
    <xf numFmtId="0" fontId="37" fillId="0" borderId="74" xfId="0" applyFont="1" applyBorder="1" applyAlignment="1" applyProtection="1">
      <alignment horizontal="center" vertical="center"/>
      <protection locked="0"/>
    </xf>
    <xf numFmtId="199" fontId="44" fillId="0" borderId="74" xfId="280" applyNumberFormat="1" applyFont="1" applyBorder="1" applyAlignment="1" applyProtection="1">
      <alignment vertical="center"/>
      <protection locked="0"/>
    </xf>
    <xf numFmtId="199" fontId="37" fillId="0" borderId="74" xfId="280" applyNumberFormat="1" applyFont="1" applyFill="1" applyBorder="1" applyAlignment="1">
      <alignment horizontal="right" vertical="center"/>
    </xf>
    <xf numFmtId="10" fontId="37" fillId="0" borderId="74" xfId="279" applyNumberFormat="1" applyFont="1" applyBorder="1" applyAlignment="1">
      <alignment horizontal="center" vertical="center"/>
    </xf>
    <xf numFmtId="199" fontId="41" fillId="0" borderId="74" xfId="280" applyNumberFormat="1" applyFont="1" applyBorder="1" applyProtection="1"/>
    <xf numFmtId="199" fontId="44" fillId="0" borderId="74" xfId="280" applyNumberFormat="1" applyFont="1" applyBorder="1" applyProtection="1">
      <protection locked="0"/>
    </xf>
    <xf numFmtId="10" fontId="37" fillId="0" borderId="74" xfId="279" applyNumberFormat="1" applyFont="1" applyBorder="1" applyAlignment="1">
      <alignment horizontal="center"/>
    </xf>
    <xf numFmtId="199" fontId="37" fillId="0" borderId="74" xfId="280" applyNumberFormat="1" applyFont="1" applyFill="1" applyBorder="1" applyAlignment="1" applyProtection="1">
      <alignment horizontal="right" vertical="center"/>
    </xf>
    <xf numFmtId="10" fontId="37" fillId="0" borderId="74" xfId="279" applyNumberFormat="1" applyFont="1" applyBorder="1" applyAlignment="1" applyProtection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right"/>
    </xf>
    <xf numFmtId="0" fontId="38" fillId="41" borderId="77" xfId="0" applyFont="1" applyFill="1" applyBorder="1" applyAlignment="1">
      <alignment horizontal="center"/>
    </xf>
    <xf numFmtId="10" fontId="41" fillId="0" borderId="77" xfId="0" applyNumberFormat="1" applyFont="1" applyBorder="1" applyAlignment="1">
      <alignment horizontal="center"/>
    </xf>
    <xf numFmtId="0" fontId="42" fillId="0" borderId="0" xfId="0" applyFont="1" applyProtection="1">
      <protection locked="0"/>
    </xf>
    <xf numFmtId="0" fontId="45" fillId="41" borderId="77" xfId="0" applyFont="1" applyFill="1" applyBorder="1" applyAlignment="1">
      <alignment horizontal="center"/>
    </xf>
    <xf numFmtId="10" fontId="40" fillId="0" borderId="77" xfId="0" applyNumberFormat="1" applyFont="1" applyBorder="1" applyAlignment="1">
      <alignment horizontal="center"/>
    </xf>
    <xf numFmtId="10" fontId="40" fillId="0" borderId="77" xfId="0" applyNumberFormat="1" applyFont="1" applyBorder="1" applyAlignment="1" applyProtection="1">
      <alignment horizontal="center"/>
      <protection locked="0"/>
    </xf>
    <xf numFmtId="10" fontId="40" fillId="0" borderId="77" xfId="0" applyNumberFormat="1" applyFont="1" applyFill="1" applyBorder="1" applyAlignment="1">
      <alignment horizontal="center"/>
    </xf>
    <xf numFmtId="199" fontId="41" fillId="0" borderId="76" xfId="280" applyNumberFormat="1" applyFont="1" applyBorder="1" applyProtection="1"/>
    <xf numFmtId="10" fontId="41" fillId="0" borderId="76" xfId="279" applyNumberFormat="1" applyFont="1" applyBorder="1" applyAlignment="1" applyProtection="1">
      <alignment horizontal="center"/>
    </xf>
    <xf numFmtId="10" fontId="38" fillId="0" borderId="0" xfId="0" applyNumberFormat="1" applyFont="1"/>
    <xf numFmtId="0" fontId="37" fillId="0" borderId="74" xfId="0" applyFont="1" applyBorder="1" applyAlignment="1" applyProtection="1">
      <alignment horizontal="center"/>
      <protection locked="0"/>
    </xf>
    <xf numFmtId="10" fontId="38" fillId="0" borderId="0" xfId="0" applyNumberFormat="1" applyFont="1" applyProtection="1"/>
    <xf numFmtId="199" fontId="44" fillId="0" borderId="74" xfId="280" applyNumberFormat="1" applyFont="1" applyFill="1" applyBorder="1" applyAlignment="1" applyProtection="1">
      <alignment vertical="center"/>
    </xf>
    <xf numFmtId="0" fontId="41" fillId="41" borderId="0" xfId="0" applyFont="1" applyFill="1" applyBorder="1" applyAlignment="1" applyProtection="1">
      <alignment horizontal="center" vertical="center"/>
    </xf>
    <xf numFmtId="0" fontId="41" fillId="0" borderId="76" xfId="0" applyFont="1" applyBorder="1" applyAlignment="1" applyProtection="1">
      <alignment horizontal="right"/>
    </xf>
    <xf numFmtId="199" fontId="44" fillId="0" borderId="74" xfId="280" applyNumberFormat="1" applyFont="1" applyFill="1" applyBorder="1" applyAlignment="1" applyProtection="1">
      <alignment vertical="center"/>
      <protection locked="0"/>
    </xf>
    <xf numFmtId="9" fontId="0" fillId="0" borderId="0" xfId="279" applyFont="1" applyAlignment="1">
      <alignment horizontal="center" vertical="center"/>
    </xf>
    <xf numFmtId="42" fontId="0" fillId="0" borderId="0" xfId="282" applyFont="1"/>
    <xf numFmtId="42" fontId="0" fillId="0" borderId="0" xfId="0" applyNumberFormat="1"/>
    <xf numFmtId="0" fontId="38" fillId="0" borderId="78" xfId="0" applyFont="1" applyBorder="1" applyProtection="1"/>
    <xf numFmtId="0" fontId="38" fillId="0" borderId="79" xfId="0" applyFont="1" applyBorder="1" applyProtection="1"/>
    <xf numFmtId="198" fontId="0" fillId="0" borderId="0" xfId="279" applyNumberFormat="1" applyFont="1"/>
    <xf numFmtId="10" fontId="43" fillId="0" borderId="77" xfId="0" applyNumberFormat="1" applyFont="1" applyBorder="1" applyAlignment="1" applyProtection="1">
      <alignment horizontal="center"/>
    </xf>
    <xf numFmtId="198" fontId="41" fillId="0" borderId="74" xfId="279" applyNumberFormat="1" applyFont="1" applyBorder="1" applyAlignment="1" applyProtection="1">
      <alignment horizontal="center"/>
    </xf>
    <xf numFmtId="0" fontId="43" fillId="0" borderId="74" xfId="0" applyFont="1" applyFill="1" applyBorder="1" applyAlignment="1" applyProtection="1">
      <alignment wrapText="1"/>
      <protection locked="0"/>
    </xf>
    <xf numFmtId="10" fontId="37" fillId="0" borderId="74" xfId="279" applyNumberFormat="1" applyFont="1" applyBorder="1" applyAlignment="1" applyProtection="1">
      <alignment horizontal="center" vertical="center"/>
    </xf>
    <xf numFmtId="200" fontId="2" fillId="0" borderId="19" xfId="6" applyNumberFormat="1" applyFont="1" applyFill="1" applyBorder="1" applyAlignment="1" applyProtection="1">
      <alignment horizontal="right" vertical="center" wrapText="1"/>
    </xf>
    <xf numFmtId="0" fontId="35" fillId="0" borderId="0" xfId="283" applyFill="1" applyProtection="1"/>
    <xf numFmtId="0" fontId="4" fillId="37" borderId="4" xfId="283" applyFont="1" applyFill="1" applyBorder="1"/>
    <xf numFmtId="0" fontId="4" fillId="37" borderId="0" xfId="283" applyFont="1" applyFill="1" applyBorder="1"/>
    <xf numFmtId="0" fontId="4" fillId="37" borderId="5" xfId="283" applyFont="1" applyFill="1" applyBorder="1"/>
    <xf numFmtId="0" fontId="34" fillId="0" borderId="0" xfId="283" applyFont="1" applyFill="1" applyAlignment="1" applyProtection="1">
      <alignment horizontal="left" vertical="top" wrapText="1"/>
    </xf>
    <xf numFmtId="0" fontId="23" fillId="0" borderId="0" xfId="283" applyFont="1" applyFill="1" applyAlignment="1" applyProtection="1">
      <alignment horizontal="left" vertical="top" wrapText="1"/>
    </xf>
    <xf numFmtId="49" fontId="23" fillId="0" borderId="0" xfId="283" applyNumberFormat="1" applyFont="1" applyFill="1" applyAlignment="1" applyProtection="1">
      <alignment horizontal="left" vertical="top" wrapText="1"/>
    </xf>
    <xf numFmtId="195" fontId="35" fillId="0" borderId="0" xfId="283" applyNumberFormat="1" applyFill="1" applyProtection="1"/>
    <xf numFmtId="4" fontId="4" fillId="37" borderId="41" xfId="283" applyNumberFormat="1" applyFont="1" applyFill="1" applyBorder="1"/>
    <xf numFmtId="41" fontId="35" fillId="0" borderId="0" xfId="281" applyFont="1" applyFill="1" applyProtection="1"/>
    <xf numFmtId="0" fontId="2" fillId="0" borderId="0" xfId="1" applyFont="1" applyFill="1" applyBorder="1" applyProtection="1"/>
    <xf numFmtId="197" fontId="3" fillId="0" borderId="0" xfId="1" applyNumberFormat="1" applyFont="1" applyFill="1" applyBorder="1" applyProtection="1"/>
    <xf numFmtId="197" fontId="2" fillId="0" borderId="0" xfId="1" applyNumberFormat="1" applyFont="1" applyFill="1" applyBorder="1" applyProtection="1"/>
    <xf numFmtId="0" fontId="2" fillId="0" borderId="81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left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4" fontId="2" fillId="0" borderId="77" xfId="5" applyNumberFormat="1" applyFont="1" applyFill="1" applyBorder="1" applyAlignment="1" applyProtection="1">
      <alignment vertical="center" wrapText="1"/>
    </xf>
    <xf numFmtId="200" fontId="2" fillId="0" borderId="0" xfId="1" applyNumberFormat="1" applyFont="1" applyFill="1" applyProtection="1"/>
    <xf numFmtId="4" fontId="2" fillId="0" borderId="0" xfId="1" applyNumberFormat="1" applyFont="1" applyFill="1" applyProtection="1"/>
    <xf numFmtId="4" fontId="3" fillId="0" borderId="10" xfId="2" applyNumberFormat="1" applyFont="1" applyFill="1" applyBorder="1" applyAlignment="1" applyProtection="1">
      <alignment vertical="center"/>
    </xf>
    <xf numFmtId="42" fontId="35" fillId="0" borderId="0" xfId="282" applyFont="1" applyFill="1" applyProtection="1"/>
    <xf numFmtId="4" fontId="35" fillId="0" borderId="0" xfId="274" applyNumberFormat="1" applyFill="1" applyProtection="1"/>
    <xf numFmtId="197" fontId="2" fillId="0" borderId="0" xfId="1" applyNumberFormat="1" applyFont="1" applyFill="1" applyProtection="1"/>
    <xf numFmtId="41" fontId="2" fillId="0" borderId="0" xfId="281" applyFont="1" applyFill="1" applyProtection="1"/>
    <xf numFmtId="200" fontId="2" fillId="0" borderId="0" xfId="8" applyNumberFormat="1" applyFont="1" applyFill="1" applyProtection="1"/>
    <xf numFmtId="42" fontId="2" fillId="0" borderId="0" xfId="282" applyFont="1" applyFill="1" applyProtection="1"/>
    <xf numFmtId="201" fontId="2" fillId="0" borderId="0" xfId="281" applyNumberFormat="1" applyFont="1" applyFill="1" applyProtection="1"/>
    <xf numFmtId="202" fontId="2" fillId="0" borderId="0" xfId="1" applyNumberFormat="1" applyFont="1" applyFill="1" applyProtection="1"/>
    <xf numFmtId="42" fontId="2" fillId="0" borderId="0" xfId="1" applyNumberFormat="1" applyFont="1" applyFill="1" applyProtection="1"/>
    <xf numFmtId="0" fontId="3" fillId="0" borderId="0" xfId="1" applyFont="1" applyFill="1" applyProtection="1"/>
    <xf numFmtId="0" fontId="3" fillId="0" borderId="0" xfId="1" applyFont="1" applyFill="1" applyBorder="1" applyAlignment="1" applyProtection="1">
      <alignment horizontal="center" vertical="center" wrapText="1"/>
    </xf>
    <xf numFmtId="42" fontId="2" fillId="0" borderId="0" xfId="282" applyFont="1" applyFill="1" applyAlignment="1" applyProtection="1">
      <alignment horizontal="center"/>
    </xf>
    <xf numFmtId="0" fontId="2" fillId="0" borderId="77" xfId="4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/>
    </xf>
    <xf numFmtId="4" fontId="2" fillId="0" borderId="0" xfId="5" applyNumberFormat="1" applyFont="1" applyFill="1" applyBorder="1" applyAlignment="1" applyProtection="1">
      <alignment vertical="center" wrapText="1"/>
    </xf>
    <xf numFmtId="4" fontId="3" fillId="0" borderId="0" xfId="2" applyNumberFormat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4" fontId="2" fillId="43" borderId="0" xfId="5" applyNumberFormat="1" applyFont="1" applyFill="1" applyBorder="1" applyAlignment="1" applyProtection="1">
      <alignment vertical="center" wrapText="1"/>
    </xf>
    <xf numFmtId="0" fontId="48" fillId="0" borderId="16" xfId="3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/>
    </xf>
    <xf numFmtId="0" fontId="2" fillId="43" borderId="0" xfId="1" applyFont="1" applyFill="1" applyProtection="1"/>
    <xf numFmtId="4" fontId="2" fillId="42" borderId="0" xfId="5" applyNumberFormat="1" applyFont="1" applyFill="1" applyBorder="1" applyAlignment="1" applyProtection="1">
      <alignment vertical="center" wrapText="1"/>
    </xf>
    <xf numFmtId="2" fontId="2" fillId="0" borderId="77" xfId="2" applyNumberFormat="1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 wrapText="1"/>
    </xf>
    <xf numFmtId="0" fontId="2" fillId="44" borderId="2" xfId="1" applyFont="1" applyFill="1" applyBorder="1" applyProtection="1"/>
    <xf numFmtId="0" fontId="3" fillId="44" borderId="0" xfId="1" applyFont="1" applyFill="1" applyBorder="1" applyAlignment="1" applyProtection="1">
      <alignment horizontal="center"/>
    </xf>
    <xf numFmtId="0" fontId="3" fillId="44" borderId="0" xfId="1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vertical="center"/>
    </xf>
    <xf numFmtId="4" fontId="2" fillId="44" borderId="0" xfId="5" applyNumberFormat="1" applyFont="1" applyFill="1" applyBorder="1" applyAlignment="1" applyProtection="1">
      <alignment vertical="center" wrapText="1"/>
    </xf>
    <xf numFmtId="4" fontId="3" fillId="44" borderId="0" xfId="2" applyNumberFormat="1" applyFont="1" applyFill="1" applyBorder="1" applyAlignment="1" applyProtection="1">
      <alignment vertical="center"/>
    </xf>
    <xf numFmtId="49" fontId="3" fillId="44" borderId="0" xfId="9" applyNumberFormat="1" applyFont="1" applyFill="1" applyBorder="1" applyAlignment="1">
      <alignment horizontal="right" vertical="center"/>
    </xf>
    <xf numFmtId="0" fontId="2" fillId="44" borderId="0" xfId="1" applyFont="1" applyFill="1" applyProtection="1"/>
    <xf numFmtId="0" fontId="36" fillId="38" borderId="53" xfId="0" applyFont="1" applyFill="1" applyBorder="1" applyAlignment="1">
      <alignment horizontal="center" vertical="center"/>
    </xf>
    <xf numFmtId="0" fontId="36" fillId="39" borderId="54" xfId="0" applyFont="1" applyFill="1" applyBorder="1" applyAlignment="1">
      <alignment horizontal="center" vertical="center" wrapText="1"/>
    </xf>
    <xf numFmtId="0" fontId="36" fillId="39" borderId="41" xfId="0" applyFont="1" applyFill="1" applyBorder="1" applyAlignment="1">
      <alignment horizontal="center" vertical="center" wrapText="1"/>
    </xf>
    <xf numFmtId="4" fontId="49" fillId="44" borderId="0" xfId="5" applyNumberFormat="1" applyFont="1" applyFill="1" applyBorder="1" applyAlignment="1" applyProtection="1">
      <alignment vertical="center" wrapText="1"/>
    </xf>
    <xf numFmtId="0" fontId="48" fillId="0" borderId="66" xfId="3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 wrapText="1"/>
    </xf>
    <xf numFmtId="200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/>
    </xf>
    <xf numFmtId="200" fontId="2" fillId="0" borderId="0" xfId="6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2" fontId="2" fillId="0" borderId="0" xfId="2" applyNumberFormat="1" applyFont="1" applyFill="1" applyBorder="1" applyAlignment="1" applyProtection="1">
      <alignment horizontal="center" vertical="center"/>
    </xf>
    <xf numFmtId="0" fontId="2" fillId="3" borderId="0" xfId="2" applyFont="1" applyFill="1" applyBorder="1" applyAlignment="1" applyProtection="1">
      <alignment horizontal="left" vertical="center"/>
    </xf>
    <xf numFmtId="0" fontId="2" fillId="0" borderId="58" xfId="2" applyFont="1" applyFill="1" applyBorder="1" applyAlignment="1" applyProtection="1">
      <alignment horizontal="center" vertical="center"/>
    </xf>
    <xf numFmtId="0" fontId="2" fillId="0" borderId="58" xfId="2" applyFont="1" applyFill="1" applyBorder="1" applyAlignment="1" applyProtection="1">
      <alignment horizontal="left" vertical="center" wrapText="1"/>
    </xf>
    <xf numFmtId="4" fontId="2" fillId="0" borderId="58" xfId="5" applyNumberFormat="1" applyFont="1" applyFill="1" applyBorder="1" applyAlignment="1" applyProtection="1">
      <alignment vertical="center" wrapText="1"/>
    </xf>
    <xf numFmtId="200" fontId="2" fillId="0" borderId="58" xfId="6" applyNumberFormat="1" applyFont="1" applyFill="1" applyBorder="1" applyAlignment="1" applyProtection="1">
      <alignment horizontal="right" vertical="center" wrapText="1"/>
    </xf>
    <xf numFmtId="200" fontId="3" fillId="0" borderId="59" xfId="6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97" fontId="3" fillId="0" borderId="14" xfId="1" applyNumberFormat="1" applyFont="1" applyFill="1" applyBorder="1" applyProtection="1"/>
    <xf numFmtId="197" fontId="3" fillId="0" borderId="80" xfId="1" applyNumberFormat="1" applyFont="1" applyFill="1" applyBorder="1" applyProtection="1"/>
    <xf numFmtId="197" fontId="3" fillId="0" borderId="71" xfId="1" applyNumberFormat="1" applyFont="1" applyFill="1" applyBorder="1" applyProtection="1"/>
    <xf numFmtId="0" fontId="50" fillId="0" borderId="33" xfId="188" applyFont="1" applyBorder="1" applyAlignment="1">
      <alignment vertical="center"/>
    </xf>
    <xf numFmtId="0" fontId="51" fillId="0" borderId="34" xfId="188" applyFont="1" applyBorder="1" applyAlignment="1">
      <alignment vertical="center"/>
    </xf>
    <xf numFmtId="0" fontId="51" fillId="0" borderId="35" xfId="188" applyFont="1" applyBorder="1" applyAlignment="1">
      <alignment vertical="center"/>
    </xf>
    <xf numFmtId="170" fontId="50" fillId="3" borderId="43" xfId="288" applyNumberFormat="1" applyFont="1" applyFill="1" applyBorder="1" applyAlignment="1">
      <alignment horizontal="center" vertical="center"/>
    </xf>
    <xf numFmtId="170" fontId="50" fillId="3" borderId="77" xfId="288" applyNumberFormat="1" applyFont="1" applyFill="1" applyBorder="1" applyAlignment="1">
      <alignment horizontal="center" vertical="center"/>
    </xf>
    <xf numFmtId="9" fontId="51" fillId="0" borderId="80" xfId="230" applyFont="1" applyFill="1" applyBorder="1" applyAlignment="1">
      <alignment horizontal="center" vertical="center"/>
    </xf>
    <xf numFmtId="200" fontId="2" fillId="0" borderId="0" xfId="6" quotePrefix="1" applyNumberFormat="1" applyFont="1" applyFill="1" applyBorder="1" applyAlignment="1" applyProtection="1">
      <alignment horizontal="right" vertical="center" wrapText="1"/>
    </xf>
    <xf numFmtId="200" fontId="2" fillId="0" borderId="21" xfId="6" applyNumberFormat="1" applyFont="1" applyFill="1" applyBorder="1" applyAlignment="1" applyProtection="1">
      <alignment horizontal="right" vertical="center" wrapText="1"/>
    </xf>
    <xf numFmtId="0" fontId="2" fillId="0" borderId="7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201" fontId="0" fillId="0" borderId="0" xfId="281" applyNumberFormat="1" applyFont="1"/>
    <xf numFmtId="183" fontId="4" fillId="0" borderId="52" xfId="173" applyNumberFormat="1" applyFont="1" applyFill="1" applyBorder="1"/>
    <xf numFmtId="178" fontId="4" fillId="0" borderId="52" xfId="173" applyNumberFormat="1" applyFont="1" applyFill="1" applyBorder="1"/>
    <xf numFmtId="0" fontId="2" fillId="0" borderId="4" xfId="2" applyFont="1" applyFill="1" applyBorder="1" applyAlignment="1" applyProtection="1">
      <alignment horizontal="left" vertical="center"/>
    </xf>
    <xf numFmtId="0" fontId="2" fillId="0" borderId="57" xfId="2" applyFont="1" applyFill="1" applyBorder="1" applyAlignment="1" applyProtection="1">
      <alignment horizontal="left" vertical="center"/>
    </xf>
    <xf numFmtId="0" fontId="35" fillId="0" borderId="0" xfId="274" applyFill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52" xfId="274" applyFont="1" applyFill="1" applyBorder="1"/>
    <xf numFmtId="0" fontId="4" fillId="0" borderId="52" xfId="274" applyFont="1" applyFill="1" applyBorder="1"/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4" fontId="49" fillId="0" borderId="0" xfId="5" applyNumberFormat="1" applyFont="1" applyFill="1" applyBorder="1" applyAlignment="1" applyProtection="1">
      <alignment vertical="center" wrapText="1"/>
    </xf>
    <xf numFmtId="0" fontId="36" fillId="0" borderId="53" xfId="274" applyFont="1" applyFill="1" applyBorder="1" applyAlignment="1">
      <alignment horizontal="center" vertical="center"/>
    </xf>
    <xf numFmtId="0" fontId="36" fillId="0" borderId="54" xfId="274" applyFont="1" applyFill="1" applyBorder="1" applyAlignment="1">
      <alignment horizontal="center" vertical="center" wrapText="1"/>
    </xf>
    <xf numFmtId="0" fontId="4" fillId="0" borderId="45" xfId="274" applyFont="1" applyFill="1" applyBorder="1"/>
    <xf numFmtId="0" fontId="36" fillId="0" borderId="56" xfId="274" applyFont="1" applyFill="1" applyBorder="1"/>
    <xf numFmtId="0" fontId="36" fillId="0" borderId="57" xfId="274" applyFont="1" applyFill="1" applyBorder="1" applyAlignment="1"/>
    <xf numFmtId="0" fontId="36" fillId="0" borderId="58" xfId="274" applyFont="1" applyFill="1" applyBorder="1" applyAlignment="1"/>
    <xf numFmtId="0" fontId="36" fillId="0" borderId="58" xfId="274" applyFont="1" applyFill="1" applyBorder="1" applyAlignment="1">
      <alignment horizontal="center"/>
    </xf>
    <xf numFmtId="0" fontId="36" fillId="0" borderId="41" xfId="274" applyFont="1" applyFill="1" applyBorder="1" applyAlignment="1">
      <alignment horizontal="center"/>
    </xf>
    <xf numFmtId="0" fontId="36" fillId="0" borderId="58" xfId="274" applyFont="1" applyFill="1" applyBorder="1" applyAlignment="1">
      <alignment horizontal="right"/>
    </xf>
    <xf numFmtId="0" fontId="36" fillId="0" borderId="59" xfId="274" applyFont="1" applyFill="1" applyBorder="1" applyAlignment="1">
      <alignment horizontal="right"/>
    </xf>
    <xf numFmtId="0" fontId="36" fillId="0" borderId="56" xfId="274" applyFont="1" applyFill="1" applyBorder="1" applyAlignment="1"/>
    <xf numFmtId="0" fontId="4" fillId="0" borderId="4" xfId="274" applyFont="1" applyFill="1" applyBorder="1"/>
    <xf numFmtId="0" fontId="4" fillId="0" borderId="0" xfId="274" applyFont="1" applyFill="1" applyBorder="1"/>
    <xf numFmtId="0" fontId="4" fillId="0" borderId="5" xfId="274" applyFont="1" applyFill="1" applyBorder="1"/>
    <xf numFmtId="0" fontId="36" fillId="0" borderId="60" xfId="274" applyFont="1" applyFill="1" applyBorder="1"/>
    <xf numFmtId="0" fontId="4" fillId="0" borderId="49" xfId="274" applyFont="1" applyFill="1" applyBorder="1"/>
    <xf numFmtId="0" fontId="4" fillId="0" borderId="50" xfId="274" applyFont="1" applyFill="1" applyBorder="1"/>
    <xf numFmtId="0" fontId="36" fillId="0" borderId="4" xfId="274" applyFont="1" applyFill="1" applyBorder="1"/>
    <xf numFmtId="0" fontId="4" fillId="0" borderId="7" xfId="274" applyFont="1" applyFill="1" applyBorder="1"/>
    <xf numFmtId="0" fontId="36" fillId="0" borderId="13" xfId="274" applyFont="1" applyFill="1" applyBorder="1" applyAlignment="1">
      <alignment horizontal="center"/>
    </xf>
    <xf numFmtId="0" fontId="36" fillId="0" borderId="14" xfId="274" applyFont="1" applyFill="1" applyBorder="1" applyAlignment="1">
      <alignment horizontal="center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47" xfId="274" applyFont="1" applyFill="1" applyBorder="1" applyAlignment="1">
      <alignment horizontal="center"/>
    </xf>
    <xf numFmtId="0" fontId="36" fillId="0" borderId="61" xfId="274" applyFont="1" applyFill="1" applyBorder="1" applyAlignment="1">
      <alignment horizontal="center"/>
    </xf>
    <xf numFmtId="195" fontId="4" fillId="0" borderId="21" xfId="274" applyNumberFormat="1" applyFont="1" applyFill="1" applyBorder="1" applyAlignment="1">
      <alignment horizontal="right"/>
    </xf>
    <xf numFmtId="196" fontId="4" fillId="0" borderId="47" xfId="274" applyNumberFormat="1" applyFont="1" applyFill="1" applyBorder="1" applyAlignment="1">
      <alignment horizontal="right"/>
    </xf>
    <xf numFmtId="196" fontId="4" fillId="0" borderId="61" xfId="274" applyNumberFormat="1" applyFont="1" applyFill="1" applyBorder="1" applyAlignment="1">
      <alignment horizontal="right"/>
    </xf>
    <xf numFmtId="195" fontId="4" fillId="0" borderId="43" xfId="274" applyNumberFormat="1" applyFont="1" applyFill="1" applyBorder="1" applyAlignment="1">
      <alignment horizontal="right"/>
    </xf>
    <xf numFmtId="195" fontId="4" fillId="0" borderId="42" xfId="274" applyNumberFormat="1" applyFont="1" applyFill="1" applyBorder="1" applyAlignment="1">
      <alignment horizontal="right"/>
    </xf>
    <xf numFmtId="4" fontId="4" fillId="0" borderId="32" xfId="274" applyNumberFormat="1" applyFont="1" applyFill="1" applyBorder="1" applyAlignment="1">
      <alignment horizontal="right"/>
    </xf>
    <xf numFmtId="0" fontId="4" fillId="0" borderId="42" xfId="274" applyNumberFormat="1" applyFont="1" applyFill="1" applyBorder="1" applyAlignment="1">
      <alignment horizontal="right"/>
    </xf>
    <xf numFmtId="0" fontId="4" fillId="0" borderId="39" xfId="274" applyFont="1" applyFill="1" applyBorder="1" applyAlignment="1"/>
    <xf numFmtId="0" fontId="4" fillId="0" borderId="64" xfId="274" applyFont="1" applyFill="1" applyBorder="1" applyAlignment="1"/>
    <xf numFmtId="196" fontId="4" fillId="0" borderId="39" xfId="274" applyNumberFormat="1" applyFont="1" applyFill="1" applyBorder="1" applyAlignment="1">
      <alignment horizontal="right"/>
    </xf>
    <xf numFmtId="196" fontId="4" fillId="0" borderId="64" xfId="274" applyNumberFormat="1" applyFont="1" applyFill="1" applyBorder="1" applyAlignment="1">
      <alignment horizontal="right"/>
    </xf>
    <xf numFmtId="4" fontId="4" fillId="0" borderId="42" xfId="274" applyNumberFormat="1" applyFont="1" applyFill="1" applyBorder="1" applyAlignment="1">
      <alignment horizontal="right"/>
    </xf>
    <xf numFmtId="0" fontId="4" fillId="0" borderId="52" xfId="274" applyFont="1" applyFill="1" applyBorder="1" applyAlignment="1">
      <alignment horizontal="center"/>
    </xf>
    <xf numFmtId="0" fontId="4" fillId="0" borderId="49" xfId="274" applyFont="1" applyFill="1" applyBorder="1" applyAlignment="1">
      <alignment horizontal="center"/>
    </xf>
    <xf numFmtId="0" fontId="4" fillId="0" borderId="64" xfId="274" applyFont="1" applyFill="1" applyBorder="1" applyAlignment="1">
      <alignment horizontal="center"/>
    </xf>
    <xf numFmtId="2" fontId="4" fillId="0" borderId="32" xfId="274" applyNumberFormat="1" applyFont="1" applyFill="1" applyBorder="1"/>
    <xf numFmtId="0" fontId="4" fillId="0" borderId="36" xfId="274" applyFont="1" applyFill="1" applyBorder="1"/>
    <xf numFmtId="4" fontId="4" fillId="0" borderId="44" xfId="274" applyNumberFormat="1" applyFont="1" applyFill="1" applyBorder="1"/>
    <xf numFmtId="4" fontId="4" fillId="0" borderId="41" xfId="274" applyNumberFormat="1" applyFont="1" applyFill="1" applyBorder="1"/>
    <xf numFmtId="0" fontId="36" fillId="0" borderId="62" xfId="274" applyFont="1" applyFill="1" applyBorder="1"/>
    <xf numFmtId="0" fontId="4" fillId="0" borderId="67" xfId="274" applyFont="1" applyFill="1" applyBorder="1"/>
    <xf numFmtId="0" fontId="4" fillId="0" borderId="6" xfId="274" applyFont="1" applyFill="1" applyBorder="1"/>
    <xf numFmtId="0" fontId="36" fillId="0" borderId="35" xfId="274" applyFont="1" applyFill="1" applyBorder="1" applyAlignment="1">
      <alignment horizontal="center"/>
    </xf>
    <xf numFmtId="0" fontId="4" fillId="0" borderId="68" xfId="274" applyFont="1" applyFill="1" applyBorder="1" applyAlignment="1">
      <alignment horizontal="left"/>
    </xf>
    <xf numFmtId="0" fontId="36" fillId="0" borderId="48" xfId="274" applyFont="1" applyFill="1" applyBorder="1" applyAlignment="1">
      <alignment horizontal="center"/>
    </xf>
    <xf numFmtId="0" fontId="4" fillId="0" borderId="48" xfId="274" applyFont="1" applyFill="1" applyBorder="1" applyAlignment="1">
      <alignment horizontal="center"/>
    </xf>
    <xf numFmtId="196" fontId="4" fillId="0" borderId="21" xfId="274" applyNumberFormat="1" applyFont="1" applyFill="1" applyBorder="1" applyAlignment="1">
      <alignment horizontal="right"/>
    </xf>
    <xf numFmtId="2" fontId="4" fillId="0" borderId="61" xfId="274" applyNumberFormat="1" applyFont="1" applyFill="1" applyBorder="1" applyAlignment="1">
      <alignment horizontal="right"/>
    </xf>
    <xf numFmtId="2" fontId="4" fillId="0" borderId="43" xfId="274" applyNumberFormat="1" applyFont="1" applyFill="1" applyBorder="1" applyAlignment="1">
      <alignment horizontal="right"/>
    </xf>
    <xf numFmtId="0" fontId="4" fillId="0" borderId="32" xfId="274" applyFont="1" applyFill="1" applyBorder="1"/>
    <xf numFmtId="0" fontId="4" fillId="0" borderId="42" xfId="274" applyFont="1" applyFill="1" applyBorder="1"/>
    <xf numFmtId="2" fontId="4" fillId="0" borderId="41" xfId="274" applyNumberFormat="1" applyFont="1" applyFill="1" applyBorder="1"/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13" xfId="274" applyFont="1" applyFill="1" applyBorder="1" applyAlignment="1">
      <alignment horizontal="center" vertical="center"/>
    </xf>
    <xf numFmtId="0" fontId="36" fillId="0" borderId="13" xfId="274" applyFont="1" applyFill="1" applyBorder="1" applyAlignment="1">
      <alignment horizontal="center" vertical="center" wrapText="1"/>
    </xf>
    <xf numFmtId="0" fontId="36" fillId="0" borderId="14" xfId="274" applyFont="1" applyFill="1" applyBorder="1" applyAlignment="1">
      <alignment horizontal="center" vertical="center"/>
    </xf>
    <xf numFmtId="0" fontId="4" fillId="0" borderId="52" xfId="274" applyFont="1" applyFill="1" applyBorder="1" applyAlignment="1"/>
    <xf numFmtId="0" fontId="4" fillId="0" borderId="32" xfId="274" applyFont="1" applyFill="1" applyBorder="1" applyAlignment="1">
      <alignment horizontal="center"/>
    </xf>
    <xf numFmtId="2" fontId="4" fillId="0" borderId="52" xfId="274" applyNumberFormat="1" applyFont="1" applyFill="1" applyBorder="1"/>
    <xf numFmtId="195" fontId="4" fillId="0" borderId="42" xfId="274" applyNumberFormat="1" applyFont="1" applyFill="1" applyBorder="1"/>
    <xf numFmtId="0" fontId="4" fillId="0" borderId="49" xfId="274" applyFont="1" applyFill="1" applyBorder="1" applyAlignment="1"/>
    <xf numFmtId="0" fontId="4" fillId="0" borderId="38" xfId="274" applyFont="1" applyFill="1" applyBorder="1" applyAlignment="1">
      <alignment horizont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2" fontId="4" fillId="0" borderId="42" xfId="274" applyNumberFormat="1" applyFont="1" applyFill="1" applyBorder="1"/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/>
    <xf numFmtId="0" fontId="4" fillId="0" borderId="69" xfId="274" applyFont="1" applyFill="1" applyBorder="1"/>
    <xf numFmtId="195" fontId="4" fillId="0" borderId="70" xfId="274" applyNumberFormat="1" applyFont="1" applyFill="1" applyBorder="1"/>
    <xf numFmtId="0" fontId="4" fillId="0" borderId="60" xfId="274" applyFont="1" applyFill="1" applyBorder="1" applyAlignment="1"/>
    <xf numFmtId="195" fontId="4" fillId="0" borderId="32" xfId="274" applyNumberFormat="1" applyFont="1" applyFill="1" applyBorder="1"/>
    <xf numFmtId="0" fontId="4" fillId="0" borderId="47" xfId="274" applyFont="1" applyFill="1" applyBorder="1" applyAlignment="1">
      <alignment horizontal="center"/>
    </xf>
    <xf numFmtId="2" fontId="4" fillId="0" borderId="48" xfId="274" applyNumberFormat="1" applyFont="1" applyFill="1" applyBorder="1" applyAlignment="1">
      <alignment horizontal="right"/>
    </xf>
    <xf numFmtId="2" fontId="4" fillId="0" borderId="52" xfId="274" applyNumberFormat="1" applyFont="1" applyFill="1" applyBorder="1" applyAlignment="1">
      <alignment horizontal="right"/>
    </xf>
    <xf numFmtId="0" fontId="4" fillId="0" borderId="37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/>
    </xf>
    <xf numFmtId="0" fontId="36" fillId="46" borderId="14" xfId="274" applyFont="1" applyFill="1" applyBorder="1" applyAlignment="1">
      <alignment horizontal="center"/>
    </xf>
    <xf numFmtId="0" fontId="36" fillId="46" borderId="53" xfId="274" applyFont="1" applyFill="1" applyBorder="1" applyAlignment="1">
      <alignment horizontal="center" vertical="center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41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 vertical="center"/>
    </xf>
    <xf numFmtId="0" fontId="36" fillId="46" borderId="13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 wrapText="1"/>
    </xf>
    <xf numFmtId="4" fontId="4" fillId="46" borderId="41" xfId="274" applyNumberFormat="1" applyFont="1" applyFill="1" applyBorder="1"/>
    <xf numFmtId="16" fontId="35" fillId="0" borderId="0" xfId="274" applyNumberFormat="1" applyFill="1" applyProtection="1"/>
    <xf numFmtId="1" fontId="35" fillId="0" borderId="0" xfId="274" applyNumberFormat="1" applyFill="1" applyProtection="1"/>
    <xf numFmtId="183" fontId="4" fillId="0" borderId="48" xfId="274" applyNumberFormat="1" applyFont="1" applyFill="1" applyBorder="1" applyAlignment="1">
      <alignment horizontal="right"/>
    </xf>
    <xf numFmtId="183" fontId="4" fillId="0" borderId="52" xfId="274" applyNumberFormat="1" applyFont="1" applyFill="1" applyBorder="1" applyAlignment="1">
      <alignment horizontal="right"/>
    </xf>
    <xf numFmtId="0" fontId="4" fillId="46" borderId="62" xfId="173" applyFont="1" applyFill="1" applyBorder="1"/>
    <xf numFmtId="0" fontId="4" fillId="46" borderId="52" xfId="274" applyFont="1" applyFill="1" applyBorder="1" applyAlignment="1"/>
    <xf numFmtId="0" fontId="4" fillId="46" borderId="32" xfId="274" applyFont="1" applyFill="1" applyBorder="1" applyAlignment="1">
      <alignment horizontal="center"/>
    </xf>
    <xf numFmtId="2" fontId="4" fillId="46" borderId="32" xfId="274" applyNumberFormat="1" applyFont="1" applyFill="1" applyBorder="1"/>
    <xf numFmtId="2" fontId="4" fillId="46" borderId="52" xfId="274" applyNumberFormat="1" applyFont="1" applyFill="1" applyBorder="1"/>
    <xf numFmtId="195" fontId="4" fillId="46" borderId="42" xfId="274" applyNumberFormat="1" applyFont="1" applyFill="1" applyBorder="1"/>
    <xf numFmtId="4" fontId="4" fillId="47" borderId="41" xfId="0" applyNumberFormat="1" applyFont="1" applyFill="1" applyBorder="1"/>
    <xf numFmtId="0" fontId="4" fillId="0" borderId="79" xfId="274" applyFont="1" applyFill="1" applyBorder="1" applyAlignment="1">
      <alignment horizontal="left"/>
    </xf>
    <xf numFmtId="205" fontId="4" fillId="0" borderId="61" xfId="282" applyNumberFormat="1" applyFont="1" applyFill="1" applyBorder="1" applyAlignment="1">
      <alignment horizontal="right"/>
    </xf>
    <xf numFmtId="4" fontId="36" fillId="0" borderId="41" xfId="274" applyNumberFormat="1" applyFont="1" applyFill="1" applyBorder="1"/>
    <xf numFmtId="0" fontId="4" fillId="0" borderId="38" xfId="274" applyFont="1" applyFill="1" applyBorder="1" applyAlignment="1"/>
    <xf numFmtId="0" fontId="4" fillId="0" borderId="38" xfId="274" applyFont="1" applyFill="1" applyBorder="1"/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51" xfId="274" applyFont="1" applyFill="1" applyBorder="1"/>
    <xf numFmtId="195" fontId="4" fillId="0" borderId="41" xfId="274" applyNumberFormat="1" applyFont="1" applyFill="1" applyBorder="1"/>
    <xf numFmtId="206" fontId="4" fillId="0" borderId="42" xfId="282" applyNumberFormat="1" applyFont="1" applyFill="1" applyBorder="1"/>
    <xf numFmtId="198" fontId="4" fillId="0" borderId="64" xfId="279" applyNumberFormat="1" applyFont="1" applyFill="1" applyBorder="1" applyAlignment="1">
      <alignment horizontal="right"/>
    </xf>
    <xf numFmtId="4" fontId="4" fillId="47" borderId="41" xfId="274" applyNumberFormat="1" applyFont="1" applyFill="1" applyBorder="1"/>
    <xf numFmtId="0" fontId="36" fillId="0" borderId="56" xfId="274" applyFont="1" applyFill="1" applyBorder="1" applyAlignment="1">
      <alignment horizontal="center"/>
    </xf>
    <xf numFmtId="196" fontId="0" fillId="0" borderId="0" xfId="0" applyNumberFormat="1"/>
    <xf numFmtId="0" fontId="36" fillId="46" borderId="54" xfId="274" applyFont="1" applyFill="1" applyBorder="1" applyAlignment="1">
      <alignment horizontal="center" vertical="center" wrapText="1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37" xfId="274" applyFont="1" applyFill="1" applyBorder="1" applyAlignment="1"/>
    <xf numFmtId="0" fontId="4" fillId="0" borderId="52" xfId="274" applyFont="1" applyFill="1" applyBorder="1"/>
    <xf numFmtId="0" fontId="4" fillId="0" borderId="37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4" fillId="0" borderId="79" xfId="274" applyFont="1" applyFill="1" applyBorder="1" applyAlignment="1">
      <alignment horizontal="left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/>
    </xf>
    <xf numFmtId="207" fontId="4" fillId="0" borderId="42" xfId="274" applyNumberFormat="1" applyFont="1" applyFill="1" applyBorder="1" applyAlignment="1">
      <alignment horizontal="right"/>
    </xf>
    <xf numFmtId="42" fontId="4" fillId="0" borderId="63" xfId="282" applyFont="1" applyFill="1" applyBorder="1" applyAlignment="1"/>
    <xf numFmtId="208" fontId="4" fillId="0" borderId="32" xfId="274" applyNumberFormat="1" applyFont="1" applyFill="1" applyBorder="1"/>
    <xf numFmtId="42" fontId="4" fillId="0" borderId="61" xfId="282" applyFont="1" applyFill="1" applyBorder="1" applyAlignment="1">
      <alignment horizontal="right"/>
    </xf>
    <xf numFmtId="42" fontId="4" fillId="0" borderId="78" xfId="282" applyFont="1" applyFill="1" applyBorder="1" applyAlignment="1"/>
    <xf numFmtId="209" fontId="4" fillId="0" borderId="61" xfId="282" applyNumberFormat="1" applyFont="1" applyFill="1" applyBorder="1" applyAlignment="1">
      <alignment horizontal="right"/>
    </xf>
    <xf numFmtId="0" fontId="36" fillId="47" borderId="53" xfId="0" applyFont="1" applyFill="1" applyBorder="1" applyAlignment="1">
      <alignment horizontal="center" vertical="center"/>
    </xf>
    <xf numFmtId="0" fontId="36" fillId="46" borderId="54" xfId="0" applyFont="1" applyFill="1" applyBorder="1" applyAlignment="1">
      <alignment horizontal="center" vertical="center" wrapText="1"/>
    </xf>
    <xf numFmtId="0" fontId="36" fillId="46" borderId="41" xfId="0" applyFont="1" applyFill="1" applyBorder="1" applyAlignment="1">
      <alignment horizontal="center" vertical="center" wrapText="1"/>
    </xf>
    <xf numFmtId="9" fontId="4" fillId="0" borderId="64" xfId="279" applyFont="1" applyFill="1" applyBorder="1" applyAlignment="1">
      <alignment horizontal="right"/>
    </xf>
    <xf numFmtId="0" fontId="36" fillId="0" borderId="68" xfId="274" applyFont="1" applyFill="1" applyBorder="1"/>
    <xf numFmtId="0" fontId="4" fillId="0" borderId="48" xfId="274" applyFont="1" applyFill="1" applyBorder="1"/>
    <xf numFmtId="0" fontId="4" fillId="0" borderId="83" xfId="274" applyFont="1" applyFill="1" applyBorder="1"/>
    <xf numFmtId="4" fontId="4" fillId="0" borderId="53" xfId="274" applyNumberFormat="1" applyFont="1" applyFill="1" applyBorder="1"/>
    <xf numFmtId="0" fontId="58" fillId="0" borderId="89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5" fillId="0" borderId="49" xfId="0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8" fillId="0" borderId="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5" fillId="0" borderId="2" xfId="0" applyFont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 vertical="center"/>
    </xf>
    <xf numFmtId="1" fontId="55" fillId="0" borderId="77" xfId="0" applyNumberFormat="1" applyFont="1" applyBorder="1" applyAlignment="1">
      <alignment horizontal="center" vertical="center"/>
    </xf>
    <xf numFmtId="1" fontId="55" fillId="0" borderId="80" xfId="0" applyNumberFormat="1" applyFont="1" applyBorder="1" applyAlignment="1">
      <alignment horizontal="center" vertical="center"/>
    </xf>
    <xf numFmtId="0" fontId="58" fillId="0" borderId="0" xfId="0" applyFont="1"/>
    <xf numFmtId="1" fontId="55" fillId="0" borderId="5" xfId="0" applyNumberFormat="1" applyFont="1" applyBorder="1" applyAlignment="1">
      <alignment horizontal="center" vertical="center"/>
    </xf>
    <xf numFmtId="0" fontId="55" fillId="0" borderId="68" xfId="0" applyFont="1" applyBorder="1" applyAlignment="1">
      <alignment horizontal="left"/>
    </xf>
    <xf numFmtId="0" fontId="55" fillId="0" borderId="48" xfId="0" applyFont="1" applyBorder="1" applyAlignment="1">
      <alignment horizontal="center"/>
    </xf>
    <xf numFmtId="0" fontId="55" fillId="0" borderId="83" xfId="0" applyFont="1" applyBorder="1" applyAlignment="1">
      <alignment horizontal="center"/>
    </xf>
    <xf numFmtId="0" fontId="58" fillId="0" borderId="57" xfId="0" applyFont="1" applyBorder="1"/>
    <xf numFmtId="0" fontId="58" fillId="0" borderId="58" xfId="0" applyFont="1" applyBorder="1"/>
    <xf numFmtId="0" fontId="58" fillId="0" borderId="59" xfId="0" applyFont="1" applyBorder="1"/>
    <xf numFmtId="0" fontId="58" fillId="0" borderId="1" xfId="0" applyFont="1" applyBorder="1"/>
    <xf numFmtId="0" fontId="58" fillId="0" borderId="2" xfId="0" applyFont="1" applyBorder="1"/>
    <xf numFmtId="0" fontId="58" fillId="0" borderId="3" xfId="0" applyFont="1" applyBorder="1"/>
    <xf numFmtId="0" fontId="58" fillId="0" borderId="4" xfId="0" applyFont="1" applyBorder="1"/>
    <xf numFmtId="0" fontId="58" fillId="0" borderId="5" xfId="0" applyFont="1" applyBorder="1"/>
    <xf numFmtId="0" fontId="57" fillId="45" borderId="53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" fontId="58" fillId="0" borderId="56" xfId="0" applyNumberFormat="1" applyFont="1" applyFill="1" applyBorder="1" applyAlignment="1">
      <alignment horizontal="center" vertical="center"/>
    </xf>
    <xf numFmtId="0" fontId="57" fillId="45" borderId="13" xfId="0" applyFont="1" applyFill="1" applyBorder="1" applyAlignment="1">
      <alignment horizontal="center"/>
    </xf>
    <xf numFmtId="0" fontId="57" fillId="45" borderId="14" xfId="0" applyFont="1" applyFill="1" applyBorder="1" applyAlignment="1">
      <alignment horizontal="center"/>
    </xf>
    <xf numFmtId="172" fontId="58" fillId="0" borderId="77" xfId="88" applyFont="1" applyBorder="1"/>
    <xf numFmtId="172" fontId="58" fillId="0" borderId="80" xfId="88" applyFont="1" applyBorder="1"/>
    <xf numFmtId="0" fontId="58" fillId="0" borderId="57" xfId="0" applyFont="1" applyBorder="1"/>
    <xf numFmtId="0" fontId="58" fillId="0" borderId="58" xfId="0" applyFont="1" applyBorder="1"/>
    <xf numFmtId="172" fontId="58" fillId="0" borderId="36" xfId="88" applyFont="1" applyBorder="1"/>
    <xf numFmtId="172" fontId="58" fillId="0" borderId="41" xfId="0" applyNumberFormat="1" applyFont="1" applyBorder="1"/>
    <xf numFmtId="0" fontId="57" fillId="45" borderId="35" xfId="0" applyFont="1" applyFill="1" applyBorder="1" applyAlignment="1">
      <alignment horizontal="center"/>
    </xf>
    <xf numFmtId="0" fontId="58" fillId="0" borderId="79" xfId="0" applyFont="1" applyBorder="1" applyAlignment="1">
      <alignment horizontal="center"/>
    </xf>
    <xf numFmtId="2" fontId="58" fillId="0" borderId="77" xfId="0" applyNumberFormat="1" applyFont="1" applyBorder="1"/>
    <xf numFmtId="0" fontId="58" fillId="0" borderId="49" xfId="0" applyFont="1" applyBorder="1" applyAlignment="1">
      <alignment horizontal="center"/>
    </xf>
    <xf numFmtId="2" fontId="58" fillId="0" borderId="38" xfId="0" applyNumberFormat="1" applyFont="1" applyBorder="1"/>
    <xf numFmtId="0" fontId="58" fillId="0" borderId="49" xfId="0" applyFont="1" applyBorder="1"/>
    <xf numFmtId="0" fontId="58" fillId="0" borderId="69" xfId="0" applyFont="1" applyBorder="1"/>
    <xf numFmtId="172" fontId="58" fillId="0" borderId="41" xfId="88" applyFont="1" applyBorder="1"/>
    <xf numFmtId="0" fontId="57" fillId="45" borderId="54" xfId="0" applyFont="1" applyFill="1" applyBorder="1" applyAlignment="1">
      <alignment horizontal="center"/>
    </xf>
    <xf numFmtId="0" fontId="57" fillId="45" borderId="13" xfId="0" applyFont="1" applyFill="1" applyBorder="1"/>
    <xf numFmtId="2" fontId="58" fillId="0" borderId="77" xfId="0" applyNumberFormat="1" applyFont="1" applyBorder="1" applyAlignment="1">
      <alignment horizontal="center"/>
    </xf>
    <xf numFmtId="2" fontId="58" fillId="0" borderId="79" xfId="0" applyNumberFormat="1" applyFont="1" applyBorder="1" applyAlignment="1">
      <alignment horizontal="center"/>
    </xf>
    <xf numFmtId="0" fontId="58" fillId="0" borderId="36" xfId="0" applyFont="1" applyBorder="1"/>
    <xf numFmtId="0" fontId="58" fillId="0" borderId="7" xfId="0" applyFont="1" applyBorder="1"/>
    <xf numFmtId="172" fontId="58" fillId="0" borderId="44" xfId="88" applyFont="1" applyBorder="1"/>
    <xf numFmtId="0" fontId="57" fillId="45" borderId="54" xfId="0" applyFont="1" applyFill="1" applyBorder="1" applyAlignment="1">
      <alignment horizontal="center" wrapText="1"/>
    </xf>
    <xf numFmtId="0" fontId="57" fillId="45" borderId="13" xfId="0" applyFont="1" applyFill="1" applyBorder="1" applyAlignment="1">
      <alignment horizontal="center" wrapText="1"/>
    </xf>
    <xf numFmtId="0" fontId="57" fillId="45" borderId="14" xfId="0" applyFont="1" applyFill="1" applyBorder="1" applyAlignment="1">
      <alignment horizontal="center" wrapText="1"/>
    </xf>
    <xf numFmtId="172" fontId="58" fillId="0" borderId="77" xfId="88" applyFont="1" applyBorder="1" applyAlignment="1">
      <alignment horizontal="center"/>
    </xf>
    <xf numFmtId="0" fontId="58" fillId="0" borderId="79" xfId="230" applyNumberFormat="1" applyFont="1" applyBorder="1" applyAlignment="1">
      <alignment horizontal="center"/>
    </xf>
    <xf numFmtId="203" fontId="58" fillId="0" borderId="21" xfId="0" applyNumberFormat="1" applyFont="1" applyBorder="1" applyAlignment="1">
      <alignment horizontal="center" wrapText="1"/>
    </xf>
    <xf numFmtId="172" fontId="58" fillId="0" borderId="43" xfId="88" applyFont="1" applyBorder="1" applyAlignment="1">
      <alignment horizontal="center" wrapText="1"/>
    </xf>
    <xf numFmtId="203" fontId="58" fillId="45" borderId="41" xfId="0" applyNumberFormat="1" applyFont="1" applyFill="1" applyBorder="1"/>
    <xf numFmtId="0" fontId="57" fillId="45" borderId="34" xfId="0" applyFont="1" applyFill="1" applyBorder="1" applyAlignment="1">
      <alignment horizontal="center" wrapText="1"/>
    </xf>
    <xf numFmtId="43" fontId="58" fillId="0" borderId="79" xfId="88" applyNumberFormat="1" applyFont="1" applyBorder="1"/>
    <xf numFmtId="9" fontId="58" fillId="0" borderId="63" xfId="230" applyFont="1" applyBorder="1"/>
    <xf numFmtId="9" fontId="58" fillId="0" borderId="77" xfId="230" applyFont="1" applyBorder="1" applyAlignment="1">
      <alignment horizontal="center"/>
    </xf>
    <xf numFmtId="43" fontId="58" fillId="0" borderId="80" xfId="88" applyNumberFormat="1" applyFont="1" applyBorder="1"/>
    <xf numFmtId="0" fontId="58" fillId="0" borderId="89" xfId="0" applyFont="1" applyBorder="1"/>
    <xf numFmtId="43" fontId="58" fillId="0" borderId="58" xfId="88" applyNumberFormat="1" applyFont="1" applyBorder="1"/>
    <xf numFmtId="9" fontId="58" fillId="0" borderId="66" xfId="230" applyFont="1" applyBorder="1"/>
    <xf numFmtId="43" fontId="58" fillId="0" borderId="41" xfId="0" applyNumberFormat="1" applyFont="1" applyBorder="1"/>
    <xf numFmtId="43" fontId="58" fillId="45" borderId="41" xfId="0" applyNumberFormat="1" applyFont="1" applyFill="1" applyBorder="1"/>
    <xf numFmtId="205" fontId="58" fillId="0" borderId="77" xfId="282" applyNumberFormat="1" applyFont="1" applyBorder="1"/>
    <xf numFmtId="0" fontId="58" fillId="0" borderId="78" xfId="0" applyFont="1" applyBorder="1" applyAlignment="1"/>
    <xf numFmtId="0" fontId="58" fillId="0" borderId="63" xfId="0" applyFont="1" applyBorder="1" applyAlignment="1"/>
    <xf numFmtId="172" fontId="58" fillId="0" borderId="78" xfId="88" applyFont="1" applyBorder="1" applyAlignment="1"/>
    <xf numFmtId="42" fontId="58" fillId="0" borderId="63" xfId="282" applyFont="1" applyBorder="1" applyAlignment="1"/>
    <xf numFmtId="42" fontId="58" fillId="0" borderId="77" xfId="282" applyFont="1" applyBorder="1" applyAlignment="1">
      <alignment horizontal="center"/>
    </xf>
    <xf numFmtId="42" fontId="4" fillId="0" borderId="32" xfId="282" applyFont="1" applyFill="1" applyBorder="1"/>
    <xf numFmtId="2" fontId="36" fillId="0" borderId="53" xfId="274" applyNumberFormat="1" applyFont="1" applyFill="1" applyBorder="1" applyAlignment="1">
      <alignment horizontal="center" vertical="center"/>
    </xf>
    <xf numFmtId="42" fontId="4" fillId="0" borderId="43" xfId="282" applyFont="1" applyFill="1" applyBorder="1" applyAlignment="1">
      <alignment horizontal="right"/>
    </xf>
    <xf numFmtId="42" fontId="4" fillId="0" borderId="42" xfId="282" applyFont="1" applyFill="1" applyBorder="1"/>
    <xf numFmtId="2" fontId="4" fillId="0" borderId="32" xfId="275" applyNumberFormat="1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4" fontId="4" fillId="0" borderId="5" xfId="274" applyNumberFormat="1" applyFont="1" applyFill="1" applyBorder="1"/>
    <xf numFmtId="207" fontId="4" fillId="0" borderId="42" xfId="274" applyNumberFormat="1" applyFont="1" applyFill="1" applyBorder="1"/>
    <xf numFmtId="0" fontId="0" fillId="0" borderId="0" xfId="0" applyAlignment="1">
      <alignment wrapText="1"/>
    </xf>
    <xf numFmtId="0" fontId="2" fillId="0" borderId="21" xfId="2" applyFont="1" applyFill="1" applyBorder="1" applyAlignment="1" applyProtection="1">
      <alignment horizontal="left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4" fontId="2" fillId="0" borderId="21" xfId="5" applyNumberFormat="1" applyFont="1" applyFill="1" applyBorder="1" applyAlignment="1" applyProtection="1">
      <alignment vertical="center" wrapText="1"/>
    </xf>
    <xf numFmtId="200" fontId="2" fillId="0" borderId="43" xfId="6" applyNumberFormat="1" applyFont="1" applyFill="1" applyBorder="1" applyAlignment="1" applyProtection="1">
      <alignment horizontal="right" vertical="center" wrapText="1"/>
    </xf>
    <xf numFmtId="200" fontId="3" fillId="0" borderId="41" xfId="1" applyNumberFormat="1" applyFont="1" applyFill="1" applyBorder="1" applyProtection="1"/>
    <xf numFmtId="197" fontId="2" fillId="0" borderId="90" xfId="1" applyNumberFormat="1" applyFont="1" applyFill="1" applyBorder="1" applyProtection="1"/>
    <xf numFmtId="4" fontId="2" fillId="48" borderId="0" xfId="5" applyNumberFormat="1" applyFont="1" applyFill="1" applyBorder="1" applyAlignment="1" applyProtection="1">
      <alignment vertical="center" wrapText="1"/>
    </xf>
    <xf numFmtId="4" fontId="3" fillId="48" borderId="0" xfId="2" applyNumberFormat="1" applyFont="1" applyFill="1" applyBorder="1" applyAlignment="1" applyProtection="1">
      <alignment vertical="center"/>
    </xf>
    <xf numFmtId="4" fontId="2" fillId="48" borderId="0" xfId="2" applyNumberFormat="1" applyFont="1" applyFill="1" applyBorder="1" applyAlignment="1" applyProtection="1">
      <alignment vertical="center"/>
    </xf>
    <xf numFmtId="208" fontId="0" fillId="0" borderId="0" xfId="0" applyNumberFormat="1"/>
    <xf numFmtId="42" fontId="4" fillId="0" borderId="41" xfId="282" applyFont="1" applyFill="1" applyBorder="1"/>
    <xf numFmtId="207" fontId="0" fillId="0" borderId="0" xfId="0" applyNumberFormat="1"/>
    <xf numFmtId="4" fontId="0" fillId="0" borderId="0" xfId="0" applyNumberFormat="1"/>
    <xf numFmtId="0" fontId="4" fillId="0" borderId="52" xfId="274" applyFont="1" applyFill="1" applyBorder="1"/>
    <xf numFmtId="0" fontId="36" fillId="46" borderId="54" xfId="274" applyFont="1" applyFill="1" applyBorder="1" applyAlignment="1">
      <alignment horizontal="center" vertical="center" wrapText="1"/>
    </xf>
    <xf numFmtId="10" fontId="35" fillId="0" borderId="0" xfId="279" applyNumberFormat="1" applyFont="1" applyFill="1" applyProtection="1"/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9" xfId="0" applyFont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0" fontId="41" fillId="41" borderId="79" xfId="0" applyFont="1" applyFill="1" applyBorder="1" applyAlignment="1" applyProtection="1">
      <alignment horizontal="center"/>
      <protection locked="0"/>
    </xf>
    <xf numFmtId="0" fontId="43" fillId="3" borderId="72" xfId="0" applyFont="1" applyFill="1" applyBorder="1" applyProtection="1"/>
    <xf numFmtId="0" fontId="43" fillId="3" borderId="75" xfId="0" applyFont="1" applyFill="1" applyBorder="1" applyProtection="1"/>
    <xf numFmtId="0" fontId="41" fillId="0" borderId="73" xfId="0" applyFont="1" applyBorder="1" applyAlignment="1" applyProtection="1">
      <alignment horizontal="right"/>
    </xf>
    <xf numFmtId="0" fontId="43" fillId="0" borderId="74" xfId="0" applyFont="1" applyFill="1" applyBorder="1" applyProtection="1">
      <protection locked="0"/>
    </xf>
    <xf numFmtId="0" fontId="37" fillId="0" borderId="0" xfId="0" applyFont="1" applyAlignment="1">
      <alignment horizontal="center"/>
    </xf>
    <xf numFmtId="0" fontId="41" fillId="0" borderId="74" xfId="0" applyFont="1" applyFill="1" applyBorder="1" applyAlignment="1">
      <alignment horizontal="center" vertical="center"/>
    </xf>
    <xf numFmtId="0" fontId="3" fillId="0" borderId="6" xfId="2" applyFont="1" applyFill="1" applyBorder="1" applyAlignment="1" applyProtection="1">
      <alignment vertical="center" wrapText="1"/>
    </xf>
    <xf numFmtId="0" fontId="3" fillId="0" borderId="8" xfId="2" applyFont="1" applyFill="1" applyBorder="1" applyAlignment="1" applyProtection="1">
      <alignment vertical="center" wrapText="1"/>
    </xf>
    <xf numFmtId="41" fontId="0" fillId="0" borderId="0" xfId="0" applyNumberFormat="1"/>
    <xf numFmtId="197" fontId="0" fillId="0" borderId="0" xfId="0" applyNumberFormat="1"/>
    <xf numFmtId="43" fontId="0" fillId="0" borderId="0" xfId="0" applyNumberFormat="1"/>
    <xf numFmtId="0" fontId="2" fillId="0" borderId="0" xfId="1" applyFont="1" applyFill="1" applyAlignment="1" applyProtection="1">
      <alignment horizontal="right"/>
    </xf>
    <xf numFmtId="2" fontId="0" fillId="0" borderId="0" xfId="0" applyNumberFormat="1"/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36" fillId="46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52" xfId="274" applyFont="1" applyFill="1" applyBorder="1"/>
    <xf numFmtId="0" fontId="4" fillId="0" borderId="52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57" fillId="45" borderId="54" xfId="0" applyFont="1" applyFill="1" applyBorder="1" applyAlignment="1">
      <alignment horizontal="center"/>
    </xf>
    <xf numFmtId="0" fontId="57" fillId="45" borderId="34" xfId="0" applyFont="1" applyFill="1" applyBorder="1" applyAlignment="1">
      <alignment horizontal="center" wrapText="1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58" fillId="0" borderId="57" xfId="0" applyFont="1" applyBorder="1"/>
    <xf numFmtId="0" fontId="58" fillId="0" borderId="58" xfId="0" applyFont="1" applyBorder="1"/>
    <xf numFmtId="0" fontId="57" fillId="45" borderId="35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2" fontId="35" fillId="0" borderId="0" xfId="274" applyNumberFormat="1" applyFill="1" applyProtection="1"/>
    <xf numFmtId="41" fontId="35" fillId="0" borderId="0" xfId="274" applyNumberFormat="1" applyFill="1" applyProtection="1"/>
    <xf numFmtId="42" fontId="2" fillId="0" borderId="0" xfId="282" applyFont="1" applyFill="1" applyAlignment="1" applyProtection="1"/>
    <xf numFmtId="3" fontId="61" fillId="0" borderId="0" xfId="0" applyNumberFormat="1" applyFont="1" applyAlignment="1" applyProtection="1">
      <alignment horizontal="center"/>
      <protection locked="0"/>
    </xf>
    <xf numFmtId="3" fontId="61" fillId="0" borderId="0" xfId="0" applyNumberFormat="1" applyFont="1" applyProtection="1">
      <protection locked="0"/>
    </xf>
    <xf numFmtId="0" fontId="36" fillId="0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2" fillId="0" borderId="81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3" fillId="0" borderId="82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50" fillId="0" borderId="81" xfId="204" applyFont="1" applyFill="1" applyBorder="1" applyAlignment="1">
      <alignment vertical="center" wrapText="1"/>
    </xf>
    <xf numFmtId="0" fontId="51" fillId="0" borderId="77" xfId="204" applyFont="1" applyFill="1" applyBorder="1" applyAlignment="1">
      <alignment vertical="center" wrapText="1"/>
    </xf>
    <xf numFmtId="0" fontId="51" fillId="3" borderId="77" xfId="204" applyFont="1" applyFill="1" applyBorder="1" applyAlignment="1">
      <alignment horizontal="center" vertical="center" wrapText="1"/>
    </xf>
    <xf numFmtId="0" fontId="51" fillId="3" borderId="80" xfId="204" applyFont="1" applyFill="1" applyBorder="1" applyAlignment="1">
      <alignment horizontal="center" vertical="center" wrapText="1"/>
    </xf>
    <xf numFmtId="0" fontId="51" fillId="0" borderId="81" xfId="204" applyFont="1" applyFill="1" applyBorder="1" applyAlignment="1">
      <alignment vertical="center" wrapText="1"/>
    </xf>
    <xf numFmtId="0" fontId="50" fillId="3" borderId="77" xfId="204" applyFont="1" applyFill="1" applyBorder="1" applyAlignment="1">
      <alignment horizontal="center" vertical="center" wrapText="1"/>
    </xf>
    <xf numFmtId="0" fontId="50" fillId="3" borderId="77" xfId="204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vertical="center" wrapText="1"/>
    </xf>
    <xf numFmtId="0" fontId="51" fillId="0" borderId="77" xfId="0" applyFont="1" applyFill="1" applyBorder="1" applyAlignment="1">
      <alignment vertical="center" wrapText="1"/>
    </xf>
    <xf numFmtId="3" fontId="50" fillId="3" borderId="77" xfId="204" applyNumberFormat="1" applyFont="1" applyFill="1" applyBorder="1" applyAlignment="1">
      <alignment horizontal="center" vertical="center" wrapText="1"/>
    </xf>
    <xf numFmtId="3" fontId="50" fillId="3" borderId="77" xfId="204" applyNumberFormat="1" applyFont="1" applyFill="1" applyBorder="1" applyAlignment="1">
      <alignment horizontal="center" vertical="center"/>
    </xf>
    <xf numFmtId="0" fontId="50" fillId="0" borderId="54" xfId="188" applyFont="1" applyBorder="1" applyAlignment="1">
      <alignment horizontal="left" vertical="center" wrapText="1"/>
    </xf>
    <xf numFmtId="0" fontId="50" fillId="0" borderId="55" xfId="188" applyFont="1" applyBorder="1" applyAlignment="1">
      <alignment horizontal="left" vertical="center" wrapText="1"/>
    </xf>
    <xf numFmtId="0" fontId="51" fillId="3" borderId="81" xfId="204" applyFont="1" applyFill="1" applyBorder="1" applyAlignment="1">
      <alignment vertical="center" wrapText="1"/>
    </xf>
    <xf numFmtId="0" fontId="51" fillId="3" borderId="77" xfId="204" applyFont="1" applyFill="1" applyBorder="1" applyAlignment="1">
      <alignment vertical="center" wrapText="1"/>
    </xf>
    <xf numFmtId="3" fontId="50" fillId="3" borderId="21" xfId="20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36" fillId="3" borderId="13" xfId="2" applyFont="1" applyFill="1" applyBorder="1" applyAlignment="1" applyProtection="1">
      <alignment horizontal="center" vertical="center" wrapText="1"/>
    </xf>
    <xf numFmtId="0" fontId="36" fillId="3" borderId="16" xfId="2" applyFont="1" applyFill="1" applyBorder="1" applyAlignment="1" applyProtection="1">
      <alignment horizontal="center" vertical="center" wrapText="1"/>
    </xf>
    <xf numFmtId="0" fontId="3" fillId="3" borderId="13" xfId="2" applyFont="1" applyFill="1" applyBorder="1" applyAlignment="1" applyProtection="1">
      <alignment horizontal="center" vertical="center" wrapText="1"/>
    </xf>
    <xf numFmtId="0" fontId="3" fillId="3" borderId="1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48" fillId="0" borderId="35" xfId="3" applyFont="1" applyFill="1" applyBorder="1" applyAlignment="1" applyProtection="1">
      <alignment horizontal="center" vertical="center" wrapText="1"/>
    </xf>
    <xf numFmtId="0" fontId="48" fillId="0" borderId="55" xfId="3" applyFont="1" applyFill="1" applyBorder="1" applyAlignment="1" applyProtection="1">
      <alignment horizontal="center" vertical="center" wrapText="1"/>
    </xf>
    <xf numFmtId="4" fontId="3" fillId="3" borderId="13" xfId="2" applyNumberFormat="1" applyFont="1" applyFill="1" applyBorder="1" applyAlignment="1" applyProtection="1">
      <alignment horizontal="center" vertical="center" wrapText="1"/>
    </xf>
    <xf numFmtId="4" fontId="3" fillId="3" borderId="16" xfId="2" applyNumberFormat="1" applyFont="1" applyFill="1" applyBorder="1" applyAlignment="1" applyProtection="1">
      <alignment horizontal="center" vertical="center" wrapText="1"/>
    </xf>
    <xf numFmtId="4" fontId="3" fillId="3" borderId="14" xfId="2" applyNumberFormat="1" applyFont="1" applyFill="1" applyBorder="1" applyAlignment="1" applyProtection="1">
      <alignment horizontal="center" vertical="center" wrapText="1"/>
    </xf>
    <xf numFmtId="4" fontId="3" fillId="3" borderId="17" xfId="2" applyNumberFormat="1" applyFont="1" applyFill="1" applyBorder="1" applyAlignment="1" applyProtection="1">
      <alignment horizontal="center" vertical="center" wrapText="1"/>
    </xf>
    <xf numFmtId="0" fontId="3" fillId="45" borderId="9" xfId="4" applyFont="1" applyFill="1" applyBorder="1" applyAlignment="1" applyProtection="1">
      <alignment horizontal="center" vertical="center"/>
    </xf>
    <xf numFmtId="0" fontId="3" fillId="45" borderId="10" xfId="4" applyFont="1" applyFill="1" applyBorder="1" applyAlignment="1" applyProtection="1">
      <alignment horizontal="center" vertical="center"/>
    </xf>
    <xf numFmtId="0" fontId="3" fillId="45" borderId="11" xfId="4" applyFont="1" applyFill="1" applyBorder="1" applyAlignment="1" applyProtection="1">
      <alignment horizontal="center" vertical="center"/>
    </xf>
    <xf numFmtId="0" fontId="3" fillId="2" borderId="9" xfId="4" applyFont="1" applyFill="1" applyBorder="1" applyAlignment="1" applyProtection="1">
      <alignment horizontal="center" vertical="center"/>
    </xf>
    <xf numFmtId="0" fontId="3" fillId="2" borderId="10" xfId="4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 vertical="center"/>
    </xf>
    <xf numFmtId="0" fontId="3" fillId="45" borderId="9" xfId="0" applyFont="1" applyFill="1" applyBorder="1" applyAlignment="1">
      <alignment horizontal="right"/>
    </xf>
    <xf numFmtId="0" fontId="3" fillId="45" borderId="10" xfId="0" applyFont="1" applyFill="1" applyBorder="1" applyAlignment="1">
      <alignment horizontal="right"/>
    </xf>
    <xf numFmtId="0" fontId="3" fillId="45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1" fillId="0" borderId="78" xfId="0" applyFont="1" applyFill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8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38" fillId="0" borderId="0" xfId="0" applyFont="1" applyAlignment="1" applyProtection="1">
      <alignment horizontal="justify" vertical="justify" wrapText="1"/>
      <protection locked="0"/>
    </xf>
    <xf numFmtId="0" fontId="40" fillId="41" borderId="78" xfId="0" applyFont="1" applyFill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0" fontId="41" fillId="41" borderId="78" xfId="0" applyFont="1" applyFill="1" applyBorder="1" applyAlignment="1" applyProtection="1">
      <alignment horizontal="center"/>
      <protection locked="0"/>
    </xf>
    <xf numFmtId="0" fontId="41" fillId="41" borderId="79" xfId="0" applyFont="1" applyFill="1" applyBorder="1" applyAlignment="1" applyProtection="1">
      <alignment horizontal="center"/>
      <protection locked="0"/>
    </xf>
    <xf numFmtId="0" fontId="43" fillId="3" borderId="72" xfId="0" applyFont="1" applyFill="1" applyBorder="1" applyProtection="1"/>
    <xf numFmtId="0" fontId="43" fillId="3" borderId="75" xfId="0" applyFont="1" applyFill="1" applyBorder="1" applyProtection="1"/>
    <xf numFmtId="9" fontId="43" fillId="0" borderId="74" xfId="279" applyFont="1" applyBorder="1" applyProtection="1"/>
    <xf numFmtId="0" fontId="41" fillId="0" borderId="72" xfId="0" applyFont="1" applyBorder="1" applyAlignment="1" applyProtection="1">
      <alignment horizontal="right"/>
    </xf>
    <xf numFmtId="0" fontId="41" fillId="0" borderId="73" xfId="0" applyFont="1" applyBorder="1" applyAlignment="1" applyProtection="1">
      <alignment horizontal="right"/>
    </xf>
    <xf numFmtId="0" fontId="43" fillId="0" borderId="74" xfId="0" applyFont="1" applyBorder="1" applyProtection="1">
      <protection locked="0"/>
    </xf>
    <xf numFmtId="0" fontId="43" fillId="0" borderId="74" xfId="0" applyFont="1" applyFill="1" applyBorder="1" applyProtection="1">
      <protection locked="0"/>
    </xf>
    <xf numFmtId="0" fontId="37" fillId="0" borderId="0" xfId="0" applyFont="1" applyAlignment="1">
      <alignment horizontal="center"/>
    </xf>
    <xf numFmtId="0" fontId="39" fillId="40" borderId="72" xfId="0" applyFont="1" applyFill="1" applyBorder="1" applyAlignment="1" applyProtection="1">
      <alignment horizontal="center"/>
      <protection locked="0"/>
    </xf>
    <xf numFmtId="0" fontId="39" fillId="40" borderId="73" xfId="0" applyFont="1" applyFill="1" applyBorder="1" applyAlignment="1" applyProtection="1">
      <alignment horizontal="center"/>
      <protection locked="0"/>
    </xf>
    <xf numFmtId="0" fontId="41" fillId="0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 applyProtection="1">
      <alignment horizontal="left" vertical="center"/>
    </xf>
    <xf numFmtId="0" fontId="3" fillId="2" borderId="7" xfId="2" applyFont="1" applyFill="1" applyBorder="1" applyAlignment="1" applyProtection="1">
      <alignment horizontal="center" vertical="center"/>
    </xf>
    <xf numFmtId="0" fontId="3" fillId="49" borderId="9" xfId="2" applyFont="1" applyFill="1" applyBorder="1" applyAlignment="1" applyProtection="1">
      <alignment horizontal="center" vertical="center" wrapText="1"/>
    </xf>
    <xf numFmtId="0" fontId="3" fillId="49" borderId="10" xfId="2" applyFont="1" applyFill="1" applyBorder="1" applyAlignment="1" applyProtection="1">
      <alignment horizontal="center" vertical="center" wrapText="1"/>
    </xf>
    <xf numFmtId="0" fontId="3" fillId="49" borderId="11" xfId="2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7" fillId="0" borderId="0" xfId="0" applyFont="1" applyAlignment="1">
      <alignment horizontal="center" wrapText="1"/>
    </xf>
    <xf numFmtId="166" fontId="37" fillId="0" borderId="91" xfId="95" applyFont="1" applyBorder="1" applyAlignment="1">
      <alignment horizontal="center"/>
    </xf>
    <xf numFmtId="4" fontId="3" fillId="0" borderId="78" xfId="5" applyNumberFormat="1" applyFont="1" applyFill="1" applyBorder="1" applyAlignment="1" applyProtection="1">
      <alignment horizontal="center" vertical="center" wrapText="1"/>
    </xf>
    <xf numFmtId="4" fontId="3" fillId="0" borderId="79" xfId="5" applyNumberFormat="1" applyFont="1" applyFill="1" applyBorder="1" applyAlignment="1" applyProtection="1">
      <alignment horizontal="center" vertical="center" wrapText="1"/>
    </xf>
    <xf numFmtId="4" fontId="3" fillId="0" borderId="63" xfId="5" applyNumberFormat="1" applyFont="1" applyFill="1" applyBorder="1" applyAlignment="1" applyProtection="1">
      <alignment horizontal="center" vertical="center" wrapText="1"/>
    </xf>
    <xf numFmtId="0" fontId="36" fillId="46" borderId="33" xfId="274" applyFont="1" applyFill="1" applyBorder="1" applyAlignment="1">
      <alignment horizontal="center" vertical="center" wrapText="1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54" xfId="274" applyFont="1" applyFill="1" applyBorder="1" applyAlignment="1">
      <alignment horizontal="center" vertical="center"/>
    </xf>
    <xf numFmtId="0" fontId="36" fillId="46" borderId="55" xfId="274" applyFont="1" applyFill="1" applyBorder="1" applyAlignment="1">
      <alignment horizontal="center" vertical="center"/>
    </xf>
    <xf numFmtId="0" fontId="4" fillId="0" borderId="62" xfId="274" applyFont="1" applyFill="1" applyBorder="1" applyAlignment="1">
      <alignment horizontal="left"/>
    </xf>
    <xf numFmtId="0" fontId="4" fillId="0" borderId="52" xfId="274" applyFont="1" applyFill="1" applyBorder="1" applyAlignment="1">
      <alignment horizontal="left"/>
    </xf>
    <xf numFmtId="0" fontId="4" fillId="0" borderId="49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33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/>
    </xf>
    <xf numFmtId="0" fontId="36" fillId="0" borderId="55" xfId="274" applyFont="1" applyFill="1" applyBorder="1" applyAlignment="1">
      <alignment horizontal="center" vertic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4" xfId="274" applyFont="1" applyFill="1" applyBorder="1" applyAlignment="1">
      <alignment horizontal="center"/>
    </xf>
    <xf numFmtId="0" fontId="36" fillId="46" borderId="47" xfId="274" applyFont="1" applyFill="1" applyBorder="1" applyAlignment="1">
      <alignment horizontal="center"/>
    </xf>
    <xf numFmtId="0" fontId="36" fillId="46" borderId="61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37" xfId="274" applyFont="1" applyFill="1" applyBorder="1" applyAlignment="1"/>
    <xf numFmtId="0" fontId="4" fillId="0" borderId="63" xfId="274" applyFont="1" applyFill="1" applyBorder="1" applyAlignment="1"/>
    <xf numFmtId="196" fontId="4" fillId="0" borderId="37" xfId="274" applyNumberFormat="1" applyFont="1" applyFill="1" applyBorder="1" applyAlignment="1">
      <alignment horizontal="right"/>
    </xf>
    <xf numFmtId="196" fontId="4" fillId="0" borderId="63" xfId="274" applyNumberFormat="1" applyFont="1" applyFill="1" applyBorder="1" applyAlignment="1">
      <alignment horizontal="right"/>
    </xf>
    <xf numFmtId="2" fontId="4" fillId="0" borderId="65" xfId="274" applyNumberFormat="1" applyFont="1" applyFill="1" applyBorder="1" applyAlignment="1">
      <alignment horizontal="right"/>
    </xf>
    <xf numFmtId="2" fontId="4" fillId="0" borderId="66" xfId="274" applyNumberFormat="1" applyFont="1" applyFill="1" applyBorder="1" applyAlignment="1">
      <alignment horizontal="right"/>
    </xf>
    <xf numFmtId="0" fontId="4" fillId="0" borderId="62" xfId="173" applyFont="1" applyFill="1" applyBorder="1" applyAlignment="1">
      <alignment horizontal="left"/>
    </xf>
    <xf numFmtId="0" fontId="4" fillId="0" borderId="52" xfId="274" applyFont="1" applyFill="1" applyBorder="1"/>
    <xf numFmtId="0" fontId="4" fillId="0" borderId="65" xfId="274" applyFont="1" applyFill="1" applyBorder="1" applyAlignment="1"/>
    <xf numFmtId="0" fontId="4" fillId="0" borderId="66" xfId="274" applyFont="1" applyFill="1" applyBorder="1" applyAlignment="1"/>
    <xf numFmtId="9" fontId="4" fillId="0" borderId="65" xfId="274" applyNumberFormat="1" applyFont="1" applyFill="1" applyBorder="1" applyAlignment="1">
      <alignment horizontal="center"/>
    </xf>
    <xf numFmtId="0" fontId="4" fillId="0" borderId="66" xfId="274" applyFont="1" applyFill="1" applyBorder="1" applyAlignment="1">
      <alignment horizontal="center"/>
    </xf>
    <xf numFmtId="0" fontId="36" fillId="0" borderId="9" xfId="274" applyFont="1" applyFill="1" applyBorder="1" applyAlignment="1">
      <alignment horizontal="right"/>
    </xf>
    <xf numFmtId="0" fontId="36" fillId="0" borderId="10" xfId="274" applyFont="1" applyFill="1" applyBorder="1" applyAlignment="1">
      <alignment horizontal="right"/>
    </xf>
    <xf numFmtId="0" fontId="36" fillId="0" borderId="11" xfId="274" applyFont="1" applyFill="1" applyBorder="1" applyAlignment="1">
      <alignment horizontal="right"/>
    </xf>
    <xf numFmtId="0" fontId="4" fillId="0" borderId="62" xfId="274" applyFont="1" applyFill="1" applyBorder="1" applyAlignment="1"/>
    <xf numFmtId="0" fontId="4" fillId="0" borderId="52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4" fillId="0" borderId="63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195" fontId="4" fillId="0" borderId="37" xfId="274" applyNumberFormat="1" applyFont="1" applyFill="1" applyBorder="1" applyAlignment="1">
      <alignment horizontal="right"/>
    </xf>
    <xf numFmtId="195" fontId="4" fillId="0" borderId="63" xfId="274" applyNumberFormat="1" applyFont="1" applyFill="1" applyBorder="1" applyAlignment="1">
      <alignment horizontal="right"/>
    </xf>
    <xf numFmtId="0" fontId="36" fillId="46" borderId="9" xfId="274" applyFont="1" applyFill="1" applyBorder="1" applyAlignment="1">
      <alignment horizontal="right"/>
    </xf>
    <xf numFmtId="0" fontId="36" fillId="46" borderId="10" xfId="274" applyFont="1" applyFill="1" applyBorder="1" applyAlignment="1">
      <alignment horizontal="right"/>
    </xf>
    <xf numFmtId="0" fontId="36" fillId="46" borderId="11" xfId="274" applyFont="1" applyFill="1" applyBorder="1" applyAlignment="1">
      <alignment horizontal="right"/>
    </xf>
    <xf numFmtId="0" fontId="36" fillId="46" borderId="33" xfId="274" applyFont="1" applyFill="1" applyBorder="1" applyAlignment="1">
      <alignment horizontal="center" vertical="center"/>
    </xf>
    <xf numFmtId="0" fontId="36" fillId="46" borderId="35" xfId="274" applyFont="1" applyFill="1" applyBorder="1" applyAlignment="1">
      <alignment horizontal="center" vertical="center" wrapText="1"/>
    </xf>
    <xf numFmtId="0" fontId="36" fillId="46" borderId="45" xfId="274" applyFont="1" applyFill="1" applyBorder="1" applyAlignment="1">
      <alignment horizontal="center" vertical="center" wrapText="1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>
      <alignment horizontal="center"/>
    </xf>
    <xf numFmtId="0" fontId="36" fillId="0" borderId="6" xfId="274" applyFont="1" applyFill="1" applyBorder="1" applyAlignment="1">
      <alignment horizontal="right"/>
    </xf>
    <xf numFmtId="0" fontId="36" fillId="0" borderId="7" xfId="274" applyFont="1" applyFill="1" applyBorder="1" applyAlignment="1">
      <alignment horizontal="right"/>
    </xf>
    <xf numFmtId="0" fontId="36" fillId="0" borderId="8" xfId="274" applyFont="1" applyFill="1" applyBorder="1" applyAlignment="1">
      <alignment horizontal="right"/>
    </xf>
    <xf numFmtId="0" fontId="4" fillId="0" borderId="78" xfId="274" applyFont="1" applyFill="1" applyBorder="1" applyAlignment="1">
      <alignment horizontal="center"/>
    </xf>
    <xf numFmtId="43" fontId="58" fillId="0" borderId="78" xfId="88" applyNumberFormat="1" applyFont="1" applyBorder="1" applyAlignment="1">
      <alignment horizontal="center"/>
    </xf>
    <xf numFmtId="43" fontId="58" fillId="0" borderId="63" xfId="88" applyNumberFormat="1" applyFont="1" applyBorder="1" applyAlignment="1">
      <alignment horizontal="center"/>
    </xf>
    <xf numFmtId="43" fontId="58" fillId="0" borderId="65" xfId="88" applyNumberFormat="1" applyFont="1" applyBorder="1" applyAlignment="1">
      <alignment horizontal="center"/>
    </xf>
    <xf numFmtId="43" fontId="58" fillId="0" borderId="66" xfId="88" applyNumberFormat="1" applyFont="1" applyBorder="1" applyAlignment="1">
      <alignment horizontal="center"/>
    </xf>
    <xf numFmtId="0" fontId="57" fillId="0" borderId="9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6" fillId="45" borderId="9" xfId="0" applyFont="1" applyFill="1" applyBorder="1" applyAlignment="1">
      <alignment horizontal="right"/>
    </xf>
    <xf numFmtId="0" fontId="56" fillId="45" borderId="10" xfId="0" applyFont="1" applyFill="1" applyBorder="1" applyAlignment="1">
      <alignment horizontal="right"/>
    </xf>
    <xf numFmtId="0" fontId="56" fillId="45" borderId="11" xfId="0" applyFont="1" applyFill="1" applyBorder="1" applyAlignment="1">
      <alignment horizontal="right"/>
    </xf>
    <xf numFmtId="0" fontId="57" fillId="0" borderId="1" xfId="0" applyFont="1" applyBorder="1" applyAlignment="1">
      <alignment horizontal="left" vertical="center"/>
    </xf>
    <xf numFmtId="0" fontId="57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57" fillId="0" borderId="6" xfId="0" applyFont="1" applyBorder="1" applyAlignment="1">
      <alignment horizontal="left" vertical="center"/>
    </xf>
    <xf numFmtId="0" fontId="57" fillId="0" borderId="7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45" borderId="33" xfId="0" applyFont="1" applyFill="1" applyBorder="1" applyAlignment="1">
      <alignment horizontal="center"/>
    </xf>
    <xf numFmtId="0" fontId="57" fillId="45" borderId="54" xfId="0" applyFont="1" applyFill="1" applyBorder="1" applyAlignment="1">
      <alignment horizontal="center"/>
    </xf>
    <xf numFmtId="0" fontId="57" fillId="45" borderId="35" xfId="0" applyFont="1" applyFill="1" applyBorder="1" applyAlignment="1">
      <alignment horizontal="center" wrapText="1"/>
    </xf>
    <xf numFmtId="0" fontId="57" fillId="45" borderId="34" xfId="0" applyFont="1" applyFill="1" applyBorder="1" applyAlignment="1">
      <alignment horizontal="center" wrapText="1"/>
    </xf>
    <xf numFmtId="0" fontId="58" fillId="0" borderId="62" xfId="0" applyFont="1" applyBorder="1"/>
    <xf numFmtId="0" fontId="58" fillId="0" borderId="79" xfId="0" applyFont="1" applyBorder="1"/>
    <xf numFmtId="0" fontId="36" fillId="47" borderId="9" xfId="0" applyFont="1" applyFill="1" applyBorder="1" applyAlignment="1">
      <alignment horizontal="right"/>
    </xf>
    <xf numFmtId="0" fontId="36" fillId="47" borderId="10" xfId="0" applyFont="1" applyFill="1" applyBorder="1" applyAlignment="1">
      <alignment horizontal="right"/>
    </xf>
    <xf numFmtId="0" fontId="36" fillId="47" borderId="11" xfId="0" applyFont="1" applyFill="1" applyBorder="1" applyAlignment="1">
      <alignment horizontal="right"/>
    </xf>
    <xf numFmtId="195" fontId="4" fillId="46" borderId="37" xfId="274" applyNumberFormat="1" applyFont="1" applyFill="1" applyBorder="1" applyAlignment="1">
      <alignment horizontal="right"/>
    </xf>
    <xf numFmtId="195" fontId="4" fillId="46" borderId="63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 vertical="center"/>
    </xf>
    <xf numFmtId="0" fontId="36" fillId="0" borderId="34" xfId="274" applyFont="1" applyFill="1" applyBorder="1" applyAlignment="1">
      <alignment horizontal="center" vertical="center"/>
    </xf>
    <xf numFmtId="0" fontId="4" fillId="0" borderId="79" xfId="274" applyFont="1" applyFill="1" applyBorder="1" applyAlignment="1">
      <alignment horizontal="left"/>
    </xf>
    <xf numFmtId="42" fontId="4" fillId="0" borderId="78" xfId="282" applyFont="1" applyFill="1" applyBorder="1" applyAlignment="1">
      <alignment horizontal="center"/>
    </xf>
    <xf numFmtId="42" fontId="4" fillId="0" borderId="63" xfId="282" applyFont="1" applyFill="1" applyBorder="1" applyAlignment="1">
      <alignment horizont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79" xfId="173" applyFont="1" applyFill="1" applyBorder="1" applyAlignment="1">
      <alignment horizontal="left"/>
    </xf>
    <xf numFmtId="0" fontId="4" fillId="0" borderId="63" xfId="173" applyFont="1" applyFill="1" applyBorder="1" applyAlignment="1">
      <alignment horizontal="left"/>
    </xf>
    <xf numFmtId="0" fontId="4" fillId="0" borderId="57" xfId="274" applyFont="1" applyFill="1" applyBorder="1" applyAlignment="1">
      <alignment horizontal="center"/>
    </xf>
    <xf numFmtId="0" fontId="4" fillId="0" borderId="58" xfId="274" applyFont="1" applyFill="1" applyBorder="1" applyAlignment="1">
      <alignment horizontal="center"/>
    </xf>
    <xf numFmtId="2" fontId="4" fillId="0" borderId="78" xfId="274" applyNumberFormat="1" applyFont="1" applyFill="1" applyBorder="1" applyAlignment="1">
      <alignment horizontal="center"/>
    </xf>
    <xf numFmtId="2" fontId="4" fillId="0" borderId="63" xfId="274" applyNumberFormat="1" applyFont="1" applyFill="1" applyBorder="1" applyAlignment="1">
      <alignment horizontal="center"/>
    </xf>
    <xf numFmtId="0" fontId="4" fillId="0" borderId="62" xfId="173" applyFont="1" applyFill="1" applyBorder="1" applyAlignment="1">
      <alignment horizontal="center"/>
    </xf>
    <xf numFmtId="0" fontId="4" fillId="0" borderId="79" xfId="173" applyFont="1" applyFill="1" applyBorder="1" applyAlignment="1">
      <alignment horizontal="center"/>
    </xf>
    <xf numFmtId="0" fontId="4" fillId="0" borderId="63" xfId="173" applyFont="1" applyFill="1" applyBorder="1" applyAlignment="1">
      <alignment horizontal="center"/>
    </xf>
    <xf numFmtId="9" fontId="4" fillId="0" borderId="78" xfId="279" applyFont="1" applyFill="1" applyBorder="1" applyAlignment="1">
      <alignment horizontal="center"/>
    </xf>
    <xf numFmtId="9" fontId="4" fillId="0" borderId="63" xfId="279" applyFont="1" applyFill="1" applyBorder="1" applyAlignment="1">
      <alignment horizontal="center"/>
    </xf>
    <xf numFmtId="195" fontId="4" fillId="37" borderId="37" xfId="274" applyNumberFormat="1" applyFont="1" applyFill="1" applyBorder="1" applyAlignment="1">
      <alignment horizontal="right"/>
    </xf>
    <xf numFmtId="195" fontId="4" fillId="37" borderId="63" xfId="274" applyNumberFormat="1" applyFont="1" applyFill="1" applyBorder="1" applyAlignment="1">
      <alignment horizontal="right"/>
    </xf>
    <xf numFmtId="0" fontId="36" fillId="47" borderId="9" xfId="274" applyFont="1" applyFill="1" applyBorder="1" applyAlignment="1">
      <alignment horizontal="right"/>
    </xf>
    <xf numFmtId="0" fontId="36" fillId="47" borderId="10" xfId="274" applyFont="1" applyFill="1" applyBorder="1" applyAlignment="1">
      <alignment horizontal="right"/>
    </xf>
    <xf numFmtId="0" fontId="36" fillId="47" borderId="11" xfId="274" applyFont="1" applyFill="1" applyBorder="1" applyAlignment="1">
      <alignment horizontal="right"/>
    </xf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34" xfId="274" applyFont="1" applyFill="1" applyBorder="1" applyAlignment="1">
      <alignment horizontal="center"/>
    </xf>
    <xf numFmtId="0" fontId="36" fillId="0" borderId="35" xfId="274" applyFont="1" applyFill="1" applyBorder="1" applyAlignment="1">
      <alignment horizontal="center"/>
    </xf>
    <xf numFmtId="0" fontId="36" fillId="0" borderId="57" xfId="274" applyFont="1" applyFill="1" applyBorder="1" applyAlignment="1">
      <alignment horizontal="center"/>
    </xf>
    <xf numFmtId="0" fontId="36" fillId="0" borderId="59" xfId="274" applyFont="1" applyFill="1" applyBorder="1" applyAlignment="1">
      <alignment horizontal="center"/>
    </xf>
    <xf numFmtId="42" fontId="4" fillId="0" borderId="78" xfId="282" applyFont="1" applyFill="1" applyBorder="1" applyAlignment="1">
      <alignment horizontal="right"/>
    </xf>
    <xf numFmtId="42" fontId="4" fillId="0" borderId="63" xfId="282" applyFont="1" applyFill="1" applyBorder="1" applyAlignment="1">
      <alignment horizontal="right"/>
    </xf>
    <xf numFmtId="42" fontId="4" fillId="0" borderId="37" xfId="282" applyFont="1" applyFill="1" applyBorder="1" applyAlignment="1">
      <alignment horizontal="right"/>
    </xf>
    <xf numFmtId="0" fontId="58" fillId="0" borderId="57" xfId="0" applyFont="1" applyBorder="1"/>
    <xf numFmtId="0" fontId="58" fillId="0" borderId="58" xfId="0" applyFont="1" applyBorder="1"/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0" fontId="58" fillId="0" borderId="62" xfId="0" applyFont="1" applyBorder="1" applyAlignment="1">
      <alignment horizontal="left"/>
    </xf>
    <xf numFmtId="0" fontId="58" fillId="0" borderId="79" xfId="0" applyFont="1" applyBorder="1" applyAlignment="1">
      <alignment horizontal="left"/>
    </xf>
    <xf numFmtId="0" fontId="58" fillId="0" borderId="63" xfId="0" applyFont="1" applyBorder="1" applyAlignment="1">
      <alignment horizontal="left"/>
    </xf>
    <xf numFmtId="2" fontId="58" fillId="0" borderId="78" xfId="0" applyNumberFormat="1" applyFont="1" applyBorder="1" applyAlignment="1">
      <alignment horizontal="center" wrapText="1"/>
    </xf>
    <xf numFmtId="2" fontId="58" fillId="0" borderId="63" xfId="0" applyNumberFormat="1" applyFont="1" applyBorder="1" applyAlignment="1">
      <alignment horizontal="center" wrapText="1"/>
    </xf>
    <xf numFmtId="2" fontId="58" fillId="0" borderId="78" xfId="0" applyNumberFormat="1" applyFont="1" applyBorder="1" applyAlignment="1">
      <alignment horizontal="center"/>
    </xf>
    <xf numFmtId="2" fontId="58" fillId="0" borderId="63" xfId="0" applyNumberFormat="1" applyFont="1" applyBorder="1" applyAlignment="1">
      <alignment horizontal="center"/>
    </xf>
    <xf numFmtId="0" fontId="58" fillId="0" borderId="63" xfId="0" applyFont="1" applyBorder="1"/>
    <xf numFmtId="172" fontId="58" fillId="0" borderId="78" xfId="88" applyFont="1" applyBorder="1" applyAlignment="1">
      <alignment horizontal="center"/>
    </xf>
    <xf numFmtId="172" fontId="58" fillId="0" borderId="63" xfId="88" applyFont="1" applyBorder="1" applyAlignment="1">
      <alignment horizontal="center"/>
    </xf>
    <xf numFmtId="0" fontId="57" fillId="45" borderId="35" xfId="0" applyFont="1" applyFill="1" applyBorder="1" applyAlignment="1">
      <alignment horizontal="center"/>
    </xf>
    <xf numFmtId="0" fontId="57" fillId="45" borderId="34" xfId="0" applyFont="1" applyFill="1" applyBorder="1" applyAlignment="1">
      <alignment horizontal="center"/>
    </xf>
    <xf numFmtId="0" fontId="58" fillId="0" borderId="66" xfId="0" applyFont="1" applyBorder="1"/>
    <xf numFmtId="0" fontId="58" fillId="0" borderId="78" xfId="0" applyFont="1" applyBorder="1"/>
    <xf numFmtId="0" fontId="58" fillId="0" borderId="78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8" fillId="0" borderId="65" xfId="0" applyFont="1" applyBorder="1"/>
    <xf numFmtId="2" fontId="58" fillId="0" borderId="65" xfId="0" applyNumberFormat="1" applyFont="1" applyBorder="1" applyAlignment="1">
      <alignment horizontal="center"/>
    </xf>
    <xf numFmtId="2" fontId="58" fillId="0" borderId="66" xfId="0" applyNumberFormat="1" applyFont="1" applyBorder="1" applyAlignment="1">
      <alignment horizontal="center"/>
    </xf>
    <xf numFmtId="0" fontId="58" fillId="0" borderId="57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7" fillId="0" borderId="1" xfId="0" applyFont="1" applyBorder="1" applyAlignment="1" applyProtection="1">
      <alignment horizontal="center"/>
      <protection locked="0"/>
    </xf>
    <xf numFmtId="0" fontId="57" fillId="0" borderId="2" xfId="0" applyFont="1" applyBorder="1" applyAlignment="1" applyProtection="1">
      <alignment horizontal="center"/>
      <protection locked="0"/>
    </xf>
    <xf numFmtId="0" fontId="57" fillId="0" borderId="3" xfId="0" applyFont="1" applyBorder="1" applyAlignment="1" applyProtection="1">
      <alignment horizontal="center"/>
      <protection locked="0"/>
    </xf>
    <xf numFmtId="0" fontId="57" fillId="45" borderId="33" xfId="0" applyFont="1" applyFill="1" applyBorder="1" applyAlignment="1">
      <alignment horizontal="center" vertical="center" wrapText="1"/>
    </xf>
    <xf numFmtId="0" fontId="57" fillId="45" borderId="54" xfId="0" applyFont="1" applyFill="1" applyBorder="1" applyAlignment="1">
      <alignment horizontal="center" vertical="center" wrapText="1"/>
    </xf>
    <xf numFmtId="0" fontId="57" fillId="45" borderId="55" xfId="0" applyFont="1" applyFill="1" applyBorder="1" applyAlignment="1">
      <alignment horizontal="center" vertical="center" wrapText="1"/>
    </xf>
    <xf numFmtId="0" fontId="57" fillId="45" borderId="33" xfId="0" applyFont="1" applyFill="1" applyBorder="1" applyAlignment="1">
      <alignment horizontal="center" vertical="center"/>
    </xf>
    <xf numFmtId="0" fontId="57" fillId="45" borderId="55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0" fontId="55" fillId="0" borderId="51" xfId="289" applyFont="1" applyBorder="1" applyAlignment="1">
      <alignment horizontal="center" vertical="center"/>
    </xf>
    <xf numFmtId="0" fontId="55" fillId="0" borderId="88" xfId="289" applyFont="1" applyBorder="1" applyAlignment="1">
      <alignment horizontal="center" vertical="center"/>
    </xf>
    <xf numFmtId="0" fontId="56" fillId="0" borderId="4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46" xfId="0" applyFont="1" applyBorder="1" applyAlignment="1">
      <alignment horizontal="center"/>
    </xf>
    <xf numFmtId="0" fontId="36" fillId="0" borderId="4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52" fillId="0" borderId="84" xfId="82" applyFont="1" applyBorder="1" applyAlignment="1" applyProtection="1">
      <alignment horizontal="center"/>
    </xf>
    <xf numFmtId="0" fontId="52" fillId="0" borderId="86" xfId="82" applyFont="1" applyBorder="1" applyAlignment="1" applyProtection="1">
      <alignment horizontal="center"/>
    </xf>
    <xf numFmtId="0" fontId="53" fillId="0" borderId="85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5" fillId="0" borderId="85" xfId="289" applyFont="1" applyBorder="1" applyAlignment="1">
      <alignment horizontal="center" vertical="center"/>
    </xf>
    <xf numFmtId="0" fontId="55" fillId="0" borderId="2" xfId="289" applyFont="1" applyBorder="1" applyAlignment="1">
      <alignment horizontal="center" vertical="center"/>
    </xf>
    <xf numFmtId="0" fontId="55" fillId="0" borderId="3" xfId="289" applyFont="1" applyBorder="1" applyAlignment="1">
      <alignment horizontal="center" vertical="center"/>
    </xf>
    <xf numFmtId="0" fontId="55" fillId="0" borderId="47" xfId="289" applyFont="1" applyBorder="1" applyAlignment="1">
      <alignment horizontal="center" vertical="center"/>
    </xf>
    <xf numFmtId="0" fontId="55" fillId="0" borderId="48" xfId="289" applyFont="1" applyBorder="1" applyAlignment="1">
      <alignment horizontal="center" vertical="center"/>
    </xf>
    <xf numFmtId="0" fontId="55" fillId="0" borderId="83" xfId="289" applyFont="1" applyBorder="1" applyAlignment="1">
      <alignment horizontal="center" vertical="center"/>
    </xf>
    <xf numFmtId="0" fontId="55" fillId="0" borderId="38" xfId="289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9" xfId="289" applyFont="1" applyBorder="1" applyAlignment="1">
      <alignment horizontal="center" vertical="center"/>
    </xf>
    <xf numFmtId="0" fontId="55" fillId="0" borderId="49" xfId="289" applyFont="1" applyBorder="1" applyAlignment="1">
      <alignment horizontal="center" vertical="center"/>
    </xf>
    <xf numFmtId="0" fontId="55" fillId="0" borderId="50" xfId="289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46" xfId="0" applyFont="1" applyBorder="1" applyAlignment="1">
      <alignment horizontal="center"/>
    </xf>
    <xf numFmtId="0" fontId="55" fillId="0" borderId="87" xfId="289" applyFont="1" applyBorder="1" applyAlignment="1">
      <alignment horizontal="center" vertical="center"/>
    </xf>
    <xf numFmtId="0" fontId="58" fillId="45" borderId="54" xfId="0" applyFont="1" applyFill="1" applyBorder="1" applyAlignment="1">
      <alignment horizontal="center"/>
    </xf>
    <xf numFmtId="0" fontId="58" fillId="45" borderId="34" xfId="0" applyFont="1" applyFill="1" applyBorder="1" applyAlignment="1">
      <alignment horizontal="center"/>
    </xf>
    <xf numFmtId="0" fontId="57" fillId="45" borderId="47" xfId="0" applyFont="1" applyFill="1" applyBorder="1" applyAlignment="1">
      <alignment horizontal="center"/>
    </xf>
    <xf numFmtId="0" fontId="57" fillId="45" borderId="61" xfId="0" applyFont="1" applyFill="1" applyBorder="1" applyAlignment="1">
      <alignment horizontal="center"/>
    </xf>
    <xf numFmtId="9" fontId="58" fillId="0" borderId="78" xfId="0" applyNumberFormat="1" applyFont="1" applyBorder="1" applyAlignment="1">
      <alignment horizontal="center"/>
    </xf>
    <xf numFmtId="0" fontId="36" fillId="0" borderId="33" xfId="274" applyFont="1" applyFill="1" applyBorder="1" applyAlignment="1">
      <alignment horizontal="right"/>
    </xf>
    <xf numFmtId="0" fontId="36" fillId="0" borderId="54" xfId="274" applyFont="1" applyFill="1" applyBorder="1" applyAlignment="1">
      <alignment horizontal="right"/>
    </xf>
    <xf numFmtId="0" fontId="36" fillId="0" borderId="55" xfId="274" applyFont="1" applyFill="1" applyBorder="1" applyAlignment="1">
      <alignment horizontal="right"/>
    </xf>
    <xf numFmtId="0" fontId="36" fillId="47" borderId="33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/>
    </xf>
    <xf numFmtId="0" fontId="36" fillId="47" borderId="55" xfId="0" applyFont="1" applyFill="1" applyBorder="1" applyAlignment="1">
      <alignment horizontal="center" vertical="center"/>
    </xf>
    <xf numFmtId="206" fontId="4" fillId="0" borderId="78" xfId="282" applyNumberFormat="1" applyFont="1" applyFill="1" applyBorder="1" applyAlignment="1">
      <alignment horizontal="center"/>
    </xf>
    <xf numFmtId="206" fontId="4" fillId="0" borderId="63" xfId="282" applyNumberFormat="1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/>
    </xf>
    <xf numFmtId="0" fontId="36" fillId="38" borderId="55" xfId="0" applyFont="1" applyFill="1" applyBorder="1" applyAlignment="1">
      <alignment horizontal="center" vertical="center"/>
    </xf>
    <xf numFmtId="196" fontId="58" fillId="0" borderId="78" xfId="0" applyNumberFormat="1" applyFont="1" applyBorder="1" applyAlignment="1">
      <alignment horizontal="center" wrapText="1"/>
    </xf>
    <xf numFmtId="196" fontId="58" fillId="0" borderId="63" xfId="0" applyNumberFormat="1" applyFont="1" applyBorder="1" applyAlignment="1">
      <alignment horizontal="center" wrapText="1"/>
    </xf>
    <xf numFmtId="0" fontId="36" fillId="0" borderId="78" xfId="274" applyFont="1" applyFill="1" applyBorder="1" applyAlignment="1">
      <alignment horizontal="center"/>
    </xf>
    <xf numFmtId="0" fontId="36" fillId="0" borderId="63" xfId="274" applyFont="1" applyFill="1" applyBorder="1" applyAlignment="1">
      <alignment horizontal="center"/>
    </xf>
    <xf numFmtId="0" fontId="36" fillId="37" borderId="9" xfId="274" applyFont="1" applyFill="1" applyBorder="1" applyAlignment="1">
      <alignment horizontal="right"/>
    </xf>
    <xf numFmtId="0" fontId="36" fillId="37" borderId="10" xfId="274" applyFont="1" applyFill="1" applyBorder="1" applyAlignment="1">
      <alignment horizontal="right"/>
    </xf>
    <xf numFmtId="0" fontId="36" fillId="37" borderId="11" xfId="274" applyFont="1" applyFill="1" applyBorder="1" applyAlignment="1">
      <alignment horizontal="right"/>
    </xf>
    <xf numFmtId="0" fontId="36" fillId="37" borderId="9" xfId="283" applyFont="1" applyFill="1" applyBorder="1" applyAlignment="1">
      <alignment horizontal="right"/>
    </xf>
    <xf numFmtId="0" fontId="36" fillId="37" borderId="10" xfId="283" applyFont="1" applyFill="1" applyBorder="1" applyAlignment="1">
      <alignment horizontal="right"/>
    </xf>
    <xf numFmtId="0" fontId="36" fillId="37" borderId="11" xfId="283" applyFont="1" applyFill="1" applyBorder="1" applyAlignment="1">
      <alignment horizontal="right"/>
    </xf>
    <xf numFmtId="196" fontId="58" fillId="0" borderId="65" xfId="0" applyNumberFormat="1" applyFont="1" applyBorder="1" applyAlignment="1">
      <alignment horizontal="center"/>
    </xf>
    <xf numFmtId="196" fontId="58" fillId="0" borderId="66" xfId="0" applyNumberFormat="1" applyFont="1" applyBorder="1" applyAlignment="1">
      <alignment horizontal="center"/>
    </xf>
  </cellXfs>
  <cellStyles count="290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6 2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Buena 2" xfId="33"/>
    <cellStyle name="Cálculo 2" xfId="34"/>
    <cellStyle name="Celda de comprobación 2" xfId="35"/>
    <cellStyle name="Celda vinculada 2" xfId="36"/>
    <cellStyle name="Comma" xfId="37"/>
    <cellStyle name="Currency" xfId="38"/>
    <cellStyle name="Date" xfId="39"/>
    <cellStyle name="Encabezado 4 2" xfId="40"/>
    <cellStyle name="Énfasis 1" xfId="41"/>
    <cellStyle name="Énfasis 2" xfId="42"/>
    <cellStyle name="Énfasis 3" xfId="43"/>
    <cellStyle name="Énfasis1 - 20%" xfId="44"/>
    <cellStyle name="Énfasis1 - 40%" xfId="45"/>
    <cellStyle name="Énfasis1 - 60%" xfId="46"/>
    <cellStyle name="Énfasis1 2" xfId="47"/>
    <cellStyle name="Énfasis2 - 20%" xfId="48"/>
    <cellStyle name="Énfasis2 - 40%" xfId="49"/>
    <cellStyle name="Énfasis2 - 60%" xfId="50"/>
    <cellStyle name="Énfasis2 2" xfId="51"/>
    <cellStyle name="Énfasis3 - 20%" xfId="52"/>
    <cellStyle name="Énfasis3 - 40%" xfId="53"/>
    <cellStyle name="Énfasis3 - 60%" xfId="54"/>
    <cellStyle name="Énfasis3 2" xfId="55"/>
    <cellStyle name="Énfasis4 - 20%" xfId="56"/>
    <cellStyle name="Énfasis4 - 40%" xfId="57"/>
    <cellStyle name="Énfasis4 - 60%" xfId="58"/>
    <cellStyle name="Énfasis4 2" xfId="59"/>
    <cellStyle name="Énfasis5 - 20%" xfId="60"/>
    <cellStyle name="Énfasis5 - 40%" xfId="61"/>
    <cellStyle name="Énfasis5 - 60%" xfId="62"/>
    <cellStyle name="Énfasis5 2" xfId="63"/>
    <cellStyle name="Énfasis6 - 20%" xfId="64"/>
    <cellStyle name="Énfasis6 - 40%" xfId="65"/>
    <cellStyle name="Énfasis6 - 60%" xfId="66"/>
    <cellStyle name="Énfasis6 2" xfId="67"/>
    <cellStyle name="Entrada 2" xfId="68"/>
    <cellStyle name="Estilo 1" xfId="69"/>
    <cellStyle name="Euro" xfId="70"/>
    <cellStyle name="Euro 2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xed" xfId="79"/>
    <cellStyle name="Heading1" xfId="80"/>
    <cellStyle name="Heading2" xfId="81"/>
    <cellStyle name="Hipervínculo 2" xfId="82"/>
    <cellStyle name="Hipervínculo 3" xfId="83"/>
    <cellStyle name="Incorrecto 2" xfId="84"/>
    <cellStyle name="Millares [0]" xfId="281" builtinId="6"/>
    <cellStyle name="Millares [0] 2" xfId="85"/>
    <cellStyle name="Millares [0] 2 2" xfId="86"/>
    <cellStyle name="Millares [0] 3" xfId="272"/>
    <cellStyle name="Millares [2]" xfId="87"/>
    <cellStyle name="Millares 10" xfId="88"/>
    <cellStyle name="Millares 10 2" xfId="89"/>
    <cellStyle name="Millares 10 2 2" xfId="90"/>
    <cellStyle name="Millares 11" xfId="91"/>
    <cellStyle name="Millares 12" xfId="92"/>
    <cellStyle name="Millares 13" xfId="93"/>
    <cellStyle name="Millares 13 2" xfId="94"/>
    <cellStyle name="Millares 14" xfId="95"/>
    <cellStyle name="Millares 15" xfId="96"/>
    <cellStyle name="Millares 16" xfId="97"/>
    <cellStyle name="Millares 17" xfId="98"/>
    <cellStyle name="Millares 17 2" xfId="99"/>
    <cellStyle name="Millares 18" xfId="100"/>
    <cellStyle name="Millares 19" xfId="277"/>
    <cellStyle name="Millares 2" xfId="5"/>
    <cellStyle name="Millares 2 10" xfId="101"/>
    <cellStyle name="Millares 2 11" xfId="102"/>
    <cellStyle name="Millares 2 11 2" xfId="103"/>
    <cellStyle name="Millares 2 12" xfId="286"/>
    <cellStyle name="Millares 2 2" xfId="104"/>
    <cellStyle name="Millares 2 2 3" xfId="105"/>
    <cellStyle name="Millares 2 3" xfId="106"/>
    <cellStyle name="Millares 2 4" xfId="7"/>
    <cellStyle name="Millares 2 5" xfId="107"/>
    <cellStyle name="Millares 2 5 2" xfId="108"/>
    <cellStyle name="Millares 2 6" xfId="109"/>
    <cellStyle name="Millares 2 7" xfId="110"/>
    <cellStyle name="Millares 2 7 2" xfId="111"/>
    <cellStyle name="Millares 2 8" xfId="112"/>
    <cellStyle name="Millares 2 9" xfId="113"/>
    <cellStyle name="Millares 2_A. Priorizacion La Cruz incluye adicional" xfId="114"/>
    <cellStyle name="Millares 3" xfId="13"/>
    <cellStyle name="Millares 3 2" xfId="115"/>
    <cellStyle name="Millares 3 3" xfId="116"/>
    <cellStyle name="Millares 3 4" xfId="117"/>
    <cellStyle name="Millares 3 5" xfId="118"/>
    <cellStyle name="Millares 4" xfId="119"/>
    <cellStyle name="Millares 4 2" xfId="120"/>
    <cellStyle name="Millares 4 3" xfId="121"/>
    <cellStyle name="Millares 4 3 2" xfId="122"/>
    <cellStyle name="Millares 47" xfId="287"/>
    <cellStyle name="Millares 5" xfId="123"/>
    <cellStyle name="Millares 5 2" xfId="124"/>
    <cellStyle name="Millares 6" xfId="125"/>
    <cellStyle name="Millares 6 2" xfId="126"/>
    <cellStyle name="Millares 7" xfId="127"/>
    <cellStyle name="Millares 7 2" xfId="128"/>
    <cellStyle name="Millares 7 2 2" xfId="129"/>
    <cellStyle name="Millares 8" xfId="130"/>
    <cellStyle name="Millares 8 2" xfId="131"/>
    <cellStyle name="Millares 9" xfId="132"/>
    <cellStyle name="Millares 9 2" xfId="133"/>
    <cellStyle name="Millares_FORMULARIO 4 - M-OFERENTE PPTA ECONOMICA" xfId="288"/>
    <cellStyle name="Moneda" xfId="280" builtinId="4"/>
    <cellStyle name="Moneda [0]" xfId="282" builtinId="7"/>
    <cellStyle name="Moneda [0] 2" xfId="14"/>
    <cellStyle name="Moneda [0] 2 2" xfId="273"/>
    <cellStyle name="Moneda 10" xfId="134"/>
    <cellStyle name="Moneda 10 2" xfId="135"/>
    <cellStyle name="Moneda 11" xfId="136"/>
    <cellStyle name="Moneda 12" xfId="137"/>
    <cellStyle name="Moneda 13" xfId="276"/>
    <cellStyle name="Moneda 2" xfId="6"/>
    <cellStyle name="Moneda 2 2" xfId="138"/>
    <cellStyle name="Moneda 2 2 2" xfId="139"/>
    <cellStyle name="Moneda 2 2 2 2" xfId="140"/>
    <cellStyle name="Moneda 2 2 2 2 2" xfId="141"/>
    <cellStyle name="Moneda 2 2 3" xfId="142"/>
    <cellStyle name="Moneda 2 2 4" xfId="143"/>
    <cellStyle name="Moneda 2 2 5" xfId="144"/>
    <cellStyle name="Moneda 2 2_ACTA" xfId="145"/>
    <cellStyle name="Moneda 2 3" xfId="146"/>
    <cellStyle name="Moneda 2 4" xfId="147"/>
    <cellStyle name="Moneda 2 5" xfId="148"/>
    <cellStyle name="Moneda 2 6" xfId="285"/>
    <cellStyle name="Moneda 2_ACTA" xfId="149"/>
    <cellStyle name="Moneda 3" xfId="11"/>
    <cellStyle name="Moneda 3 2" xfId="150"/>
    <cellStyle name="Moneda 3_PO BARBOSA PTO BERRIO 2" xfId="151"/>
    <cellStyle name="Moneda 30" xfId="152"/>
    <cellStyle name="Moneda 4" xfId="153"/>
    <cellStyle name="Moneda 4 2" xfId="154"/>
    <cellStyle name="Moneda 5" xfId="155"/>
    <cellStyle name="Moneda 6" xfId="156"/>
    <cellStyle name="Moneda 6 2" xfId="157"/>
    <cellStyle name="Moneda 7" xfId="158"/>
    <cellStyle name="Moneda 8" xfId="159"/>
    <cellStyle name="Moneda 9" xfId="160"/>
    <cellStyle name="Neutral 2" xfId="161"/>
    <cellStyle name="Normal" xfId="0" builtinId="0"/>
    <cellStyle name="Normal 10" xfId="162"/>
    <cellStyle name="Normal 10 2" xfId="163"/>
    <cellStyle name="Normal 11" xfId="164"/>
    <cellStyle name="Normal 11 2" xfId="165"/>
    <cellStyle name="Normal 11 4" xfId="166"/>
    <cellStyle name="Normal 12" xfId="12"/>
    <cellStyle name="Normal 12 2" xfId="167"/>
    <cellStyle name="Normal 12 2 2" xfId="168"/>
    <cellStyle name="Normal 12 3" xfId="169"/>
    <cellStyle name="Normal 12 3 2" xfId="170"/>
    <cellStyle name="Normal 12 4" xfId="171"/>
    <cellStyle name="Normal 13" xfId="172"/>
    <cellStyle name="Normal 14" xfId="173"/>
    <cellStyle name="Normal 14 2" xfId="174"/>
    <cellStyle name="Normal 15" xfId="175"/>
    <cellStyle name="Normal 15 2" xfId="176"/>
    <cellStyle name="Normal 16" xfId="177"/>
    <cellStyle name="Normal 17" xfId="178"/>
    <cellStyle name="Normal 18" xfId="274"/>
    <cellStyle name="Normal 2" xfId="2"/>
    <cellStyle name="Normal 2 10" xfId="179"/>
    <cellStyle name="Normal 2 10 2" xfId="180"/>
    <cellStyle name="Normal 2 10 2 2" xfId="4"/>
    <cellStyle name="Normal 2 10 3" xfId="3"/>
    <cellStyle name="Normal 2 11" xfId="181"/>
    <cellStyle name="Normal 2 12" xfId="182"/>
    <cellStyle name="Normal 2 13" xfId="183"/>
    <cellStyle name="Normal 2 13 2" xfId="184"/>
    <cellStyle name="Normal 2 13 3" xfId="185"/>
    <cellStyle name="Normal 2 14" xfId="186"/>
    <cellStyle name="Normal 2 14 2" xfId="187"/>
    <cellStyle name="Normal 2 15" xfId="283"/>
    <cellStyle name="Normal 2 2" xfId="188"/>
    <cellStyle name="Normal 2 2 2" xfId="189"/>
    <cellStyle name="Normal 2 2 2 2" xfId="190"/>
    <cellStyle name="Normal 2 3" xfId="191"/>
    <cellStyle name="Normal 2 31" xfId="192"/>
    <cellStyle name="Normal 2 4" xfId="193"/>
    <cellStyle name="Normal 2 5" xfId="194"/>
    <cellStyle name="Normal 2 6" xfId="195"/>
    <cellStyle name="Normal 2 7" xfId="196"/>
    <cellStyle name="Normal 2 8" xfId="197"/>
    <cellStyle name="Normal 2 9" xfId="198"/>
    <cellStyle name="Normal 2_ACTA" xfId="199"/>
    <cellStyle name="Normal 23" xfId="200"/>
    <cellStyle name="Normal 23 2" xfId="201"/>
    <cellStyle name="Normal 29" xfId="202"/>
    <cellStyle name="Normal 3" xfId="203"/>
    <cellStyle name="Normal 3 11" xfId="204"/>
    <cellStyle name="Normal 3 11 2" xfId="205"/>
    <cellStyle name="Normal 3 11 2 2" xfId="1"/>
    <cellStyle name="Normal 3 2" xfId="8"/>
    <cellStyle name="Normal 3 2 2" xfId="10"/>
    <cellStyle name="Normal 3 2 3" xfId="206"/>
    <cellStyle name="Normal 3 3" xfId="207"/>
    <cellStyle name="Normal 3 4" xfId="208"/>
    <cellStyle name="Normal 3 5" xfId="209"/>
    <cellStyle name="Normal 3 5 2" xfId="210"/>
    <cellStyle name="Normal 3 6" xfId="211"/>
    <cellStyle name="Normal 3_ACTA" xfId="212"/>
    <cellStyle name="Normal 36 2 3 2" xfId="213"/>
    <cellStyle name="Normal 4" xfId="214"/>
    <cellStyle name="Normal 4 2" xfId="215"/>
    <cellStyle name="Normal 4 2 2" xfId="216"/>
    <cellStyle name="Normal 5" xfId="217"/>
    <cellStyle name="Normal 5 2" xfId="218"/>
    <cellStyle name="Normal 5 6" xfId="219"/>
    <cellStyle name="Normal 6" xfId="220"/>
    <cellStyle name="Normal 6 2" xfId="221"/>
    <cellStyle name="Normal 7" xfId="222"/>
    <cellStyle name="Normal 7 2" xfId="223"/>
    <cellStyle name="Normal 8" xfId="224"/>
    <cellStyle name="Normal 9" xfId="225"/>
    <cellStyle name="Normal 9 2" xfId="226"/>
    <cellStyle name="Normal_modelo ACTA OBRA y MODIFICACION" xfId="289"/>
    <cellStyle name="Normal_PTO OFICIAL PREPLIEGO (CORREGIDO) 2" xfId="9"/>
    <cellStyle name="Notas 2" xfId="227"/>
    <cellStyle name="Percent" xfId="228"/>
    <cellStyle name="Porcentaje" xfId="279" builtinId="5"/>
    <cellStyle name="Porcentaje 2" xfId="229"/>
    <cellStyle name="Porcentaje 2 2" xfId="230"/>
    <cellStyle name="Porcentaje 2 2 2" xfId="231"/>
    <cellStyle name="Porcentaje 2 3" xfId="284"/>
    <cellStyle name="Porcentaje 3" xfId="232"/>
    <cellStyle name="Porcentaje 4" xfId="233"/>
    <cellStyle name="Porcentaje 4 4" xfId="234"/>
    <cellStyle name="Porcentaje 5" xfId="235"/>
    <cellStyle name="Porcentaje 5 2" xfId="236"/>
    <cellStyle name="Porcentaje 6" xfId="278"/>
    <cellStyle name="Porcentual 2" xfId="237"/>
    <cellStyle name="Porcentual 2 10" xfId="238"/>
    <cellStyle name="Porcentual 2 10 2" xfId="239"/>
    <cellStyle name="Porcentual 2 11" xfId="240"/>
    <cellStyle name="Porcentual 2 12" xfId="241"/>
    <cellStyle name="Porcentual 2 13" xfId="242"/>
    <cellStyle name="Porcentual 2 14" xfId="243"/>
    <cellStyle name="Porcentual 2 2" xfId="244"/>
    <cellStyle name="Porcentual 2 2 2" xfId="245"/>
    <cellStyle name="Porcentual 2 3" xfId="246"/>
    <cellStyle name="Porcentual 2 4" xfId="247"/>
    <cellStyle name="Porcentual 2 5" xfId="248"/>
    <cellStyle name="Porcentual 2 6" xfId="249"/>
    <cellStyle name="Porcentual 2 7" xfId="250"/>
    <cellStyle name="Porcentual 2 8" xfId="251"/>
    <cellStyle name="Porcentual 2 9" xfId="252"/>
    <cellStyle name="Porcentual 3" xfId="253"/>
    <cellStyle name="Porcentual 3 2" xfId="254"/>
    <cellStyle name="Porcentual 3 3" xfId="255"/>
    <cellStyle name="Porcentual 4" xfId="256"/>
    <cellStyle name="Porcentual 4 2" xfId="257"/>
    <cellStyle name="Porcentual 5" xfId="258"/>
    <cellStyle name="Porcentual 6" xfId="259"/>
    <cellStyle name="Porcentual 6 2" xfId="260"/>
    <cellStyle name="Porcentual 7" xfId="261"/>
    <cellStyle name="Porcentual 8" xfId="262"/>
    <cellStyle name="Porcentual 9" xfId="275"/>
    <cellStyle name="Salida 2" xfId="263"/>
    <cellStyle name="Texto de advertencia 2" xfId="264"/>
    <cellStyle name="Texto explicativo 2" xfId="265"/>
    <cellStyle name="Título 1 2" xfId="266"/>
    <cellStyle name="Título 2 2" xfId="267"/>
    <cellStyle name="Título 3 2" xfId="268"/>
    <cellStyle name="Título 4" xfId="269"/>
    <cellStyle name="Título de hoja" xfId="270"/>
    <cellStyle name="Total 2" xfId="27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externalLink" Target="externalLinks/externalLink30.xml"/><Relationship Id="rId89" Type="http://schemas.openxmlformats.org/officeDocument/2006/relationships/externalLink" Target="externalLinks/externalLink35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102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6.xml"/><Relationship Id="rId95" Type="http://schemas.openxmlformats.org/officeDocument/2006/relationships/externalLink" Target="externalLinks/externalLink4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80" Type="http://schemas.openxmlformats.org/officeDocument/2006/relationships/externalLink" Target="externalLinks/externalLink26.xml"/><Relationship Id="rId85" Type="http://schemas.openxmlformats.org/officeDocument/2006/relationships/externalLink" Target="externalLinks/externalLink3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externalLink" Target="externalLinks/externalLink5.xml"/><Relationship Id="rId103" Type="http://schemas.openxmlformats.org/officeDocument/2006/relationships/externalLink" Target="externalLinks/externalLink49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91" Type="http://schemas.openxmlformats.org/officeDocument/2006/relationships/externalLink" Target="externalLinks/externalLink37.xml"/><Relationship Id="rId96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6" Type="http://schemas.openxmlformats.org/officeDocument/2006/relationships/externalLink" Target="externalLinks/externalLink5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externalLink" Target="externalLinks/externalLink32.xml"/><Relationship Id="rId94" Type="http://schemas.openxmlformats.org/officeDocument/2006/relationships/externalLink" Target="externalLinks/externalLink40.xml"/><Relationship Id="rId99" Type="http://schemas.openxmlformats.org/officeDocument/2006/relationships/externalLink" Target="externalLinks/externalLink45.xml"/><Relationship Id="rId101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97" Type="http://schemas.openxmlformats.org/officeDocument/2006/relationships/externalLink" Target="externalLinks/externalLink43.xml"/><Relationship Id="rId104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92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2.xml"/><Relationship Id="rId87" Type="http://schemas.openxmlformats.org/officeDocument/2006/relationships/externalLink" Target="externalLinks/externalLink33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2.xml"/><Relationship Id="rId77" Type="http://schemas.openxmlformats.org/officeDocument/2006/relationships/externalLink" Target="externalLinks/externalLink23.xml"/><Relationship Id="rId100" Type="http://schemas.openxmlformats.org/officeDocument/2006/relationships/externalLink" Target="externalLinks/externalLink46.xml"/><Relationship Id="rId105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93" Type="http://schemas.openxmlformats.org/officeDocument/2006/relationships/externalLink" Target="externalLinks/externalLink39.xml"/><Relationship Id="rId98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externalLink" Target="externalLinks/externalLink8.xml"/><Relationship Id="rId83" Type="http://schemas.openxmlformats.org/officeDocument/2006/relationships/externalLink" Target="externalLinks/externalLink29.xml"/><Relationship Id="rId88" Type="http://schemas.openxmlformats.org/officeDocument/2006/relationships/externalLink" Target="externalLinks/externalLink34.xml"/><Relationship Id="rId11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47625</xdr:rowOff>
    </xdr:from>
    <xdr:to>
      <xdr:col>2</xdr:col>
      <xdr:colOff>57150</xdr:colOff>
      <xdr:row>4</xdr:row>
      <xdr:rowOff>127956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466725"/>
          <a:ext cx="438150" cy="480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58208</xdr:rowOff>
    </xdr:from>
    <xdr:to>
      <xdr:col>3</xdr:col>
      <xdr:colOff>110451</xdr:colOff>
      <xdr:row>4</xdr:row>
      <xdr:rowOff>181712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458258"/>
          <a:ext cx="643850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85725</xdr:rowOff>
    </xdr:from>
    <xdr:to>
      <xdr:col>1</xdr:col>
      <xdr:colOff>682424</xdr:colOff>
      <xdr:row>5</xdr:row>
      <xdr:rowOff>159697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76250"/>
          <a:ext cx="615749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152400</xdr:rowOff>
    </xdr:from>
    <xdr:to>
      <xdr:col>1</xdr:col>
      <xdr:colOff>691949</xdr:colOff>
      <xdr:row>6</xdr:row>
      <xdr:rowOff>54922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42925"/>
          <a:ext cx="615749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114300</xdr:rowOff>
    </xdr:from>
    <xdr:to>
      <xdr:col>1</xdr:col>
      <xdr:colOff>682424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133350</xdr:rowOff>
    </xdr:from>
    <xdr:to>
      <xdr:col>1</xdr:col>
      <xdr:colOff>701474</xdr:colOff>
      <xdr:row>6</xdr:row>
      <xdr:rowOff>35872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523875"/>
          <a:ext cx="615749" cy="6645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95250</xdr:rowOff>
    </xdr:from>
    <xdr:to>
      <xdr:col>1</xdr:col>
      <xdr:colOff>701474</xdr:colOff>
      <xdr:row>5</xdr:row>
      <xdr:rowOff>188272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85775"/>
          <a:ext cx="615749" cy="664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114300</xdr:rowOff>
    </xdr:from>
    <xdr:to>
      <xdr:col>1</xdr:col>
      <xdr:colOff>710999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133350</xdr:rowOff>
    </xdr:from>
    <xdr:to>
      <xdr:col>1</xdr:col>
      <xdr:colOff>691949</xdr:colOff>
      <xdr:row>6</xdr:row>
      <xdr:rowOff>35872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23875"/>
          <a:ext cx="61574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%20JAIRO\AppData\Local\Microsoft\Windows\Temporary%20Internet%20Files\Content.Outlook\PCLLLW6P\AJUSTES%20OCTUBRE%20%20DE%202012%20ACTA%20%2038_3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a%20%20aaInformaci&#243;n%20GRUPO%204\A%20MInformes%20Mensuales\Informe%20de%20estado%20vial%20ene\aCCIDENTES%20DE%201995%20-%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CANTIDADES%20DE%20OBRA%20No.%2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07\ACTA%20DE%20PAGO%20No%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contrato%20invias%20057\1.%20CONTRATISTA%20DE%20OBRA\12.PRECIOS%20UNITARIOS\PRECIOS%20UNITARIOS%20VERSION%201%20DE%20JUNIO%20DE%202010\PRECIOS%20UNITARIOS%20NO%20PREVISTOS-JULI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SJM%20-%20TCN\2014\CONTRACTUALES\APUS%20NUEVOS\PRECIOS%20UNITARIOS%201%20DE%20MARZO%20DE%202014%20V00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T-FR-014-ANALISIS%20PRECIOS%20NO%20PREVISTOS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Mis%20documentos\INF.BIMENSUAL\INFORME%20BIMENSUAL%20JUL-AGO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ACTA%20DE%20PAGO%20No%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Cofinanciacion\FICHAS%20Y%20FORMATOS\UNITARIOS%20GENERA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iuBPMarco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copia%20de%20seguridad%20pc1_invias\CONSORCIO%20PHRE\PRESUPUESTOS\V&#205;A%209003\Presupuesto%20para%20Ampliaci&#243;n%20de%20Puentes%20Angostos\Presupuestos%20Ampliaci&#243;n%20de%20Puentes%20%20(9003)%20Sept.%20de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Documents%20and%20Settings\Equipo_2\Escritorio\Necesidades%20de%20las%20V&#237;as%202010\Definitivos\Necesidades%20%20Lorica%20-%20Cove&#241;as%20(9004)%20Marzo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DM%20VIAL%2003%20-%20CORDOBA\ESTADO%20DE%20RED\2103mar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c\Mis%20documentos\INFORMES\INFORMES%20TRIMESTRALES\INFORME%20TRIMESTRAL%20DE%20TRABAJO%20DE%20NECESIDADES\DOCUME~1\USER05~1\CONFIG~1\TEMP\ADMINISTRACION%20VIAL%20G2\PRESUPUESTOS\Presupuesto%20remoci&#243;n%20de%20derrumb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EST.V&#205;A%20CRITERIO%20TECNIC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calidad\DATOS\Equipos\COSTO%20DE%20PROPIED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%20%20aaInformaci&#243;n%20GRUPO%204\A%20MInformes%20Mensuales\Informe%20de%20estado%20vial%20ene\aCCIDENTES%20DE%201995%20-%2019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%20Gomez\AppData\Local\Microsoft\Windows\Temporary%20Internet%20Files\Content.Outlook\D1M9LA5D\FORMATOS%20APS%20ITEMS%20NO%20PREVISTOS\ENTREGA%20INTERVENTORIA%20ABRIL%2030-2013\NO%20PREVISTOS%20MHC%201%20MOD-CONCILIADOS%20INTERVENTORIA-V5-ABRIL18-1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AMV%20GRUPO2-05\presupuestos\ajuste%20presupuestos\$%20PR20%20al%20PR2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Administrativos/Informe%20Septiembre/Documents%20and%20Settings/martha.hernandez.CONTABIAUX/Mis%20documentos/Mis%20archivos%20recibidos/DATOS/Equipos/COSTO%20DE%20PROPIEDA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TINCO%20MALAGA\APU\APU%202012%20(REVISADOS%20JULIO-201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Mis%20documentos\MIKO%20EN%20EJECUCION\NUNCHIA\Cofinanciacion\FICHAS%20Y%20FORMATOS\UNITARIOS%20GENERA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ONTRATO%20MHC-TCN\2014\LEGALES\PRECIOS%20NO%20PREVISTOS\ITEMS%20NO%20PREVISTOS%20PAQUETE%203-V1-01SEPTIEMBRE2014%20Fase%202%20precios%20MHC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T%20RIO%20V%20-%20PIJ%20%20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A%20RIO%20V%20-%20PIJ%20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SHIBA%20KT\katherinalexandra\Downloads\APUS%20Quindio%202018-1-Definitiv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nfra39\Documents\APUS%20Quindio%202018-1-Definitiv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gonzalez\Desktop\Documents%20and%20Settings\crendon.HMV\Local%20Settings\Temporary%20Internet%20Files\OLK3\85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aves\Desktop\NARI&#209;O\CONECTIVIDAD\EL%20EMPATE%20-%20LA%20UNION%20PR%2060+240%20al%20PR%2066+090\OBRA\BASE\PRESUPUESTO%20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RUTA ACTA No 38"/>
      <sheetName val="Ind_SerieEmpcanasta gral y  (2)"/>
      <sheetName val="HOJA DE RUTA ACTA No 39"/>
      <sheetName val="REGISTROS PRESUPUESTALES"/>
      <sheetName val="REGISTROS PRESUPUESTALES (2)"/>
      <sheetName val="Ind_SerieEmpcanasta gral y obra"/>
      <sheetName val="Actareajuste"/>
      <sheetName val="REVISION AJUSTES"/>
      <sheetName val="PROGRAMADO"/>
      <sheetName val="EJECUTADO"/>
      <sheetName val="EJC VS PRG"/>
      <sheetName val="RESUMEN FINANCIERO"/>
      <sheetName val="RESUMEN COSTOS (2)"/>
      <sheetName val="Hoja1"/>
      <sheetName val="Hoja2"/>
      <sheetName val="Hoja2 (2)"/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>
            <v>10111</v>
          </cell>
        </row>
      </sheetData>
      <sheetData sheetId="15">
        <row r="1">
          <cell r="A1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ACTA"/>
      <sheetName val="presupuesto"/>
      <sheetName val="(Item 1P)"/>
      <sheetName val="(Item 200.2)"/>
      <sheetName val="(Item 201.7)"/>
      <sheetName val="(Item 201.15)"/>
      <sheetName val="(Item 210,2,2)"/>
      <sheetName val="(Item 210,2,1)"/>
      <sheetName val="(Item 211,1)"/>
      <sheetName val="(Item 220,1)"/>
      <sheetName val="(Item 221,1)"/>
      <sheetName val="(Item 230,2)"/>
      <sheetName val="(Item 231,1)"/>
      <sheetName val="(Item 2p)"/>
      <sheetName val="(Item 310,1)"/>
      <sheetName val="(Item 320,1)"/>
      <sheetName val="(Item 420,1)"/>
      <sheetName val="(Item 450,2P)"/>
      <sheetName val="(Item 466,1P)"/>
      <sheetName val="(Item 500,1)"/>
      <sheetName val="(Item 600,1)"/>
      <sheetName val="(Item 600,2)"/>
      <sheetName val="(Item 600,5)"/>
      <sheetName val="(Item 610,1)"/>
      <sheetName val="(Item 673,1)"/>
      <sheetName val="(Item 630,1)"/>
      <sheetName val="(Item 630,3)"/>
      <sheetName val="(Item 630,4)"/>
      <sheetName val="(Item 630,6)"/>
      <sheetName val="(Item 630,7)"/>
      <sheetName val="(Item 640,1)"/>
      <sheetName val="(Item 632,1)"/>
      <sheetName val="(Item 642,1)"/>
      <sheetName val="(Item 661,1)"/>
      <sheetName val="(Item 671,1)"/>
      <sheetName val="(Item 673,2)"/>
      <sheetName val="(Item 672,1)"/>
      <sheetName val="(Item 673,3P)"/>
      <sheetName val="(Item 681,1)"/>
      <sheetName val="(Item 621P)"/>
      <sheetName val="(Item 700,1)"/>
      <sheetName val="(Item 700,3)"/>
      <sheetName val="(Item 701,1)"/>
      <sheetName val="(Item 710,1,1)"/>
      <sheetName val="(Item 710,1,2)"/>
      <sheetName val="(Item 710,2)"/>
      <sheetName val="(Item 720,1)"/>
      <sheetName val="(Item 730,1)"/>
      <sheetName val="(Item 730,2)"/>
      <sheetName val="(Item 740,1)"/>
      <sheetName val="(Item 800,1)"/>
      <sheetName val="(Item 810,1)"/>
      <sheetName val="(Item 900,2)"/>
      <sheetName val="(Item 900,3)"/>
      <sheetName val="(Item NP 900,1)"/>
      <sheetName val="(Item NP 330)"/>
      <sheetName val="(Item NP 641,1P)"/>
      <sheetName val="(Item NP 341,2,2P)"/>
      <sheetName val="(Item NP 3P1)"/>
      <sheetName val="(Item NP 4P1)"/>
      <sheetName val="(Item NP 4P2)"/>
      <sheetName val="(Item NP 4P3)"/>
      <sheetName val="(Item NP 4P4)"/>
      <sheetName val="(Item NP 4P5)"/>
      <sheetName val="(Item 420,1) (50)"/>
      <sheetName val="(Item NP 450.2P)"/>
      <sheetName val="(Item 1P) copado"/>
      <sheetName val="Hoja1"/>
      <sheetName val="DUB-823"/>
      <sheetName val="Hoja2"/>
      <sheetName val="Hoja2 (2)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>
        <row r="2">
          <cell r="B2">
            <v>0</v>
          </cell>
        </row>
      </sheetData>
      <sheetData sheetId="1">
        <row r="11">
          <cell r="C1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ACTA No 7"/>
      <sheetName val="PREACTA"/>
      <sheetName val="ACTA DE MODIFICACION No"/>
      <sheetName val="RESUMEN"/>
      <sheetName val="ESTADO FINANCIERO"/>
      <sheetName val="FIRMANTES"/>
      <sheetName val="PRESENTACION"/>
      <sheetName val="DATOS"/>
    </sheetNames>
    <sheetDataSet>
      <sheetData sheetId="0"/>
      <sheetData sheetId="1"/>
      <sheetData sheetId="2">
        <row r="5">
          <cell r="B5" t="str">
            <v>CONSORCIO SAN JOSÉ DE MIRANDA</v>
          </cell>
        </row>
      </sheetData>
      <sheetData sheetId="3"/>
      <sheetData sheetId="4">
        <row r="11">
          <cell r="F11" t="str">
            <v>EXPLANACION</v>
          </cell>
        </row>
        <row r="12">
          <cell r="C12">
            <v>1</v>
          </cell>
          <cell r="D12" t="str">
            <v>1P</v>
          </cell>
          <cell r="E12" t="str">
            <v>1P</v>
          </cell>
          <cell r="F12" t="str">
            <v>Localización y replanteo</v>
          </cell>
          <cell r="G12" t="str">
            <v>Ha</v>
          </cell>
          <cell r="H12">
            <v>0</v>
          </cell>
          <cell r="I12">
            <v>681349</v>
          </cell>
          <cell r="K12">
            <v>0</v>
          </cell>
        </row>
        <row r="13">
          <cell r="C13">
            <v>2</v>
          </cell>
          <cell r="D13" t="str">
            <v>200.2</v>
          </cell>
          <cell r="E13">
            <v>0</v>
          </cell>
          <cell r="F13" t="str">
            <v>Desmonte y limpieza en zonas no boscosas</v>
          </cell>
          <cell r="G13" t="str">
            <v>Ha</v>
          </cell>
          <cell r="H13">
            <v>0</v>
          </cell>
          <cell r="I13">
            <v>625706</v>
          </cell>
          <cell r="K13">
            <v>0</v>
          </cell>
        </row>
        <row r="14">
          <cell r="C14">
            <v>3</v>
          </cell>
          <cell r="D14" t="str">
            <v>201.7</v>
          </cell>
          <cell r="E14">
            <v>0</v>
          </cell>
          <cell r="F14" t="str">
            <v>Demolición de Estructuras</v>
          </cell>
          <cell r="G14" t="str">
            <v>m3</v>
          </cell>
          <cell r="H14">
            <v>81.8</v>
          </cell>
          <cell r="I14">
            <v>83372</v>
          </cell>
          <cell r="K14">
            <v>6819830</v>
          </cell>
        </row>
        <row r="15">
          <cell r="C15">
            <v>4</v>
          </cell>
          <cell r="D15" t="str">
            <v>201.15</v>
          </cell>
          <cell r="E15">
            <v>0</v>
          </cell>
          <cell r="F15" t="str">
            <v>Remoción de Alcantarillas</v>
          </cell>
          <cell r="G15" t="str">
            <v>ml</v>
          </cell>
          <cell r="H15">
            <v>0</v>
          </cell>
          <cell r="I15">
            <v>52166</v>
          </cell>
          <cell r="K15">
            <v>0</v>
          </cell>
        </row>
        <row r="16">
          <cell r="C16">
            <v>5</v>
          </cell>
          <cell r="D16" t="str">
            <v>210.2.2</v>
          </cell>
          <cell r="E16">
            <v>0</v>
          </cell>
          <cell r="F16" t="str">
            <v xml:space="preserve">Excavación en Material Común de la Explanación y Canales </v>
          </cell>
          <cell r="G16" t="str">
            <v>m3</v>
          </cell>
          <cell r="H16">
            <v>28375.1</v>
          </cell>
          <cell r="I16">
            <v>4771</v>
          </cell>
          <cell r="K16">
            <v>135377602</v>
          </cell>
        </row>
        <row r="17">
          <cell r="C17">
            <v>6</v>
          </cell>
          <cell r="D17" t="str">
            <v>210.2.1</v>
          </cell>
          <cell r="E17">
            <v>0</v>
          </cell>
          <cell r="F17" t="str">
            <v>Excavación en roca de la Explanación y Canales</v>
          </cell>
          <cell r="G17" t="str">
            <v>m3</v>
          </cell>
          <cell r="H17">
            <v>414.3</v>
          </cell>
          <cell r="I17">
            <v>23000</v>
          </cell>
          <cell r="K17">
            <v>9528900</v>
          </cell>
        </row>
        <row r="18">
          <cell r="C18">
            <v>7</v>
          </cell>
          <cell r="D18" t="str">
            <v>211.1</v>
          </cell>
          <cell r="E18">
            <v>0</v>
          </cell>
          <cell r="F18" t="str">
            <v>Remoción de Derrumbes</v>
          </cell>
          <cell r="G18" t="str">
            <v>m3</v>
          </cell>
          <cell r="H18">
            <v>294</v>
          </cell>
          <cell r="I18">
            <v>3562</v>
          </cell>
          <cell r="K18">
            <v>1047228</v>
          </cell>
        </row>
        <row r="19">
          <cell r="C19">
            <v>8</v>
          </cell>
          <cell r="D19" t="str">
            <v>220.1</v>
          </cell>
          <cell r="E19">
            <v>0</v>
          </cell>
          <cell r="F19" t="str">
            <v>Terraplenes</v>
          </cell>
          <cell r="G19" t="str">
            <v>m3</v>
          </cell>
          <cell r="H19">
            <v>0</v>
          </cell>
          <cell r="I19">
            <v>7582</v>
          </cell>
          <cell r="K19">
            <v>0</v>
          </cell>
        </row>
        <row r="20">
          <cell r="C20">
            <v>9</v>
          </cell>
          <cell r="D20" t="str">
            <v>221.1</v>
          </cell>
          <cell r="E20">
            <v>0</v>
          </cell>
          <cell r="F20" t="str">
            <v>Pedraplén Compacto</v>
          </cell>
          <cell r="G20" t="str">
            <v>m3</v>
          </cell>
          <cell r="H20">
            <v>0</v>
          </cell>
          <cell r="I20">
            <v>16500</v>
          </cell>
          <cell r="K20">
            <v>0</v>
          </cell>
        </row>
        <row r="21">
          <cell r="C21">
            <v>10</v>
          </cell>
          <cell r="D21" t="str">
            <v>230.2</v>
          </cell>
          <cell r="E21">
            <v>0</v>
          </cell>
          <cell r="F21" t="str">
            <v>Mejoramiento de la subrasante empleando unicamente material adicionado</v>
          </cell>
          <cell r="G21" t="str">
            <v>m3</v>
          </cell>
          <cell r="H21">
            <v>6295.3</v>
          </cell>
          <cell r="I21">
            <v>38000</v>
          </cell>
          <cell r="K21">
            <v>239221400</v>
          </cell>
        </row>
        <row r="22">
          <cell r="C22">
            <v>11</v>
          </cell>
          <cell r="D22" t="str">
            <v>2P</v>
          </cell>
          <cell r="E22" t="str">
            <v>2P</v>
          </cell>
          <cell r="F22" t="str">
            <v>Conformación de sitios de disposición de sobrantes</v>
          </cell>
          <cell r="G22" t="str">
            <v>m3</v>
          </cell>
          <cell r="H22">
            <v>26019.4</v>
          </cell>
          <cell r="I22">
            <v>2293</v>
          </cell>
          <cell r="K22">
            <v>59662484</v>
          </cell>
        </row>
        <row r="23">
          <cell r="C23">
            <v>12</v>
          </cell>
          <cell r="D23" t="str">
            <v>231.1</v>
          </cell>
          <cell r="E23">
            <v>0</v>
          </cell>
          <cell r="F23" t="str">
            <v>Geotextil para separación de suelos de subrasante y capas granulares</v>
          </cell>
          <cell r="G23" t="str">
            <v>m2</v>
          </cell>
          <cell r="H23">
            <v>0</v>
          </cell>
          <cell r="I23">
            <v>5450</v>
          </cell>
          <cell r="K23">
            <v>0</v>
          </cell>
        </row>
        <row r="24">
          <cell r="F24" t="str">
            <v>SUBBASES Y AFIRMADOS</v>
          </cell>
        </row>
        <row r="25">
          <cell r="C25">
            <v>13</v>
          </cell>
          <cell r="D25" t="str">
            <v>310.1</v>
          </cell>
          <cell r="E25">
            <v>0</v>
          </cell>
          <cell r="F25" t="str">
            <v>Conformación de la calzada existente</v>
          </cell>
          <cell r="G25" t="str">
            <v>m2</v>
          </cell>
          <cell r="H25">
            <v>0</v>
          </cell>
          <cell r="I25">
            <v>500</v>
          </cell>
          <cell r="K25">
            <v>0</v>
          </cell>
        </row>
        <row r="26">
          <cell r="C26">
            <v>14</v>
          </cell>
          <cell r="D26" t="str">
            <v>320.1</v>
          </cell>
          <cell r="E26">
            <v>0</v>
          </cell>
          <cell r="F26" t="str">
            <v>Subbase Granular</v>
          </cell>
          <cell r="G26" t="str">
            <v>m3</v>
          </cell>
          <cell r="H26">
            <v>0</v>
          </cell>
          <cell r="I26">
            <v>63000</v>
          </cell>
          <cell r="K26">
            <v>0</v>
          </cell>
        </row>
        <row r="27">
          <cell r="F27" t="str">
            <v>PAVIMENTOS ASFALTICOS</v>
          </cell>
        </row>
        <row r="28">
          <cell r="C28">
            <v>15</v>
          </cell>
          <cell r="D28" t="str">
            <v>420.1</v>
          </cell>
          <cell r="E28">
            <v>0</v>
          </cell>
          <cell r="F28" t="str">
            <v>Riego de imprimación con emulsión asfaltica</v>
          </cell>
          <cell r="G28" t="str">
            <v>m2</v>
          </cell>
          <cell r="H28">
            <v>10604.680000000004</v>
          </cell>
          <cell r="I28">
            <v>1821</v>
          </cell>
          <cell r="K28">
            <v>19311122</v>
          </cell>
        </row>
        <row r="29">
          <cell r="C29">
            <v>16</v>
          </cell>
          <cell r="D29" t="str">
            <v>450,2P</v>
          </cell>
          <cell r="E29" t="str">
            <v>450,2P</v>
          </cell>
          <cell r="F29" t="str">
            <v>Mezcla Densa en Caliente Tipo MDC - 2</v>
          </cell>
          <cell r="G29" t="str">
            <v>m3</v>
          </cell>
          <cell r="H29">
            <v>424.19</v>
          </cell>
          <cell r="I29">
            <v>440000</v>
          </cell>
          <cell r="K29">
            <v>186643600</v>
          </cell>
        </row>
        <row r="30">
          <cell r="C30">
            <v>17</v>
          </cell>
          <cell r="D30" t="str">
            <v>466.1P</v>
          </cell>
          <cell r="E30" t="str">
            <v>466.1P</v>
          </cell>
          <cell r="F30" t="str">
            <v>Sello de Grietas</v>
          </cell>
          <cell r="G30" t="str">
            <v>ml</v>
          </cell>
          <cell r="H30">
            <v>0</v>
          </cell>
          <cell r="I30">
            <v>1211</v>
          </cell>
          <cell r="K30">
            <v>0</v>
          </cell>
        </row>
        <row r="31">
          <cell r="F31" t="str">
            <v>PAVIMENTOS DE CONCRETO</v>
          </cell>
        </row>
        <row r="32">
          <cell r="C32">
            <v>18</v>
          </cell>
          <cell r="D32" t="str">
            <v>500.1</v>
          </cell>
          <cell r="E32">
            <v>0</v>
          </cell>
          <cell r="F32" t="str">
            <v>Pavimento de Concreto Hidraulico</v>
          </cell>
          <cell r="G32" t="str">
            <v>m3</v>
          </cell>
          <cell r="H32">
            <v>1874.9</v>
          </cell>
          <cell r="I32">
            <v>450000</v>
          </cell>
          <cell r="K32">
            <v>843705000</v>
          </cell>
        </row>
        <row r="33">
          <cell r="C33">
            <v>0</v>
          </cell>
          <cell r="D33">
            <v>0</v>
          </cell>
          <cell r="E33">
            <v>0</v>
          </cell>
          <cell r="F33" t="str">
            <v>ESTRUCTURAS Y DRENAJES</v>
          </cell>
        </row>
        <row r="34">
          <cell r="C34">
            <v>19</v>
          </cell>
          <cell r="D34" t="str">
            <v>600.1</v>
          </cell>
          <cell r="E34">
            <v>0</v>
          </cell>
          <cell r="F34" t="str">
            <v>Excavaciones varias sin clasificar</v>
          </cell>
          <cell r="G34" t="str">
            <v>m3</v>
          </cell>
          <cell r="H34">
            <v>2421.6999999999998</v>
          </cell>
          <cell r="I34">
            <v>17823</v>
          </cell>
          <cell r="K34">
            <v>43161960</v>
          </cell>
        </row>
        <row r="35">
          <cell r="C35">
            <v>20</v>
          </cell>
          <cell r="D35" t="str">
            <v>600.2</v>
          </cell>
          <cell r="E35">
            <v>0</v>
          </cell>
          <cell r="F35" t="str">
            <v>Excavaciones varias en roca en seco</v>
          </cell>
          <cell r="G35" t="str">
            <v>m3</v>
          </cell>
          <cell r="H35">
            <v>211.8</v>
          </cell>
          <cell r="I35">
            <v>77367</v>
          </cell>
          <cell r="K35">
            <v>16386331</v>
          </cell>
        </row>
        <row r="36">
          <cell r="C36">
            <v>21</v>
          </cell>
          <cell r="D36" t="str">
            <v>600.5</v>
          </cell>
          <cell r="E36">
            <v>0</v>
          </cell>
          <cell r="F36" t="str">
            <v xml:space="preserve">Excavaciones varias en material comun bajo agua </v>
          </cell>
          <cell r="G36" t="str">
            <v>m3</v>
          </cell>
          <cell r="H36">
            <v>0</v>
          </cell>
          <cell r="I36">
            <v>36993</v>
          </cell>
          <cell r="K36">
            <v>0</v>
          </cell>
        </row>
        <row r="37">
          <cell r="C37">
            <v>22</v>
          </cell>
          <cell r="D37" t="str">
            <v>610.1</v>
          </cell>
          <cell r="E37">
            <v>0</v>
          </cell>
          <cell r="F37" t="str">
            <v>Relleno para Estructuras</v>
          </cell>
          <cell r="G37" t="str">
            <v>m3</v>
          </cell>
          <cell r="H37">
            <v>258.10000000000002</v>
          </cell>
          <cell r="I37">
            <v>77003</v>
          </cell>
          <cell r="K37">
            <v>19874475</v>
          </cell>
        </row>
        <row r="38">
          <cell r="C38">
            <v>23</v>
          </cell>
          <cell r="D38" t="str">
            <v>673.1</v>
          </cell>
          <cell r="E38">
            <v>0</v>
          </cell>
          <cell r="F38" t="str">
            <v>Material granular Filtrante</v>
          </cell>
          <cell r="G38" t="str">
            <v>m3</v>
          </cell>
          <cell r="H38">
            <v>526</v>
          </cell>
          <cell r="I38">
            <v>87003</v>
          </cell>
          <cell r="K38">
            <v>45763578</v>
          </cell>
        </row>
        <row r="39">
          <cell r="C39">
            <v>24</v>
          </cell>
          <cell r="D39" t="str">
            <v>630.1</v>
          </cell>
          <cell r="E39">
            <v>0</v>
          </cell>
          <cell r="F39" t="str">
            <v xml:space="preserve">Concreto clase A </v>
          </cell>
          <cell r="G39" t="str">
            <v>m3</v>
          </cell>
          <cell r="H39">
            <v>0</v>
          </cell>
          <cell r="I39">
            <v>900000</v>
          </cell>
          <cell r="K39">
            <v>0</v>
          </cell>
        </row>
        <row r="40">
          <cell r="C40">
            <v>25</v>
          </cell>
          <cell r="D40" t="str">
            <v>630.3</v>
          </cell>
          <cell r="E40">
            <v>0</v>
          </cell>
          <cell r="F40" t="str">
            <v xml:space="preserve">Concreto calse C </v>
          </cell>
          <cell r="G40" t="str">
            <v>m3</v>
          </cell>
          <cell r="H40">
            <v>12.8</v>
          </cell>
          <cell r="I40">
            <v>720000</v>
          </cell>
          <cell r="K40">
            <v>9216000</v>
          </cell>
        </row>
        <row r="41">
          <cell r="C41">
            <v>26</v>
          </cell>
          <cell r="D41" t="str">
            <v>630.4</v>
          </cell>
          <cell r="E41">
            <v>0</v>
          </cell>
          <cell r="F41" t="str">
            <v>Concreto clase D</v>
          </cell>
          <cell r="G41" t="str">
            <v>m3</v>
          </cell>
          <cell r="H41">
            <v>326.2</v>
          </cell>
          <cell r="I41">
            <v>460000</v>
          </cell>
          <cell r="K41">
            <v>150052000</v>
          </cell>
        </row>
        <row r="42">
          <cell r="C42">
            <v>27</v>
          </cell>
          <cell r="D42" t="str">
            <v>630.6</v>
          </cell>
          <cell r="E42">
            <v>0</v>
          </cell>
          <cell r="F42" t="str">
            <v xml:space="preserve">Concreto clase F </v>
          </cell>
          <cell r="G42" t="str">
            <v>m3</v>
          </cell>
          <cell r="H42">
            <v>28.8</v>
          </cell>
          <cell r="I42">
            <v>353340</v>
          </cell>
          <cell r="K42">
            <v>10176192</v>
          </cell>
        </row>
        <row r="43">
          <cell r="C43">
            <v>28</v>
          </cell>
          <cell r="D43" t="str">
            <v>630.7</v>
          </cell>
          <cell r="E43">
            <v>0</v>
          </cell>
          <cell r="F43" t="str">
            <v xml:space="preserve">Concreto clase G </v>
          </cell>
          <cell r="G43" t="str">
            <v>m3</v>
          </cell>
          <cell r="H43">
            <v>45.3</v>
          </cell>
          <cell r="I43">
            <v>321326</v>
          </cell>
          <cell r="K43">
            <v>14556068</v>
          </cell>
        </row>
        <row r="44">
          <cell r="C44">
            <v>29</v>
          </cell>
          <cell r="D44" t="str">
            <v>640.1</v>
          </cell>
          <cell r="E44">
            <v>0</v>
          </cell>
          <cell r="F44" t="str">
            <v>Acero de refuerzo Fy=420Mpa</v>
          </cell>
          <cell r="G44" t="str">
            <v>kg</v>
          </cell>
          <cell r="H44">
            <v>18568.2</v>
          </cell>
          <cell r="I44">
            <v>3100</v>
          </cell>
          <cell r="K44">
            <v>57561420</v>
          </cell>
        </row>
        <row r="45">
          <cell r="C45">
            <v>30</v>
          </cell>
          <cell r="D45" t="str">
            <v>632.1</v>
          </cell>
          <cell r="E45">
            <v>0</v>
          </cell>
          <cell r="F45" t="str">
            <v xml:space="preserve">Baranda de concreto </v>
          </cell>
          <cell r="G45" t="str">
            <v>ml</v>
          </cell>
          <cell r="H45">
            <v>0</v>
          </cell>
          <cell r="I45">
            <v>173523</v>
          </cell>
          <cell r="K45">
            <v>0</v>
          </cell>
        </row>
        <row r="46">
          <cell r="C46">
            <v>31</v>
          </cell>
          <cell r="D46" t="str">
            <v>642.1</v>
          </cell>
          <cell r="E46">
            <v>0</v>
          </cell>
          <cell r="F46" t="str">
            <v>Apoyo elastomerico</v>
          </cell>
          <cell r="G46" t="str">
            <v>un</v>
          </cell>
          <cell r="H46">
            <v>0</v>
          </cell>
          <cell r="I46">
            <v>586353</v>
          </cell>
          <cell r="K46">
            <v>0</v>
          </cell>
        </row>
        <row r="47">
          <cell r="C47">
            <v>32</v>
          </cell>
          <cell r="D47" t="str">
            <v>661.1</v>
          </cell>
          <cell r="E47">
            <v>0</v>
          </cell>
          <cell r="F47" t="str">
            <v>Tubería de Concreto reforzado de 900mm de diametro interior</v>
          </cell>
          <cell r="G47" t="str">
            <v>ml</v>
          </cell>
          <cell r="H47">
            <v>47.3</v>
          </cell>
          <cell r="I47">
            <v>320000</v>
          </cell>
          <cell r="K47">
            <v>15136000</v>
          </cell>
        </row>
        <row r="48">
          <cell r="C48">
            <v>33</v>
          </cell>
          <cell r="D48" t="str">
            <v>671.1</v>
          </cell>
          <cell r="E48">
            <v>0</v>
          </cell>
          <cell r="F48" t="str">
            <v>Cunetas revestidas en concreto fundidas en el lugar</v>
          </cell>
          <cell r="G48" t="str">
            <v>m3</v>
          </cell>
          <cell r="H48">
            <v>0</v>
          </cell>
          <cell r="I48">
            <v>380000</v>
          </cell>
          <cell r="K48">
            <v>0</v>
          </cell>
        </row>
        <row r="49">
          <cell r="C49">
            <v>34</v>
          </cell>
          <cell r="D49" t="str">
            <v>673.2</v>
          </cell>
          <cell r="E49">
            <v>0</v>
          </cell>
          <cell r="F49" t="str">
            <v>Geotextil</v>
          </cell>
          <cell r="G49" t="str">
            <v>m2</v>
          </cell>
          <cell r="H49">
            <v>286.60000000000002</v>
          </cell>
          <cell r="I49">
            <v>4565</v>
          </cell>
          <cell r="K49">
            <v>1308329</v>
          </cell>
        </row>
        <row r="50">
          <cell r="C50">
            <v>35</v>
          </cell>
          <cell r="D50" t="str">
            <v>672.1</v>
          </cell>
          <cell r="E50">
            <v>0</v>
          </cell>
          <cell r="F50" t="str">
            <v>Bordillos de concreto</v>
          </cell>
          <cell r="G50" t="str">
            <v>ml</v>
          </cell>
          <cell r="H50">
            <v>0</v>
          </cell>
          <cell r="I50">
            <v>42000</v>
          </cell>
          <cell r="K50">
            <v>0</v>
          </cell>
        </row>
        <row r="51">
          <cell r="C51">
            <v>36</v>
          </cell>
          <cell r="D51" t="str">
            <v>673.3P</v>
          </cell>
          <cell r="E51" t="str">
            <v>673.3P</v>
          </cell>
          <cell r="F51" t="str">
            <v>Geodren</v>
          </cell>
          <cell r="G51" t="str">
            <v>ml</v>
          </cell>
          <cell r="H51">
            <v>1144.8</v>
          </cell>
          <cell r="I51">
            <v>48000</v>
          </cell>
          <cell r="K51">
            <v>54950400</v>
          </cell>
        </row>
        <row r="52">
          <cell r="C52">
            <v>37</v>
          </cell>
          <cell r="D52" t="str">
            <v>681.1</v>
          </cell>
          <cell r="E52">
            <v>0</v>
          </cell>
          <cell r="F52" t="str">
            <v>Gavion</v>
          </cell>
          <cell r="G52" t="str">
            <v>m3</v>
          </cell>
          <cell r="H52">
            <v>194</v>
          </cell>
          <cell r="I52">
            <v>127676</v>
          </cell>
          <cell r="K52">
            <v>24769145</v>
          </cell>
        </row>
        <row r="53">
          <cell r="C53">
            <v>38</v>
          </cell>
          <cell r="D53" t="str">
            <v>621P</v>
          </cell>
          <cell r="E53" t="str">
            <v>621P</v>
          </cell>
          <cell r="F53" t="str">
            <v>Pilotes preexcavados (caissons) concreto clase C fc=280 kg/cm2 (diámetro 1.2 m, incluye excavaciones, formaleta (bien sea metálica o anillos de concreto) soporte temporal, concreto tremie bombeo, no incluye acero de refuerzo) caissons</v>
          </cell>
          <cell r="G53" t="str">
            <v>m3</v>
          </cell>
          <cell r="H53">
            <v>0</v>
          </cell>
          <cell r="I53">
            <v>1200000</v>
          </cell>
          <cell r="K53">
            <v>0</v>
          </cell>
        </row>
        <row r="54">
          <cell r="F54" t="str">
            <v>SEÑALIZACIÓN</v>
          </cell>
        </row>
        <row r="55">
          <cell r="C55">
            <v>39</v>
          </cell>
          <cell r="D55" t="str">
            <v>700.1</v>
          </cell>
          <cell r="E55">
            <v>0</v>
          </cell>
          <cell r="F55" t="str">
            <v>Líneas de Demarcación con pintura en frio</v>
          </cell>
          <cell r="G55" t="str">
            <v>ml</v>
          </cell>
          <cell r="H55">
            <v>0</v>
          </cell>
          <cell r="I55">
            <v>1189</v>
          </cell>
          <cell r="K55">
            <v>0</v>
          </cell>
        </row>
        <row r="56">
          <cell r="C56">
            <v>40</v>
          </cell>
          <cell r="D56" t="str">
            <v>700.3</v>
          </cell>
          <cell r="E56">
            <v>0</v>
          </cell>
          <cell r="F56" t="str">
            <v>Marca Vial con pintura en frío</v>
          </cell>
          <cell r="G56" t="str">
            <v>m2</v>
          </cell>
          <cell r="H56">
            <v>0</v>
          </cell>
          <cell r="I56">
            <v>16238</v>
          </cell>
          <cell r="K56">
            <v>0</v>
          </cell>
        </row>
        <row r="57">
          <cell r="C57">
            <v>41</v>
          </cell>
          <cell r="D57" t="str">
            <v>701.1</v>
          </cell>
          <cell r="E57">
            <v>0</v>
          </cell>
          <cell r="F57" t="str">
            <v xml:space="preserve">Tacha Reflectiva </v>
          </cell>
          <cell r="G57" t="str">
            <v>Un</v>
          </cell>
          <cell r="H57">
            <v>0</v>
          </cell>
          <cell r="I57">
            <v>8772</v>
          </cell>
          <cell r="K57">
            <v>0</v>
          </cell>
        </row>
        <row r="58">
          <cell r="C58">
            <v>42</v>
          </cell>
          <cell r="D58" t="str">
            <v>710.1.1</v>
          </cell>
          <cell r="E58">
            <v>0</v>
          </cell>
          <cell r="F58" t="str">
            <v>Señal Vertical De Tránsito Tipo I</v>
          </cell>
          <cell r="G58" t="str">
            <v>Un</v>
          </cell>
          <cell r="H58">
            <v>0</v>
          </cell>
          <cell r="I58">
            <v>261954</v>
          </cell>
          <cell r="K58">
            <v>0</v>
          </cell>
        </row>
        <row r="59">
          <cell r="C59">
            <v>43</v>
          </cell>
          <cell r="D59" t="str">
            <v>710.1.2</v>
          </cell>
          <cell r="E59">
            <v>0</v>
          </cell>
          <cell r="F59" t="str">
            <v>Señal Vertical De Transito Tipo IV</v>
          </cell>
          <cell r="G59" t="str">
            <v>Un</v>
          </cell>
          <cell r="H59">
            <v>0</v>
          </cell>
          <cell r="I59">
            <v>190000</v>
          </cell>
          <cell r="K59">
            <v>0</v>
          </cell>
        </row>
        <row r="60">
          <cell r="C60">
            <v>44</v>
          </cell>
          <cell r="D60" t="str">
            <v>710.2</v>
          </cell>
          <cell r="E60">
            <v>0</v>
          </cell>
          <cell r="F60" t="str">
            <v>Señal Vertical De Transito Tipo V</v>
          </cell>
          <cell r="G60" t="str">
            <v>m2</v>
          </cell>
          <cell r="H60">
            <v>0</v>
          </cell>
          <cell r="I60">
            <v>362284</v>
          </cell>
          <cell r="K60">
            <v>0</v>
          </cell>
        </row>
        <row r="61">
          <cell r="C61">
            <v>45</v>
          </cell>
          <cell r="D61" t="str">
            <v>720.1</v>
          </cell>
          <cell r="E61">
            <v>0</v>
          </cell>
          <cell r="F61" t="str">
            <v>Poste de referencia</v>
          </cell>
          <cell r="G61" t="str">
            <v>Un</v>
          </cell>
          <cell r="H61">
            <v>0</v>
          </cell>
          <cell r="I61">
            <v>116392</v>
          </cell>
          <cell r="K61">
            <v>0</v>
          </cell>
        </row>
        <row r="62">
          <cell r="C62">
            <v>46</v>
          </cell>
          <cell r="D62" t="str">
            <v>730.1</v>
          </cell>
          <cell r="E62">
            <v>0</v>
          </cell>
          <cell r="F62" t="str">
            <v xml:space="preserve">Defensa metalica </v>
          </cell>
          <cell r="G62" t="str">
            <v>ml</v>
          </cell>
          <cell r="H62">
            <v>0</v>
          </cell>
          <cell r="I62">
            <v>155000</v>
          </cell>
          <cell r="K62">
            <v>0</v>
          </cell>
        </row>
        <row r="63">
          <cell r="C63">
            <v>47</v>
          </cell>
          <cell r="D63" t="str">
            <v>730.2</v>
          </cell>
          <cell r="E63">
            <v>0</v>
          </cell>
          <cell r="F63" t="str">
            <v>Sección final</v>
          </cell>
          <cell r="G63" t="str">
            <v>Un</v>
          </cell>
          <cell r="H63">
            <v>0</v>
          </cell>
          <cell r="I63">
            <v>69650</v>
          </cell>
          <cell r="K63">
            <v>0</v>
          </cell>
        </row>
        <row r="64">
          <cell r="C64">
            <v>48</v>
          </cell>
          <cell r="D64" t="str">
            <v>740.1</v>
          </cell>
          <cell r="E64">
            <v>0</v>
          </cell>
          <cell r="F64" t="str">
            <v>Captafaros</v>
          </cell>
          <cell r="G64" t="str">
            <v>Un</v>
          </cell>
          <cell r="H64">
            <v>0</v>
          </cell>
          <cell r="I64">
            <v>11637</v>
          </cell>
          <cell r="K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 t="str">
            <v>OBRAS VARIAS</v>
          </cell>
        </row>
        <row r="66">
          <cell r="C66">
            <v>49</v>
          </cell>
          <cell r="D66" t="str">
            <v>800.1</v>
          </cell>
          <cell r="E66">
            <v>0</v>
          </cell>
          <cell r="F66" t="str">
            <v>Cercas de alambre de púas con postes de Madera</v>
          </cell>
          <cell r="G66" t="str">
            <v>ml</v>
          </cell>
          <cell r="H66">
            <v>0</v>
          </cell>
          <cell r="I66">
            <v>11022</v>
          </cell>
          <cell r="K66">
            <v>0</v>
          </cell>
        </row>
        <row r="67">
          <cell r="C67">
            <v>50</v>
          </cell>
          <cell r="D67" t="str">
            <v>810.1</v>
          </cell>
          <cell r="E67">
            <v>0</v>
          </cell>
          <cell r="F67" t="str">
            <v>Protección de taludes con bloques de césped</v>
          </cell>
          <cell r="G67" t="str">
            <v>m2</v>
          </cell>
          <cell r="H67">
            <v>0</v>
          </cell>
          <cell r="I67">
            <v>5000</v>
          </cell>
          <cell r="K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 t="str">
            <v>TRANSPORTES</v>
          </cell>
          <cell r="K68">
            <v>0</v>
          </cell>
        </row>
        <row r="69">
          <cell r="C69">
            <v>51</v>
          </cell>
          <cell r="D69" t="str">
            <v>900.2</v>
          </cell>
          <cell r="E69">
            <v>0</v>
          </cell>
          <cell r="F69" t="str">
            <v>Transporte de materiales provenientes de la excavación de la explanación, canales y préstamos para distancias mayores de mil metros (1000 m)</v>
          </cell>
          <cell r="G69" t="str">
            <v>m3-Km</v>
          </cell>
          <cell r="H69">
            <v>61286.6</v>
          </cell>
          <cell r="I69">
            <v>600</v>
          </cell>
          <cell r="K69">
            <v>36771960</v>
          </cell>
        </row>
        <row r="70">
          <cell r="C70">
            <v>52</v>
          </cell>
          <cell r="D70" t="str">
            <v>900.3</v>
          </cell>
          <cell r="E70">
            <v>0</v>
          </cell>
          <cell r="F70" t="str">
            <v>Transporte de materiales provenientes de derrumbes</v>
          </cell>
          <cell r="G70" t="str">
            <v>m3-Km</v>
          </cell>
          <cell r="H70">
            <v>0</v>
          </cell>
          <cell r="I70">
            <v>600</v>
          </cell>
          <cell r="K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 t="str">
            <v>NO PREVISTOS</v>
          </cell>
          <cell r="K71">
            <v>946361814</v>
          </cell>
        </row>
        <row r="72">
          <cell r="C72">
            <v>1</v>
          </cell>
          <cell r="D72" t="str">
            <v>1P</v>
          </cell>
          <cell r="E72" t="str">
            <v>1P</v>
          </cell>
          <cell r="F72" t="str">
            <v>Localización y replanteo</v>
          </cell>
          <cell r="G72" t="str">
            <v>Ha</v>
          </cell>
          <cell r="H72">
            <v>138.4</v>
          </cell>
          <cell r="I72">
            <v>681349</v>
          </cell>
          <cell r="K72">
            <v>94298702</v>
          </cell>
        </row>
        <row r="73">
          <cell r="C73">
            <v>53</v>
          </cell>
          <cell r="D73">
            <v>330</v>
          </cell>
          <cell r="F73" t="str">
            <v>Base Granular</v>
          </cell>
          <cell r="G73" t="str">
            <v>m3</v>
          </cell>
          <cell r="H73">
            <v>4615.7</v>
          </cell>
          <cell r="I73">
            <v>99643</v>
          </cell>
          <cell r="K73">
            <v>459922195</v>
          </cell>
        </row>
        <row r="74">
          <cell r="C74">
            <v>54</v>
          </cell>
          <cell r="D74" t="str">
            <v>461.1P</v>
          </cell>
          <cell r="F74" t="str">
            <v>Reciclaje de pavimento asfaltico (Incluye cereo)</v>
          </cell>
          <cell r="G74" t="str">
            <v>m3</v>
          </cell>
          <cell r="H74">
            <v>5256.2</v>
          </cell>
          <cell r="I74">
            <v>31641</v>
          </cell>
          <cell r="K74">
            <v>166311424</v>
          </cell>
        </row>
        <row r="75">
          <cell r="C75">
            <v>55</v>
          </cell>
          <cell r="D75" t="str">
            <v>341.2.2P</v>
          </cell>
          <cell r="F75" t="str">
            <v>Suministro de Cemento Porlant Tipo I para  estabilizacion de bases granulares (Incluye mezclado)</v>
          </cell>
          <cell r="G75" t="str">
            <v>kg</v>
          </cell>
          <cell r="H75">
            <v>348861.9</v>
          </cell>
          <cell r="I75">
            <v>643</v>
          </cell>
          <cell r="K75">
            <v>224318202</v>
          </cell>
        </row>
        <row r="76">
          <cell r="C76">
            <v>56</v>
          </cell>
          <cell r="D76" t="str">
            <v>3P1</v>
          </cell>
          <cell r="F76" t="str">
            <v>Reubicacion de Cercas existentes</v>
          </cell>
          <cell r="G76" t="str">
            <v>ml</v>
          </cell>
          <cell r="H76">
            <v>1960</v>
          </cell>
          <cell r="I76">
            <v>4947</v>
          </cell>
          <cell r="K76">
            <v>9696120</v>
          </cell>
        </row>
        <row r="77">
          <cell r="C77">
            <v>57</v>
          </cell>
          <cell r="D77" t="str">
            <v>4P1</v>
          </cell>
          <cell r="F77" t="str">
            <v>Tala de arbol clase V h mayor a 30 mts ( incluye desenraíce, retiro y disposición final)</v>
          </cell>
          <cell r="G77" t="str">
            <v>ml</v>
          </cell>
          <cell r="H77">
            <v>0</v>
          </cell>
          <cell r="I77">
            <v>210756</v>
          </cell>
          <cell r="K77">
            <v>0</v>
          </cell>
        </row>
        <row r="78">
          <cell r="C78">
            <v>58</v>
          </cell>
          <cell r="D78" t="str">
            <v>4P2</v>
          </cell>
          <cell r="F78" t="str">
            <v>Tala de arbol clase IV h=20 a 30 mts ( incluye desenraíce, retiro y disposición final)</v>
          </cell>
          <cell r="G78" t="str">
            <v>UND.</v>
          </cell>
          <cell r="H78">
            <v>0</v>
          </cell>
          <cell r="I78">
            <v>144110</v>
          </cell>
          <cell r="K78">
            <v>0</v>
          </cell>
        </row>
        <row r="79">
          <cell r="C79">
            <v>59</v>
          </cell>
          <cell r="D79" t="str">
            <v>4P3</v>
          </cell>
          <cell r="F79" t="str">
            <v>Tala de arbol clase III h=10 a 20 mts ( incluye desenraíce, retiro y disposición final)</v>
          </cell>
          <cell r="G79" t="str">
            <v>UND.</v>
          </cell>
          <cell r="H79">
            <v>0</v>
          </cell>
          <cell r="I79">
            <v>99439</v>
          </cell>
          <cell r="K79">
            <v>0</v>
          </cell>
        </row>
        <row r="80">
          <cell r="C80">
            <v>60</v>
          </cell>
          <cell r="D80" t="str">
            <v>4P4</v>
          </cell>
          <cell r="F80" t="str">
            <v>Tala de arbol clase II h=5 a 10 mts ( incluye desenraíce, retiro y disposición final)</v>
          </cell>
          <cell r="G80" t="str">
            <v>UND.</v>
          </cell>
          <cell r="H80">
            <v>300</v>
          </cell>
          <cell r="I80">
            <v>74458</v>
          </cell>
          <cell r="K80">
            <v>22337400</v>
          </cell>
        </row>
        <row r="81">
          <cell r="C81">
            <v>61</v>
          </cell>
          <cell r="D81" t="str">
            <v>4P5</v>
          </cell>
          <cell r="F81" t="str">
            <v>Tala de arbol clase I h=1 a 5 mts ( incluye desenraíce, retiro y disposición final)</v>
          </cell>
          <cell r="G81" t="str">
            <v>UND.</v>
          </cell>
          <cell r="H81">
            <v>0</v>
          </cell>
          <cell r="I81">
            <v>58221</v>
          </cell>
          <cell r="K81">
            <v>0</v>
          </cell>
        </row>
        <row r="82">
          <cell r="C82">
            <v>62</v>
          </cell>
          <cell r="D82" t="str">
            <v>900.1</v>
          </cell>
          <cell r="F82" t="str">
            <v xml:space="preserve">Transporte de materiales provenientes de la excavación de la explanación, canales y prestamos, entre cien metros  (100 m)  y mil metros (1.000 m) 
</v>
          </cell>
          <cell r="G82" t="str">
            <v>UND.</v>
          </cell>
          <cell r="H82">
            <v>361955</v>
          </cell>
          <cell r="I82">
            <v>535</v>
          </cell>
          <cell r="K82">
            <v>193645925</v>
          </cell>
        </row>
        <row r="83">
          <cell r="C83">
            <v>63</v>
          </cell>
          <cell r="D83" t="str">
            <v>450.2P</v>
          </cell>
          <cell r="F83" t="str">
            <v>Mezcla Densa en Caliente para Parcheo</v>
          </cell>
          <cell r="G83" t="str">
            <v>UND.</v>
          </cell>
          <cell r="H83">
            <v>133.5</v>
          </cell>
          <cell r="I83">
            <v>472673</v>
          </cell>
          <cell r="K83">
            <v>63101846</v>
          </cell>
        </row>
        <row r="84">
          <cell r="C84">
            <v>63</v>
          </cell>
          <cell r="D84" t="str">
            <v>450.2P</v>
          </cell>
          <cell r="F84" t="str">
            <v>pilotes muro reforzado km 101+950</v>
          </cell>
          <cell r="G84" t="str">
            <v>ml</v>
          </cell>
          <cell r="H84">
            <v>50</v>
          </cell>
          <cell r="I84">
            <v>1100000</v>
          </cell>
          <cell r="K84">
            <v>55000000</v>
          </cell>
        </row>
        <row r="85">
          <cell r="C85">
            <v>18</v>
          </cell>
          <cell r="D85" t="str">
            <v>500.1</v>
          </cell>
          <cell r="E85">
            <v>0</v>
          </cell>
          <cell r="F85" t="str">
            <v>Pavimento de Concreto Hidraulico</v>
          </cell>
          <cell r="G85" t="str">
            <v>m3</v>
          </cell>
          <cell r="H85">
            <v>-760.6</v>
          </cell>
          <cell r="I85">
            <v>450000</v>
          </cell>
          <cell r="K85">
            <v>-342270000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6">
          <cell r="C96" t="str">
            <v>LIQUIDACIÓN TOTAL PRESENTE PREACTA DE OBRA</v>
          </cell>
          <cell r="K96">
            <v>2001001024</v>
          </cell>
        </row>
        <row r="98">
          <cell r="D98" t="str">
            <v>CONTRATISTA</v>
          </cell>
          <cell r="F98" t="str">
            <v>CONSORCIO SAN JOSÉ DE MIRANDA</v>
          </cell>
          <cell r="H98" t="str">
            <v>INTERVENTOR</v>
          </cell>
          <cell r="I98" t="str">
            <v>CONSORCIO CHICAMOCHA</v>
          </cell>
        </row>
        <row r="99">
          <cell r="D99" t="str">
            <v>FIRMA</v>
          </cell>
          <cell r="H99" t="str">
            <v>FIRMA</v>
          </cell>
        </row>
        <row r="100">
          <cell r="D100" t="str">
            <v>NOMBRE</v>
          </cell>
          <cell r="F100" t="str">
            <v>FREDY MENDEZ SALINAS</v>
          </cell>
          <cell r="H100" t="str">
            <v>NOMBRE</v>
          </cell>
          <cell r="I100" t="str">
            <v>NELSON GOMEZ BELTRAN</v>
          </cell>
        </row>
        <row r="101">
          <cell r="D101" t="str">
            <v>CARGO</v>
          </cell>
          <cell r="F101" t="str">
            <v>ENCARGADO DE MEDICIONES</v>
          </cell>
          <cell r="H101" t="str">
            <v>CARGO</v>
          </cell>
          <cell r="I101" t="str">
            <v>ING RESIDENTE AUXILIAR</v>
          </cell>
        </row>
      </sheetData>
      <sheetData sheetId="5"/>
      <sheetData sheetId="6"/>
      <sheetData sheetId="7">
        <row r="25">
          <cell r="A25">
            <v>1</v>
          </cell>
        </row>
      </sheetData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(26)"/>
      <sheetName val="(27)"/>
      <sheetName val="(28)"/>
      <sheetName val="(29)"/>
      <sheetName val="(30)"/>
      <sheetName val="(31)"/>
      <sheetName val="(32)"/>
      <sheetName val="(33)"/>
      <sheetName val="(34)"/>
      <sheetName val="(35)"/>
      <sheetName val="(36)"/>
      <sheetName val="(37)"/>
      <sheetName val="(38)"/>
      <sheetName val="(39)"/>
      <sheetName val="(40)"/>
      <sheetName val="(41)"/>
      <sheetName val="(42)"/>
      <sheetName val="(43)"/>
      <sheetName val="(44)"/>
      <sheetName val="(45)"/>
      <sheetName val="(46)"/>
      <sheetName val="(47)"/>
      <sheetName val="(48)"/>
      <sheetName val="(49)"/>
      <sheetName val="(50)"/>
      <sheetName val="(51)"/>
      <sheetName val="(52)"/>
      <sheetName val="53C"/>
      <sheetName val="(53REVERSADO)"/>
      <sheetName val="(53I)"/>
      <sheetName val="54C"/>
      <sheetName val="(54ACORDADO)"/>
      <sheetName val="(54I)"/>
      <sheetName val="BASE CONT"/>
      <sheetName val="(BASE I)"/>
      <sheetName val="(BASE ACORDADO)"/>
      <sheetName val="(BASE REVERSADO)"/>
      <sheetName val="RECICLAJE C"/>
      <sheetName val="(RECICLAJE I)"/>
      <sheetName val="(RECICLAJE REVERSADO)"/>
      <sheetName val=" CEMENTO C"/>
      <sheetName val="(CEMENTO I)"/>
      <sheetName val="(CEMENTO REVERSADO)"/>
      <sheetName val="58C"/>
      <sheetName val="(58 REVERSADO)"/>
      <sheetName val="(58I)"/>
      <sheetName val="CERCAS C"/>
      <sheetName val="(CERCAS I)"/>
      <sheetName val="(CERCAS ACORDADO)"/>
      <sheetName val="TALA V C"/>
      <sheetName val="(TALA V I)"/>
      <sheetName val="(TALA V REVERSADO)"/>
      <sheetName val="TALA IV C"/>
      <sheetName val="(TALA IV I)"/>
      <sheetName val="(TALA IV REVERSADO)"/>
      <sheetName val="TALA III C"/>
      <sheetName val="(TALA III I)"/>
      <sheetName val="(TALA III REVERSADO)"/>
      <sheetName val="(TALA II C)"/>
      <sheetName val="(TALA II I)"/>
      <sheetName val="TALA II REVERSADO"/>
      <sheetName val="TALA I C"/>
      <sheetName val="(TALA I I)"/>
      <sheetName val="(TALA I REVERSADO)"/>
      <sheetName val="65C"/>
      <sheetName val="(65REVERSADO)"/>
      <sheetName val="(65I)"/>
      <sheetName val="66C"/>
      <sheetName val="(66REVERSADO)"/>
      <sheetName val="(66I)"/>
      <sheetName val="67C"/>
      <sheetName val="(67REVERSADO)"/>
      <sheetName val="(67I)"/>
      <sheetName val="68C"/>
      <sheetName val="(68REVERSADO)"/>
      <sheetName val="(68I)"/>
      <sheetName val="(70C)"/>
      <sheetName val="(70 ACORDADO)"/>
      <sheetName val="TRANS C"/>
      <sheetName val="(TRANS I)"/>
      <sheetName val="(TRANS ACORDADO)"/>
      <sheetName val="MDC2 PARCHEO (ACORDADO)"/>
      <sheetName val="PROPUESTA"/>
      <sheetName val="Ind_SerieEmpcanasta gral y obra"/>
      <sheetName val="COMPARACION"/>
      <sheetName val="ACTA DE FIJACION"/>
      <sheetName val="REVERSION"/>
      <sheetName val=" BOLSACRETOS C"/>
      <sheetName val=" BOLSACRETOS I"/>
      <sheetName val=" BOLSACRETOS (ACORDADO)"/>
      <sheetName val="ACERO DE PRE-ESFUERZO C"/>
      <sheetName val="ACERO DE PRE-ESFUERZO I"/>
      <sheetName val="ACERO DE PRE-ESFUERZO (ACORDAD)"/>
      <sheetName val="DRENES HORIZONTALES &gt;10ML C"/>
      <sheetName val="DRENES HORIZONTALES &gt;10ML I"/>
      <sheetName val="DRENES HORIZONTALES &gt;10ML (ACO)"/>
      <sheetName val="SELLOS JUNTAS PARA PUENTE C"/>
      <sheetName val="SELLOS JUNTAS PARA PUENTE I"/>
      <sheetName val="SELLOS JUNTAS PARA PUENTE I (A)"/>
      <sheetName val="JUNTAS ELASTOMERICAS A=30CM C"/>
      <sheetName val="JUNTAS ELASTOMERICAS A=30CM I"/>
      <sheetName val="JUNTAS ELASTOMERICAS A=30CM (A)"/>
      <sheetName val=" GEOMENBRANA C"/>
      <sheetName val=" GEOMENBRANA I"/>
      <sheetName val=" GEOMENBRANA (ACORDADO)"/>
      <sheetName val="APOYOS DE NEOPRENO C"/>
      <sheetName val="APOYOS DE NEOPRENO I"/>
      <sheetName val="APOYOS DE NEOPRENO (ACORDADO)"/>
      <sheetName val="ACERO DE A-588"/>
      <sheetName val="CUNETAS REVESTIDAS"/>
      <sheetName val="RELLENO PARA CUNETAS"/>
      <sheetName val="ESTADO FINANCIERO"/>
      <sheetName val="PREA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">
          <cell r="A2" t="str">
            <v>MINISTERIO DE TRANSPORTE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0 ActaModif"/>
      <sheetName val="FIJACION"/>
      <sheetName val="COMPARACION"/>
      <sheetName val="REVERSION"/>
      <sheetName val="NP-26 GEOMALLA BIAXIAL"/>
      <sheetName val="NP-27 NEW JERSEY"/>
      <sheetName val="NP-28 JUNTA T40"/>
      <sheetName val="NP-29 MICROPILOTES"/>
      <sheetName val="NP-30 SN_BANDERA"/>
      <sheetName val="NP-31 GEOT_PROTECCION"/>
      <sheetName val="NP-32 ANCL_PASIVO 1 PLG"/>
      <sheetName val="Ind_SerieEmpcanasta gral y obra"/>
      <sheetName val="1.ZANJAS SUELO CEMENTO"/>
      <sheetName val="1.ZANJAS SUELO CEMENTO (2)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PUESTA PRESENTADA"/>
      <sheetName val="comparprecunit"/>
      <sheetName val="reversión"/>
      <sheetName val="Hoja1"/>
      <sheetName val="(1)"/>
      <sheetName val="(2)"/>
      <sheetName val="(3)"/>
      <sheetName val="PROPUESTA"/>
    </sheetNames>
    <sheetDataSet>
      <sheetData sheetId="0"/>
      <sheetData sheetId="1">
        <row r="13">
          <cell r="A13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TABLA_DE_CONTENIDO"/>
      <sheetName val="GENERALIDADES_"/>
      <sheetName val="CUMPLIMIENTO_%_"/>
      <sheetName val="CUMPLIMIENTO_%__(2)"/>
      <sheetName val="ESTADO_RED"/>
      <sheetName val="SEMAFORO_45A-04"/>
      <sheetName val="SEMAFORO_55-01"/>
      <sheetName val="SEMAFORO_56-07"/>
      <sheetName val="SEMAFORO_55CN-03"/>
      <sheetName val="SEMAFORO_55CN-01"/>
      <sheetName val="TORTA_EST__VIAS_"/>
      <sheetName val="EST__VIAS"/>
      <sheetName val="MAPA_EST_RED"/>
      <sheetName val="NECESIDAD_VIA"/>
      <sheetName val="Necesidades_cr_"/>
      <sheetName val="SITIOS_CRITICOS"/>
      <sheetName val="CANT_OBRA_B-C"/>
      <sheetName val="CANT_OBRA_C-G"/>
      <sheetName val="CANT_OBRA_Z-U"/>
      <sheetName val="CANT_OBRA_B-T"/>
      <sheetName val="INF__EMERGENCIAS"/>
      <sheetName val="NEC_PTES"/>
      <sheetName val="NEC__PONTONES"/>
      <sheetName val="señal_v"/>
      <sheetName val="señal_H"/>
      <sheetName val="ACCIDENTALIDAD_junio"/>
      <sheetName val="ACCIDENTALIDAD_julio"/>
      <sheetName val="ACCIDENTALIDAD_agosto"/>
      <sheetName val="ACCIDENT_"/>
      <sheetName val="DEFENSA_VIAS"/>
      <sheetName val="ZONAS_RETIRO"/>
      <sheetName val="CUANTI_AMV"/>
      <sheetName val="CUALI_AMV"/>
      <sheetName val="CUANTI_MICRO"/>
      <sheetName val="CUALI_MICRO"/>
      <sheetName val="ACC_EJECUTIVO"/>
      <sheetName val="RESUM_ACCID"/>
      <sheetName val="RESUM_ACCID_(2)"/>
      <sheetName val="BD100-45-P1"/>
      <sheetName val="BASE DATOS"/>
      <sheetName val="5.2"/>
      <sheetName val="CUMPLIMIENTO"/>
      <sheetName val="RECURSOS"/>
      <sheetName val="MATERIALES"/>
      <sheetName val="PROPUESTA PRESENTADA"/>
      <sheetName val="BDATOS"/>
      <sheetName val="BASES"/>
      <sheetName val="DATOS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8">
          <cell r="E8" t="str">
            <v>BIMESTRE: JULIO - AGOSTO DE 2001</v>
          </cell>
        </row>
      </sheetData>
      <sheetData sheetId="3">
        <row r="2">
          <cell r="A2" t="str">
            <v>REGIONAL CUNDINAMARCA</v>
          </cell>
        </row>
      </sheetData>
      <sheetData sheetId="4"/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HOJA DE RUTA ACTA No 11"/>
      <sheetName val="ACTA No 12"/>
      <sheetName val="PREACTA"/>
      <sheetName val="ACTA DE MODIFICACION No"/>
      <sheetName val="RESUMEN"/>
      <sheetName val="ESTADO FINANCIERO"/>
      <sheetName val="FIRMANTES"/>
      <sheetName val="PRESENTACION"/>
      <sheetName val="ESTADO RED"/>
      <sheetName val="CARRETERAS"/>
      <sheetName val="GENERALIDADES "/>
      <sheetName val="MATERIALES"/>
    </sheetNames>
    <sheetDataSet>
      <sheetData sheetId="0" refreshError="1"/>
      <sheetData sheetId="1" refreshError="1"/>
      <sheetData sheetId="2">
        <row r="3">
          <cell r="H3" t="str">
            <v>SANTANDER</v>
          </cell>
        </row>
      </sheetData>
      <sheetData sheetId="3" refreshError="1"/>
      <sheetData sheetId="4"/>
      <sheetData sheetId="5">
        <row r="11">
          <cell r="F11" t="str">
            <v>EXPLANACION</v>
          </cell>
        </row>
      </sheetData>
      <sheetData sheetId="6" refreshError="1"/>
      <sheetData sheetId="7" refreshError="1"/>
      <sheetData sheetId="8">
        <row r="25">
          <cell r="A25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  <sheetName val="Lista_Eq"/>
      <sheetName val="Frentes"/>
      <sheetName val="Activ"/>
      <sheetName val="Act."/>
      <sheetName val="PUC"/>
      <sheetName val="Proveedores"/>
      <sheetName val="SRN-005"/>
      <sheetName val="PRESUPUESTO LICITACIÓN SRN 001"/>
      <sheetName val="Listado"/>
      <sheetName val="Facturacion M&amp;E Marzo"/>
      <sheetName val="Disponibilidad"/>
      <sheetName val="Utilizacion"/>
      <sheetName val="DISTRITOS"/>
      <sheetName val="Anexo 1"/>
      <sheetName val="Anexo 2"/>
      <sheetName val="Anexo 3"/>
      <sheetName val="Anexo 4"/>
      <sheetName val="RESUMEN MES MARZO"/>
      <sheetName val="Act_"/>
      <sheetName val="PRESUPUESTO_LICITACIÓN_SRN_001"/>
      <sheetName val="Facturacion_M&amp;E_Marzo"/>
      <sheetName val="Anexo_1"/>
      <sheetName val="Anexo_2"/>
      <sheetName val="Anexo_3"/>
      <sheetName val="Anexo_4"/>
      <sheetName val="Resumen_Alternativas"/>
      <sheetName val="Hoja6"/>
      <sheetName val="EQUIPOS"/>
      <sheetName val="M.O."/>
      <sheetName val="MATERIALES"/>
    </sheetNames>
    <sheetDataSet>
      <sheetData sheetId="0" refreshError="1">
        <row r="10">
          <cell r="M10">
            <v>1302940.7487084535</v>
          </cell>
        </row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3">
          <cell r="B3">
            <v>3</v>
          </cell>
        </row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3">
          <cell r="B3">
            <v>3</v>
          </cell>
        </row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M10">
            <v>1302940.7487084535</v>
          </cell>
        </row>
      </sheetData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ACTA DE OBRA"/>
      <sheetName val="presupuesto"/>
      <sheetName val="INDICE"/>
      <sheetName val="ESTADO RED"/>
      <sheetName val="CARRETERAS"/>
      <sheetName val="GENERALIDADES "/>
      <sheetName val="FORMULA"/>
      <sheetName val="ESTADO FINANCIERO"/>
      <sheetName val="PREACT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PR 1"/>
      <sheetName val="necesidades_de_la_via"/>
      <sheetName val="5+440_RÍO_SECO"/>
      <sheetName val="21+100_"/>
      <sheetName val="31+250_PTE__GUADUALITO"/>
      <sheetName val="31+580_P__GUADUAL"/>
      <sheetName val="34+_270"/>
      <sheetName val="36+380_"/>
      <sheetName val="64+110_P__GUADUAS_II"/>
      <sheetName val="64+180_P__GUADUAS_I"/>
      <sheetName val="64+820_P__QUEBRADA_CUNE"/>
      <sheetName val="66+480_PUENTE_VARIANTE_2"/>
      <sheetName val="FRESADO_68_-_114"/>
      <sheetName val="68+370_P__FÉRREO_"/>
      <sheetName val="68+520_P__GUANÁBANO"/>
      <sheetName val="69+030_RÍO_VILLETA"/>
      <sheetName val="Villeta_centro"/>
      <sheetName val="72+1020_LA_MARÍA"/>
      <sheetName val="78+600_EL_ZANCUDO"/>
      <sheetName val="81+650_LA_HONDA"/>
      <sheetName val="83+230_QDA__NAUTATÁ"/>
      <sheetName val="86+220_PUENTE_AZUL"/>
      <sheetName val="86+600_PUENTE_HILA"/>
      <sheetName val="101+800_QDA__EL_CHUSCAL"/>
      <sheetName val="FRESADO_68-_114"/>
      <sheetName val="REMOCION_DERRUMBES_68_-__114"/>
      <sheetName val="DESARENADORES_68-114_"/>
      <sheetName val="Lineas_de_demarcacion_68-11_"/>
      <sheetName val="REALCE_BORDILLOS_68-114_"/>
      <sheetName val="PARCHEO_68-114_"/>
      <sheetName val="DESTAPE_ALCANTARILLAS_000-1_"/>
      <sheetName val="tachas_reflectivas_68-114_"/>
      <sheetName val="pinmuros_68+114_"/>
      <sheetName val="CUNETAS_68-114_"/>
      <sheetName val="DEFENSAS_METALICAS_68-114_"/>
      <sheetName val="REFERENCICACIÓN_VIAL_"/>
      <sheetName val="REMOCION_DERRUMBES"/>
      <sheetName val="DESARENADORES_68-114"/>
      <sheetName val="REALCE_BORDILLOS_68-114"/>
      <sheetName val="PARCHEO_68-114"/>
      <sheetName val="DESTAPE_ALCANTARILLAS_000-114"/>
      <sheetName val="pinmuros_68+114"/>
      <sheetName val="CUNETAS_68-114"/>
      <sheetName val="SEÑALI_68-114"/>
      <sheetName val="DEFENSAS_METALICAS_68-114"/>
      <sheetName val="REFERENCICACIÓN_VIAL"/>
      <sheetName val="juntas_de_expansion"/>
      <sheetName val="Hincado_de_rieles"/>
      <sheetName val="Pintura_muros_y_cabezotes"/>
      <sheetName val="Suministro_e_instal_rieles"/>
      <sheetName val="Drenes_PVC_4_pulg"/>
      <sheetName val="SELLOS_PARA_JUNTAS_DE_PUENTES"/>
      <sheetName val="Sello_de_grietas_de_concreto"/>
      <sheetName val="Tubería_PVC_4_pulg"/>
      <sheetName val="SECCIÓN_FINAL"/>
      <sheetName val="DEFENSA_METÁLICA"/>
      <sheetName val="Postes_de_kilometraje"/>
      <sheetName val="REMOCIÓN_DE_DERRUMBES"/>
      <sheetName val="Mant__Postes_de_kilometraje"/>
      <sheetName val="PU_201,3_"/>
      <sheetName val="PU211P_1"/>
      <sheetName val="PU211P_2"/>
      <sheetName val="201p_3"/>
      <sheetName val="PU_320,1"/>
      <sheetName val="PU330,1_"/>
      <sheetName val="PU450P,1_(tapada_huecos)"/>
      <sheetName val="PU460_Parcheo"/>
      <sheetName val="PU600P_1_"/>
      <sheetName val="PU610,1_"/>
      <sheetName val="PU630,4_"/>
      <sheetName val="PU630,4_acelerante"/>
      <sheetName val="PU630,4_D"/>
      <sheetName val="PU630,6_especial_por_M3"/>
      <sheetName val="PU630,6_Simple"/>
      <sheetName val="PU630,6_especial_por_M2"/>
      <sheetName val="PU630,6_F"/>
      <sheetName val="PU630P_7_"/>
      <sheetName val="PU630,7_"/>
      <sheetName val="PU630,7_Especial"/>
      <sheetName val="PU630P_15"/>
      <sheetName val="PU660_2"/>
      <sheetName val="670_3"/>
      <sheetName val="PU673_"/>
      <sheetName val="PU681,1_Esp__Q_Caliche"/>
      <sheetName val="PU830P_1_"/>
      <sheetName val="Itemes Renovación"/>
      <sheetName val="CONT_ADI"/>
    </sheetNames>
    <sheetDataSet>
      <sheetData sheetId="0"/>
      <sheetData sheetId="1">
        <row r="4">
          <cell r="C4">
            <v>200.1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  <sheetName val="220.1"/>
      <sheetName val="33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320.1"/>
      <sheetName val="330.2"/>
      <sheetName val="70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P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PROPUESTA"/>
      <sheetName val="COMPARACION"/>
      <sheetName val="ACTA DE FIJACION"/>
      <sheetName val="FORMATO 15"/>
      <sheetName val="RemocionAlcantarillas"/>
      <sheetName val="MaterialMejoramiento"/>
      <sheetName val="TuberiaConcretoReforzado"/>
      <sheetName val="FabricaciónTubo"/>
      <sheetName val="TrasladoCercas"/>
      <sheetName val="MDC-2 Bacheo"/>
      <sheetName val="PREACTA"/>
      <sheetName val="items"/>
    </sheetNames>
    <sheetDataSet>
      <sheetData sheetId="0">
        <row r="59">
          <cell r="A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  <sheetName val="BASE DATOS"/>
      <sheetName val="TARIF2002"/>
    </sheetNames>
    <sheetDataSet>
      <sheetData sheetId="0" refreshError="1"/>
      <sheetData sheetId="1">
        <row r="4">
          <cell r="C4">
            <v>200.1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DATOS"/>
      <sheetName val="ACARREO"/>
      <sheetName val="CRA.MOD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OFICIAL"/>
      <sheetName val="Indice"/>
      <sheetName val="Equipo"/>
      <sheetName val="Materiales"/>
      <sheetName val="Otros"/>
      <sheetName val="201.7"/>
      <sheetName val="201.8"/>
      <sheetName val="201.15"/>
      <sheetName val="201.21"/>
      <sheetName val="201P.1"/>
      <sheetName val="210.1.1"/>
      <sheetName val="210.1.2"/>
      <sheetName val="210.2.2"/>
      <sheetName val="210.2.4"/>
      <sheetName val="211.1"/>
      <sheetName val="220.1"/>
      <sheetName val="220P.1"/>
      <sheetName val="221.1"/>
      <sheetName val="221.2"/>
      <sheetName val="225P.1"/>
      <sheetName val="230.1"/>
      <sheetName val="230.2"/>
      <sheetName val="231.1"/>
      <sheetName val="232.1"/>
      <sheetName val="310.1"/>
      <sheetName val="311.1"/>
      <sheetName val="311.1 (74CR02)"/>
      <sheetName val="311P.1"/>
      <sheetName val="320.1"/>
      <sheetName val="320.2"/>
      <sheetName val="330.1"/>
      <sheetName val="330.1 (7801)"/>
      <sheetName val="330.1 (7403)"/>
      <sheetName val="330.2"/>
      <sheetName val="330.2 (7801)"/>
      <sheetName val="330.2 (7403)"/>
      <sheetName val="330P.1"/>
      <sheetName val="410.1"/>
      <sheetName val="420.1"/>
      <sheetName val="420.2"/>
      <sheetName val="421.1"/>
      <sheetName val="421.2"/>
      <sheetName val="421.3"/>
      <sheetName val="421.4"/>
      <sheetName val="450P.2 2103"/>
      <sheetName val="450P.2 74CR02"/>
      <sheetName val="450P.2 9003"/>
      <sheetName val="450P.2 9004"/>
      <sheetName val="450P.2 7801"/>
      <sheetName val="450P.2 7403"/>
      <sheetName val="450P.2 2513"/>
      <sheetName val="450P.2 2514"/>
      <sheetName val="450P.9 2103"/>
      <sheetName val="450P.9 74CR02"/>
      <sheetName val="450P.9 9003"/>
      <sheetName val="450P.9 9004"/>
      <sheetName val="450P.9 7801"/>
      <sheetName val="450P.9 7403"/>
      <sheetName val="450P.9 2513"/>
      <sheetName val="450P.9 2514"/>
      <sheetName val="460.1"/>
      <sheetName val="460P.1"/>
      <sheetName val="464.1"/>
      <sheetName val="465.1"/>
      <sheetName val="466.1"/>
      <sheetName val="466.2"/>
      <sheetName val="500.1"/>
      <sheetName val="600.1"/>
      <sheetName val="600.4"/>
      <sheetName val="600.5"/>
      <sheetName val="600P.1"/>
      <sheetName val="610.1"/>
      <sheetName val="610.2"/>
      <sheetName val="610P.1"/>
      <sheetName val="610P2.1"/>
      <sheetName val="621.1 B"/>
      <sheetName val="621.1"/>
      <sheetName val="621P.1"/>
      <sheetName val="623.1"/>
      <sheetName val="630.1"/>
      <sheetName val="630.2"/>
      <sheetName val="630.3"/>
      <sheetName val="630.4"/>
      <sheetName val="630.4 (7403)"/>
      <sheetName val="630.4 (7801)"/>
      <sheetName val="630.5"/>
      <sheetName val="630.6"/>
      <sheetName val="630.6 (7403)"/>
      <sheetName val="630.6 (7801)"/>
      <sheetName val="630.7"/>
      <sheetName val="632.1"/>
      <sheetName val="632P.1"/>
      <sheetName val="632P2.1"/>
      <sheetName val="633P.1"/>
      <sheetName val="633P2.1"/>
      <sheetName val="633P3.1"/>
      <sheetName val="640.1"/>
      <sheetName val="642.1"/>
      <sheetName val="642P2.1"/>
      <sheetName val="650.4"/>
      <sheetName val="651P.1"/>
      <sheetName val="651P2.1"/>
      <sheetName val="661.1"/>
      <sheetName val="670.2"/>
      <sheetName val="671.1"/>
      <sheetName val="671.1 (7403)"/>
      <sheetName val="671.1 (7801)"/>
      <sheetName val="672.1"/>
      <sheetName val="673.1"/>
      <sheetName val="673.2"/>
      <sheetName val="673.3"/>
      <sheetName val="674P.1"/>
      <sheetName val="675P.1"/>
      <sheetName val="680P.1"/>
      <sheetName val="681.1"/>
      <sheetName val="681P.1"/>
      <sheetName val="681P2.1"/>
      <sheetName val="684P.1"/>
      <sheetName val="692P.1"/>
      <sheetName val="693P.1"/>
      <sheetName val="694P.1"/>
      <sheetName val="695P.1"/>
      <sheetName val="700.1"/>
      <sheetName val="700.2"/>
      <sheetName val="700.3"/>
      <sheetName val="700.4"/>
      <sheetName val="700P5.1"/>
      <sheetName val="700P6.1"/>
      <sheetName val="701.1"/>
      <sheetName val="710.1"/>
      <sheetName val="710.2"/>
      <sheetName val="720.1"/>
      <sheetName val="730.1"/>
      <sheetName val="730.2"/>
      <sheetName val="740.1"/>
      <sheetName val="812P.1"/>
      <sheetName val="800.1"/>
      <sheetName val="801.6"/>
      <sheetName val="810.1"/>
      <sheetName val="810.2"/>
      <sheetName val="810.3"/>
      <sheetName val="900.2"/>
      <sheetName val="900.3"/>
      <sheetName val="Mortero Sello Grietas O. D."/>
      <sheetName val="SELLO DE GRIETAS"/>
      <sheetName val="PINTURA ACABADO"/>
      <sheetName val="items"/>
    </sheetNames>
    <sheetDataSet>
      <sheetData sheetId="0" refreshError="1"/>
      <sheetData sheetId="1"/>
      <sheetData sheetId="2"/>
      <sheetData sheetId="3"/>
      <sheetData sheetId="4">
        <row r="1">
          <cell r="C1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DO"/>
      <sheetName val="COSTO KM K0-K10"/>
      <sheetName val="COSTO KM K22-K37"/>
      <sheetName val="PC PR12+500"/>
      <sheetName val="PC PR19+560"/>
      <sheetName val="PC PR22+090"/>
      <sheetName val="PC PR23+650"/>
      <sheetName val="PC PR24+470"/>
      <sheetName val="PC PR25+310"/>
      <sheetName val="PC PR28+200"/>
      <sheetName val="PC PR29+665"/>
      <sheetName val="PC PR29+830"/>
      <sheetName val="VIRGEN"/>
      <sheetName val="GOBERNACIÓN"/>
      <sheetName val="K8+500 - TNM"/>
      <sheetName val="K9+150 - TNM"/>
      <sheetName val="K23+620 - TNM"/>
      <sheetName val="K24+750 - TNM"/>
      <sheetName val="K26+050 - TNM"/>
      <sheetName val="K30+100 - TNM"/>
      <sheetName val="K31+000 - TNM"/>
      <sheetName val="K34+050 - TNM"/>
      <sheetName val="PR85-PR97"/>
      <sheetName val="BASE DATOS"/>
      <sheetName val="COTIZACIONE"/>
      <sheetName val="ACTA DE FIJACION"/>
      <sheetName val="COMPARACION"/>
      <sheetName val="FORMATO 15"/>
      <sheetName val="Ind_SerieEmpcanasta gral"/>
      <sheetName val="COTIZACIONES"/>
      <sheetName val="LISTADO"/>
      <sheetName val="1.ZANJAS SUELO CEMENTO M3"/>
      <sheetName val="NP-32"/>
      <sheetName val="NP- 33"/>
      <sheetName val="NP-6"/>
      <sheetName val="5.DRENES "/>
      <sheetName val="NP-7"/>
      <sheetName val="NP-8"/>
      <sheetName val="NP-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23"/>
      <sheetName val="NP-24"/>
      <sheetName val="NP-25"/>
      <sheetName val="REUBICACION DE CERCAS"/>
      <sheetName val="TUBERIA DE CCTO"/>
      <sheetName val="NP-26"/>
      <sheetName val="NP-27"/>
      <sheetName val="NP-28"/>
      <sheetName val="NP-29"/>
      <sheetName val="NP-30"/>
      <sheetName val="NP-31"/>
      <sheetName val="NP-33"/>
      <sheetName val="REMOCIÓN DE ALCANTARILLAS"/>
      <sheetName val="PROCESAMIENTO MAT MEJORAMIENTO"/>
      <sheetName val="TUBO CCTO REFORZADO"/>
      <sheetName val="Hoja1"/>
      <sheetName val="desmo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8">
          <cell r="K68">
            <v>28647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PROGR_"/>
      <sheetName val="ACTA DE MODIFICACION  (2)"/>
      <sheetName val="VrEqpBasica"/>
      <sheetName val="PROGR_1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>
        <row r="6">
          <cell r="A6" t="str">
            <v>UNIDAD ADMINISTRATIVA ESPECIAL DE LA AERONAUTICA CIVIL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PRESUPUESTO ESTADIO 1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pmt 1"/>
      <sheetName val="pmt 2"/>
      <sheetName val="pmt 3"/>
      <sheetName val="pmt 4"/>
      <sheetName val="Hoja2"/>
    </sheetNames>
    <sheetDataSet>
      <sheetData sheetId="0">
        <row r="33">
          <cell r="H33">
            <v>275419661</v>
          </cell>
        </row>
      </sheetData>
      <sheetData sheetId="1">
        <row r="33">
          <cell r="H33">
            <v>85336840</v>
          </cell>
        </row>
      </sheetData>
      <sheetData sheetId="2">
        <row r="33">
          <cell r="H33">
            <v>15885220</v>
          </cell>
        </row>
      </sheetData>
      <sheetData sheetId="3">
        <row r="33">
          <cell r="H33">
            <v>51262000</v>
          </cell>
        </row>
      </sheetData>
      <sheetData sheetId="4">
        <row r="33">
          <cell r="H33">
            <v>122935601</v>
          </cell>
        </row>
      </sheetData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 paga"/>
      <sheetName val="PMA 1"/>
      <sheetName val="PMA 2"/>
      <sheetName val="PMA 3"/>
      <sheetName val="PMA 4"/>
    </sheetNames>
    <sheetDataSet>
      <sheetData sheetId="0"/>
      <sheetData sheetId="1"/>
      <sheetData sheetId="2">
        <row r="36">
          <cell r="H36">
            <v>43944100</v>
          </cell>
        </row>
      </sheetData>
      <sheetData sheetId="3">
        <row r="36">
          <cell r="H36">
            <v>19879100</v>
          </cell>
        </row>
      </sheetData>
      <sheetData sheetId="4">
        <row r="36">
          <cell r="H36">
            <v>33952050</v>
          </cell>
        </row>
      </sheetData>
      <sheetData sheetId="5">
        <row r="36">
          <cell r="H36">
            <v>75387050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</sheetData>
      <sheetData sheetId="4" refreshError="1">
        <row r="6"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  <row r="155">
          <cell r="D155">
            <v>75000</v>
          </cell>
        </row>
      </sheetData>
      <sheetData sheetId="5" refreshError="1">
        <row r="4">
          <cell r="C4" t="str">
            <v>MATERIALES</v>
          </cell>
        </row>
        <row r="5"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</sheetData>
      <sheetData sheetId="6" refreshError="1">
        <row r="1">
          <cell r="A1" t="str">
            <v xml:space="preserve">INSTITUTO NACIONAL DE VÍAS
DIRECCIÓN TÉCNICA </v>
          </cell>
        </row>
        <row r="2">
          <cell r="A2" t="str">
            <v>TRANSPORTE</v>
          </cell>
        </row>
        <row r="6">
          <cell r="A6" t="str">
            <v>T0010031</v>
          </cell>
          <cell r="B6" t="str">
            <v>m3k</v>
          </cell>
          <cell r="C6" t="str">
            <v>Transporte de Material de Remoción</v>
          </cell>
          <cell r="D6">
            <v>991.36869750772871</v>
          </cell>
        </row>
        <row r="7">
          <cell r="A7" t="str">
            <v>T0010234</v>
          </cell>
          <cell r="B7" t="str">
            <v>m3k</v>
          </cell>
          <cell r="C7" t="str">
            <v xml:space="preserve">Transporte de Mezcla Abierta en Frio MAF-38 </v>
          </cell>
          <cell r="D7">
            <v>991.36869750772871</v>
          </cell>
        </row>
        <row r="8">
          <cell r="A8" t="str">
            <v>T0010272</v>
          </cell>
          <cell r="B8" t="str">
            <v>m3k</v>
          </cell>
          <cell r="C8" t="str">
            <v>Transporte de Mezcla densa en Caliente MDC-25</v>
          </cell>
          <cell r="D8">
            <v>991.36869750772871</v>
          </cell>
        </row>
        <row r="9">
          <cell r="A9" t="str">
            <v>T0010002</v>
          </cell>
          <cell r="B9" t="str">
            <v>tkm</v>
          </cell>
          <cell r="C9" t="str">
            <v>Transporte de agregado</v>
          </cell>
          <cell r="D9">
            <v>991.36869750772871</v>
          </cell>
        </row>
        <row r="10">
          <cell r="A10" t="str">
            <v>T0010400</v>
          </cell>
          <cell r="B10" t="str">
            <v>m3k</v>
          </cell>
          <cell r="C10" t="str">
            <v>Transporte de agregado pétreo</v>
          </cell>
          <cell r="D10">
            <v>991.36869750772871</v>
          </cell>
        </row>
        <row r="11">
          <cell r="A11" t="str">
            <v>T0010170</v>
          </cell>
          <cell r="B11" t="str">
            <v>m3k</v>
          </cell>
          <cell r="C11" t="str">
            <v>Transporte de agregado tipo LA-1</v>
          </cell>
          <cell r="D11">
            <v>991.36869750772871</v>
          </cell>
        </row>
        <row r="12">
          <cell r="A12" t="str">
            <v>T0010180</v>
          </cell>
          <cell r="B12" t="str">
            <v>m3k</v>
          </cell>
          <cell r="C12" t="str">
            <v>Transporte de agregado tipo LA-2</v>
          </cell>
          <cell r="D12">
            <v>991.36869750772871</v>
          </cell>
        </row>
        <row r="13">
          <cell r="A13" t="str">
            <v>T0010190</v>
          </cell>
          <cell r="B13" t="str">
            <v>m3k</v>
          </cell>
          <cell r="C13" t="str">
            <v>Transporte de agregado tipo LA-3</v>
          </cell>
          <cell r="D13">
            <v>991.36869750772871</v>
          </cell>
        </row>
        <row r="14">
          <cell r="A14" t="str">
            <v>T0010200</v>
          </cell>
          <cell r="B14" t="str">
            <v>m3k</v>
          </cell>
          <cell r="C14" t="str">
            <v>Transporte de agregado tipo LA-4</v>
          </cell>
          <cell r="D14">
            <v>991.36869750772871</v>
          </cell>
        </row>
        <row r="15">
          <cell r="A15" t="str">
            <v>T0010110</v>
          </cell>
          <cell r="B15" t="str">
            <v>m3k</v>
          </cell>
          <cell r="C15" t="str">
            <v>Transporte de agregados pétreos</v>
          </cell>
          <cell r="D15">
            <v>991.36869750772871</v>
          </cell>
        </row>
        <row r="16">
          <cell r="A16" t="str">
            <v>T0010003</v>
          </cell>
          <cell r="B16" t="str">
            <v>m3k</v>
          </cell>
          <cell r="C16" t="str">
            <v>Transporte de Arena</v>
          </cell>
          <cell r="D16">
            <v>991.36869750772871</v>
          </cell>
        </row>
        <row r="17">
          <cell r="A17" t="str">
            <v>T0010004</v>
          </cell>
          <cell r="B17" t="str">
            <v>m3k</v>
          </cell>
          <cell r="C17" t="str">
            <v>Transporte de arena</v>
          </cell>
          <cell r="D17">
            <v>991.36869750772871</v>
          </cell>
        </row>
        <row r="18">
          <cell r="A18" t="str">
            <v>T0010005</v>
          </cell>
          <cell r="B18" t="str">
            <v>m3k</v>
          </cell>
          <cell r="C18" t="str">
            <v>Transporte de arena lavada</v>
          </cell>
          <cell r="D18">
            <v>991.36869750772871</v>
          </cell>
        </row>
        <row r="19">
          <cell r="A19" t="str">
            <v>T0010007</v>
          </cell>
          <cell r="B19" t="str">
            <v>m3k</v>
          </cell>
          <cell r="C19" t="str">
            <v>Transporte de base</v>
          </cell>
          <cell r="D19">
            <v>991.36869750772871</v>
          </cell>
        </row>
        <row r="20">
          <cell r="A20" t="str">
            <v>T0015011</v>
          </cell>
          <cell r="B20" t="str">
            <v>m3k</v>
          </cell>
          <cell r="C20" t="str">
            <v>Transporte de Cemento Asfaltico Modificado Con Polímeros (Todos Los Tipos)</v>
          </cell>
          <cell r="D20">
            <v>991.36869750772871</v>
          </cell>
        </row>
        <row r="21">
          <cell r="A21" t="str">
            <v>T0010009</v>
          </cell>
          <cell r="B21" t="str">
            <v>m3k</v>
          </cell>
          <cell r="C21" t="str">
            <v>Transporte de concreto</v>
          </cell>
          <cell r="D21">
            <v>991.36869750772871</v>
          </cell>
        </row>
        <row r="22">
          <cell r="A22" t="str">
            <v>T0010401</v>
          </cell>
          <cell r="B22" t="str">
            <v>m3k</v>
          </cell>
          <cell r="C22" t="str">
            <v xml:space="preserve">Transporte de Concreto </v>
          </cell>
          <cell r="D22">
            <v>991.36869750772871</v>
          </cell>
        </row>
        <row r="23">
          <cell r="A23" t="str">
            <v>T0010019</v>
          </cell>
          <cell r="B23" t="str">
            <v>m3k</v>
          </cell>
          <cell r="C23" t="str">
            <v>Transporte de material crudo</v>
          </cell>
          <cell r="D23">
            <v>991.36869750772871</v>
          </cell>
        </row>
        <row r="24">
          <cell r="A24" t="str">
            <v>T0010033</v>
          </cell>
          <cell r="B24" t="str">
            <v>m3k</v>
          </cell>
          <cell r="C24" t="str">
            <v>Transporte de Material Crudo de Rio</v>
          </cell>
          <cell r="D24">
            <v>991.36869750772871</v>
          </cell>
        </row>
        <row r="25">
          <cell r="A25" t="str">
            <v>T0010010</v>
          </cell>
          <cell r="B25" t="str">
            <v>m3k</v>
          </cell>
          <cell r="C25" t="str">
            <v>Transporte de material de afirmado</v>
          </cell>
          <cell r="D25">
            <v>991.36869750772871</v>
          </cell>
        </row>
        <row r="26">
          <cell r="A26" t="str">
            <v>T0010018</v>
          </cell>
          <cell r="B26" t="str">
            <v>m3k</v>
          </cell>
          <cell r="C26" t="str">
            <v>Transporte de material de afirmado</v>
          </cell>
          <cell r="D26">
            <v>991.36869750772871</v>
          </cell>
        </row>
        <row r="27">
          <cell r="A27" t="str">
            <v>T0010089</v>
          </cell>
          <cell r="B27" t="str">
            <v>m3k</v>
          </cell>
          <cell r="C27" t="str">
            <v xml:space="preserve">Transporte de Material de Afirmado de la Zona </v>
          </cell>
          <cell r="D27">
            <v>991.36869750772871</v>
          </cell>
        </row>
        <row r="28">
          <cell r="A28" t="str">
            <v>T0010020</v>
          </cell>
          <cell r="B28" t="str">
            <v>m3k</v>
          </cell>
          <cell r="C28" t="str">
            <v>Transporte de material de base</v>
          </cell>
          <cell r="D28">
            <v>991.36869750772871</v>
          </cell>
        </row>
        <row r="29">
          <cell r="A29" t="str">
            <v>T0010023</v>
          </cell>
          <cell r="B29" t="str">
            <v>m3k</v>
          </cell>
          <cell r="C29" t="str">
            <v>Transporte de Material de Base</v>
          </cell>
          <cell r="D29">
            <v>991.36869750772871</v>
          </cell>
        </row>
        <row r="30">
          <cell r="A30" t="str">
            <v>T0010022</v>
          </cell>
          <cell r="B30" t="str">
            <v>m3k</v>
          </cell>
          <cell r="C30" t="str">
            <v>Transporte de material de cobertura</v>
          </cell>
          <cell r="D30">
            <v>991.36869750772871</v>
          </cell>
        </row>
        <row r="31">
          <cell r="A31" t="str">
            <v>T0010032</v>
          </cell>
          <cell r="B31" t="str">
            <v>m3k</v>
          </cell>
          <cell r="C31" t="str">
            <v>Transporte de material de demolición</v>
          </cell>
          <cell r="D31">
            <v>991.36869750772871</v>
          </cell>
        </row>
        <row r="32">
          <cell r="A32" t="str">
            <v>T0010025</v>
          </cell>
          <cell r="B32" t="str">
            <v>m3k</v>
          </cell>
          <cell r="C32" t="str">
            <v>Transporte de material de excavación</v>
          </cell>
          <cell r="D32">
            <v>991.36869750772871</v>
          </cell>
        </row>
        <row r="33">
          <cell r="A33" t="str">
            <v>T0010035</v>
          </cell>
          <cell r="B33" t="str">
            <v>m3k</v>
          </cell>
          <cell r="C33" t="str">
            <v>Transporte de material de excavación</v>
          </cell>
          <cell r="D33">
            <v>991.36869750772871</v>
          </cell>
        </row>
        <row r="34">
          <cell r="A34" t="str">
            <v>T0010036</v>
          </cell>
          <cell r="B34" t="str">
            <v>m3k</v>
          </cell>
          <cell r="C34" t="str">
            <v>Transporte de material de remoción</v>
          </cell>
          <cell r="D34">
            <v>991.36869750772871</v>
          </cell>
        </row>
        <row r="35">
          <cell r="A35" t="str">
            <v>T0010141</v>
          </cell>
          <cell r="B35" t="str">
            <v>m3k</v>
          </cell>
          <cell r="C35" t="str">
            <v>Transporte de Material de Solado y Atraque Tubería de Concreto Reforzado</v>
          </cell>
          <cell r="D35">
            <v>991.36869750772871</v>
          </cell>
        </row>
        <row r="36">
          <cell r="A36" t="str">
            <v>T0010470</v>
          </cell>
          <cell r="B36" t="str">
            <v>m3k</v>
          </cell>
          <cell r="C36" t="str">
            <v>Transporte de material de soldado y atraque</v>
          </cell>
          <cell r="D36">
            <v>991.36869750772871</v>
          </cell>
        </row>
        <row r="37">
          <cell r="A37" t="str">
            <v>T0010381</v>
          </cell>
          <cell r="B37" t="str">
            <v>m3k</v>
          </cell>
          <cell r="C37" t="str">
            <v xml:space="preserve">Transporte de material de Sub Base CBR=40% </v>
          </cell>
          <cell r="D37">
            <v>991.36869750772871</v>
          </cell>
        </row>
        <row r="38">
          <cell r="A38" t="str">
            <v>T0010030</v>
          </cell>
          <cell r="B38" t="str">
            <v>m3k</v>
          </cell>
          <cell r="C38" t="str">
            <v>Transporte de material de subbase</v>
          </cell>
          <cell r="D38">
            <v>991.36869750772871</v>
          </cell>
        </row>
        <row r="39">
          <cell r="A39" t="str">
            <v>T0010040</v>
          </cell>
          <cell r="B39" t="str">
            <v>tkm</v>
          </cell>
          <cell r="C39" t="str">
            <v>Transporte de material desmontado</v>
          </cell>
          <cell r="D39">
            <v>991.36869750772871</v>
          </cell>
        </row>
        <row r="40">
          <cell r="A40" t="str">
            <v>T0010028</v>
          </cell>
          <cell r="B40" t="str">
            <v>m3k</v>
          </cell>
          <cell r="C40" t="str">
            <v>Transporte de Material Drenante</v>
          </cell>
          <cell r="D40">
            <v>991.36869750772871</v>
          </cell>
        </row>
        <row r="41">
          <cell r="A41" t="str">
            <v>T0010027</v>
          </cell>
          <cell r="B41" t="str">
            <v>m3k</v>
          </cell>
          <cell r="C41" t="str">
            <v>Transporte de material filtrante</v>
          </cell>
          <cell r="D41">
            <v>991.36869750772871</v>
          </cell>
        </row>
        <row r="42">
          <cell r="A42" t="str">
            <v>T0010410</v>
          </cell>
          <cell r="B42" t="str">
            <v>m3k</v>
          </cell>
          <cell r="C42" t="str">
            <v>Transporte de material filtrante</v>
          </cell>
          <cell r="D42">
            <v>991.36869750772871</v>
          </cell>
        </row>
        <row r="43">
          <cell r="A43" t="str">
            <v>T0010006</v>
          </cell>
          <cell r="B43" t="str">
            <v>m3k</v>
          </cell>
          <cell r="C43" t="str">
            <v>Transporte de material fresado</v>
          </cell>
          <cell r="D43">
            <v>991.36869750772871</v>
          </cell>
        </row>
        <row r="44">
          <cell r="A44" t="str">
            <v>T0010390</v>
          </cell>
          <cell r="B44" t="str">
            <v>m3k</v>
          </cell>
          <cell r="C44" t="str">
            <v>Transporte de material fresado</v>
          </cell>
          <cell r="D44">
            <v>991.36869750772871</v>
          </cell>
        </row>
        <row r="45">
          <cell r="A45" t="str">
            <v>T0010039</v>
          </cell>
          <cell r="B45" t="str">
            <v>m3k</v>
          </cell>
          <cell r="C45" t="str">
            <v>Transporte de material granular</v>
          </cell>
          <cell r="D45">
            <v>991.36869750772871</v>
          </cell>
        </row>
        <row r="46">
          <cell r="A46" t="str">
            <v>T0010052</v>
          </cell>
          <cell r="B46" t="str">
            <v>m3k</v>
          </cell>
          <cell r="C46" t="str">
            <v>Transporte de material removido</v>
          </cell>
          <cell r="D46">
            <v>991.36869750772871</v>
          </cell>
        </row>
        <row r="47">
          <cell r="A47" t="str">
            <v>T0010062</v>
          </cell>
          <cell r="B47" t="str">
            <v>m3k</v>
          </cell>
          <cell r="C47" t="str">
            <v>Transporte de material seleccionado para relleno</v>
          </cell>
          <cell r="D47">
            <v>991.36869750772871</v>
          </cell>
        </row>
        <row r="48">
          <cell r="A48" t="str">
            <v>T0010044</v>
          </cell>
          <cell r="B48" t="str">
            <v>tkm</v>
          </cell>
          <cell r="C48" t="str">
            <v>Transporte de material trasladado</v>
          </cell>
          <cell r="D48">
            <v>991.36869750772871</v>
          </cell>
        </row>
        <row r="49">
          <cell r="A49" t="str">
            <v>T0010042</v>
          </cell>
          <cell r="B49" t="str">
            <v>m3k</v>
          </cell>
          <cell r="C49" t="str">
            <v>Transporte de material triturado</v>
          </cell>
          <cell r="D49">
            <v>991.36869750772871</v>
          </cell>
        </row>
        <row r="50">
          <cell r="A50" t="str">
            <v>T0010050</v>
          </cell>
          <cell r="B50" t="str">
            <v>m3k</v>
          </cell>
          <cell r="C50" t="str">
            <v>Transporte de material triturado para filtros</v>
          </cell>
          <cell r="D50">
            <v>991.36869750772871</v>
          </cell>
        </row>
        <row r="51">
          <cell r="A51" t="str">
            <v>T0010100</v>
          </cell>
          <cell r="B51" t="str">
            <v>m3t</v>
          </cell>
          <cell r="C51" t="str">
            <v>Transporte de materiales</v>
          </cell>
          <cell r="D51">
            <v>991.36869750772871</v>
          </cell>
        </row>
        <row r="52">
          <cell r="A52" t="str">
            <v>T0010101</v>
          </cell>
          <cell r="B52" t="str">
            <v>m3t</v>
          </cell>
          <cell r="C52" t="str">
            <v>Transporte de materiales</v>
          </cell>
          <cell r="D52">
            <v>991.36869750772871</v>
          </cell>
        </row>
        <row r="53">
          <cell r="A53" t="str">
            <v>T0010060</v>
          </cell>
          <cell r="B53" t="str">
            <v>m3k</v>
          </cell>
          <cell r="C53" t="str">
            <v>Transporte de materiales seleccionados</v>
          </cell>
          <cell r="D53">
            <v>991.36869750772871</v>
          </cell>
        </row>
        <row r="54">
          <cell r="A54" t="str">
            <v>T0010065</v>
          </cell>
          <cell r="B54" t="str">
            <v>m3k</v>
          </cell>
          <cell r="C54" t="str">
            <v>Transporte de mezcla</v>
          </cell>
          <cell r="D54">
            <v>991.36869750772871</v>
          </cell>
        </row>
        <row r="55">
          <cell r="A55" t="str">
            <v>T0010320</v>
          </cell>
          <cell r="B55" t="str">
            <v>m3k</v>
          </cell>
          <cell r="C55" t="str">
            <v>Transporte de mezcla abierta en caliente MAC-75</v>
          </cell>
          <cell r="D55">
            <v>991.36869750772871</v>
          </cell>
        </row>
        <row r="56">
          <cell r="A56" t="str">
            <v>T0010330</v>
          </cell>
          <cell r="B56" t="str">
            <v>m3k</v>
          </cell>
          <cell r="C56" t="str">
            <v>Transporte de mezcla abierta en caliente MAC-63</v>
          </cell>
          <cell r="D56">
            <v>991.36869750772871</v>
          </cell>
        </row>
        <row r="57">
          <cell r="A57" t="str">
            <v>T0010340</v>
          </cell>
          <cell r="B57" t="str">
            <v>m3k</v>
          </cell>
          <cell r="C57" t="str">
            <v>Transporte de mezcla abierta en caliente MAC-50</v>
          </cell>
          <cell r="D57">
            <v>991.36869750772871</v>
          </cell>
        </row>
        <row r="58">
          <cell r="A58" t="str">
            <v>T0010251</v>
          </cell>
          <cell r="B58" t="str">
            <v>m3k</v>
          </cell>
          <cell r="C58" t="str">
            <v>Transporte de Mezcla Abierta en Frio MAF-25</v>
          </cell>
          <cell r="D58">
            <v>991.36869750772871</v>
          </cell>
        </row>
        <row r="59">
          <cell r="A59" t="str">
            <v>T0010070</v>
          </cell>
          <cell r="B59" t="str">
            <v>m3k</v>
          </cell>
          <cell r="C59" t="str">
            <v>Transporte de mezcla de concreto</v>
          </cell>
          <cell r="D59">
            <v>991.36869750772871</v>
          </cell>
        </row>
        <row r="60">
          <cell r="A60" t="str">
            <v>T0010311</v>
          </cell>
          <cell r="B60" t="str">
            <v>m3k</v>
          </cell>
          <cell r="C60" t="str">
            <v>Transporte de Mezcla Densa en Caliente MDC-10</v>
          </cell>
          <cell r="D60">
            <v>991.36869750772871</v>
          </cell>
        </row>
        <row r="61">
          <cell r="A61" t="str">
            <v>T0010271</v>
          </cell>
          <cell r="B61" t="str">
            <v>m3k</v>
          </cell>
          <cell r="C61" t="str">
            <v>Transporte de Mezcla Densa en Caliente MDC-19</v>
          </cell>
          <cell r="D61">
            <v>991.36869750772871</v>
          </cell>
        </row>
        <row r="62">
          <cell r="A62" t="str">
            <v>T0010281</v>
          </cell>
          <cell r="B62" t="str">
            <v>m3k</v>
          </cell>
          <cell r="C62" t="str">
            <v>Transporte de Mezcla densa En Frio MDF-25</v>
          </cell>
          <cell r="D62">
            <v>991.36869750772871</v>
          </cell>
        </row>
        <row r="63">
          <cell r="A63" t="str">
            <v>T0010300</v>
          </cell>
          <cell r="B63" t="str">
            <v>m3k</v>
          </cell>
          <cell r="C63" t="str">
            <v>Transporte de mezcla densa MDC-0</v>
          </cell>
          <cell r="D63">
            <v>991.36869750772871</v>
          </cell>
        </row>
        <row r="64">
          <cell r="A64" t="str">
            <v>T0010270</v>
          </cell>
          <cell r="B64" t="str">
            <v>m3k</v>
          </cell>
          <cell r="C64" t="str">
            <v>Transporte de mezcla densa MDC-1</v>
          </cell>
          <cell r="D64">
            <v>991.36869750772871</v>
          </cell>
        </row>
        <row r="65">
          <cell r="A65" t="str">
            <v>T0010080</v>
          </cell>
          <cell r="B65" t="str">
            <v>m3k</v>
          </cell>
          <cell r="C65" t="str">
            <v>Transporte de mezcla densa mdc-2</v>
          </cell>
          <cell r="D65">
            <v>991.36869750772871</v>
          </cell>
        </row>
        <row r="66">
          <cell r="A66" t="str">
            <v>T0010280</v>
          </cell>
          <cell r="B66" t="str">
            <v>m3k</v>
          </cell>
          <cell r="C66" t="str">
            <v>Transporte de mezcla densa MDC-2</v>
          </cell>
          <cell r="D66">
            <v>991.36869750772871</v>
          </cell>
        </row>
        <row r="67">
          <cell r="A67" t="str">
            <v>T0010290</v>
          </cell>
          <cell r="B67" t="str">
            <v>m3k</v>
          </cell>
          <cell r="C67" t="str">
            <v>Transporte de mezcla densa MDC-3</v>
          </cell>
          <cell r="D67">
            <v>991.36869750772871</v>
          </cell>
        </row>
        <row r="68">
          <cell r="A68" t="str">
            <v>T0010229</v>
          </cell>
          <cell r="B68" t="str">
            <v>m3k</v>
          </cell>
          <cell r="C68" t="str">
            <v>Transporte de Mezcla Densa para Bacheo</v>
          </cell>
          <cell r="D68">
            <v>991.36869750772871</v>
          </cell>
        </row>
        <row r="69">
          <cell r="A69" t="str">
            <v>T0010370</v>
          </cell>
          <cell r="B69" t="str">
            <v>m3k</v>
          </cell>
          <cell r="C69" t="str">
            <v>Transporte de mezcla discontinua en caliente tipo F-13</v>
          </cell>
          <cell r="D69">
            <v>991.36869750772871</v>
          </cell>
        </row>
        <row r="70">
          <cell r="A70" t="str">
            <v>T0010380</v>
          </cell>
          <cell r="B70" t="str">
            <v>m3k</v>
          </cell>
          <cell r="C70" t="str">
            <v>Transporte de mezcla discontinua en caliente tipo F-10</v>
          </cell>
          <cell r="D70">
            <v>991.36869750772871</v>
          </cell>
        </row>
        <row r="71">
          <cell r="A71" t="str">
            <v>T0010350</v>
          </cell>
          <cell r="B71" t="str">
            <v>m3k</v>
          </cell>
          <cell r="C71" t="str">
            <v>Transporte de mezcla discontinua en caliente tipo M-13</v>
          </cell>
          <cell r="D71">
            <v>991.36869750772871</v>
          </cell>
        </row>
        <row r="72">
          <cell r="A72" t="str">
            <v>T0010360</v>
          </cell>
          <cell r="B72" t="str">
            <v>m3k</v>
          </cell>
          <cell r="C72" t="str">
            <v>Transporte de mezcla discontinua en caliente tipo M-10</v>
          </cell>
          <cell r="D72">
            <v>991.36869750772871</v>
          </cell>
        </row>
        <row r="73">
          <cell r="A73" t="str">
            <v>T0010233</v>
          </cell>
          <cell r="B73" t="str">
            <v>m3k</v>
          </cell>
          <cell r="C73" t="str">
            <v>Transporte de Mezcla en Frio  MAF-19</v>
          </cell>
          <cell r="D73">
            <v>991.36869750772871</v>
          </cell>
        </row>
        <row r="74">
          <cell r="A74" t="str">
            <v>T0010232</v>
          </cell>
          <cell r="B74" t="str">
            <v>m3k</v>
          </cell>
          <cell r="C74" t="str">
            <v>Transporte de Mezcla en Frio DMF-19</v>
          </cell>
          <cell r="D74">
            <v>991.36869750772871</v>
          </cell>
        </row>
        <row r="75">
          <cell r="A75" t="str">
            <v>T0010231</v>
          </cell>
          <cell r="B75" t="str">
            <v>m3k</v>
          </cell>
          <cell r="C75" t="str">
            <v>Transporte de Mezcla en Frio MDF-38</v>
          </cell>
          <cell r="D75">
            <v>991.36869750772871</v>
          </cell>
        </row>
        <row r="76">
          <cell r="A76" t="str">
            <v>T0010310</v>
          </cell>
          <cell r="B76" t="str">
            <v>m3k</v>
          </cell>
          <cell r="C76" t="str">
            <v>Transporte de mezcla gruesa en Caliente MGC</v>
          </cell>
          <cell r="D76">
            <v>991.36869750772871</v>
          </cell>
        </row>
        <row r="77">
          <cell r="A77" t="str">
            <v>T0010240</v>
          </cell>
          <cell r="B77" t="str">
            <v>m3k</v>
          </cell>
          <cell r="C77" t="str">
            <v>Transporte de mezcla MAF-1</v>
          </cell>
          <cell r="D77">
            <v>991.36869750772871</v>
          </cell>
        </row>
        <row r="78">
          <cell r="A78" t="str">
            <v>T0010250</v>
          </cell>
          <cell r="B78" t="str">
            <v>m3k</v>
          </cell>
          <cell r="C78" t="str">
            <v>Transporte de mezcla MAF-2</v>
          </cell>
          <cell r="D78">
            <v>991.36869750772871</v>
          </cell>
        </row>
        <row r="79">
          <cell r="A79" t="str">
            <v>T0010260</v>
          </cell>
          <cell r="B79" t="str">
            <v>m3k</v>
          </cell>
          <cell r="C79" t="str">
            <v>Transporte de mezcla MAF-3</v>
          </cell>
          <cell r="D79">
            <v>991.36869750772871</v>
          </cell>
        </row>
        <row r="80">
          <cell r="A80" t="str">
            <v>T0010210</v>
          </cell>
          <cell r="B80" t="str">
            <v>m3k</v>
          </cell>
          <cell r="C80" t="str">
            <v>Transporte de mezcla MDF-1</v>
          </cell>
          <cell r="D80">
            <v>991.36869750772871</v>
          </cell>
        </row>
        <row r="81">
          <cell r="A81" t="str">
            <v>T0010220</v>
          </cell>
          <cell r="B81" t="str">
            <v>m3k</v>
          </cell>
          <cell r="C81" t="str">
            <v>Transporte de mezcla MDF-2</v>
          </cell>
          <cell r="D81">
            <v>991.36869750772871</v>
          </cell>
        </row>
        <row r="82">
          <cell r="A82" t="str">
            <v>T0010230</v>
          </cell>
          <cell r="B82" t="str">
            <v>m3k</v>
          </cell>
          <cell r="C82" t="str">
            <v>Transporte de mezcla MDF-3</v>
          </cell>
          <cell r="D82">
            <v>991.36869750772871</v>
          </cell>
        </row>
        <row r="83">
          <cell r="A83" t="str">
            <v>T0010211</v>
          </cell>
          <cell r="B83" t="str">
            <v>m3k</v>
          </cell>
          <cell r="C83" t="str">
            <v>Transporte de Mezcla Semi- Densa en Caliente MSC-19</v>
          </cell>
          <cell r="D83">
            <v>991.36869750772871</v>
          </cell>
        </row>
        <row r="84">
          <cell r="A84" t="str">
            <v>T0010090</v>
          </cell>
          <cell r="B84" t="str">
            <v>m3k</v>
          </cell>
          <cell r="C84" t="str">
            <v>Transporte de piedra</v>
          </cell>
          <cell r="D84">
            <v>991.36869750772871</v>
          </cell>
        </row>
        <row r="85">
          <cell r="A85" t="str">
            <v>T0010091</v>
          </cell>
          <cell r="B85" t="str">
            <v>m3k</v>
          </cell>
          <cell r="C85" t="str">
            <v>Transporte de piedra para Ciclópeo</v>
          </cell>
          <cell r="D85">
            <v>991.36869750772871</v>
          </cell>
        </row>
        <row r="86">
          <cell r="A86" t="str">
            <v>T0010092</v>
          </cell>
          <cell r="B86" t="str">
            <v>m3t</v>
          </cell>
          <cell r="C86" t="str">
            <v>Transporte de piedra para ciclópeo</v>
          </cell>
          <cell r="D86">
            <v>991.36869750772871</v>
          </cell>
        </row>
        <row r="87">
          <cell r="A87" t="str">
            <v>T0010094</v>
          </cell>
          <cell r="B87" t="str">
            <v>m3k</v>
          </cell>
          <cell r="C87" t="str">
            <v>Transporte de piedra para gaviones</v>
          </cell>
          <cell r="D87">
            <v>991.36869750772871</v>
          </cell>
        </row>
        <row r="88">
          <cell r="A88" t="str">
            <v>T0010095</v>
          </cell>
          <cell r="B88" t="str">
            <v>m3k</v>
          </cell>
          <cell r="C88" t="str">
            <v>Transporte de piedra para gaviones</v>
          </cell>
          <cell r="D88">
            <v>991.36869750772871</v>
          </cell>
        </row>
        <row r="89">
          <cell r="A89" t="str">
            <v>T0010015</v>
          </cell>
          <cell r="B89" t="str">
            <v>m3k</v>
          </cell>
          <cell r="C89" t="str">
            <v>Transporte fibra o mulch hidráulico</v>
          </cell>
          <cell r="D89">
            <v>991.36869750772871</v>
          </cell>
        </row>
        <row r="90">
          <cell r="A90" t="str">
            <v>T001028</v>
          </cell>
          <cell r="B90" t="str">
            <v>m3k</v>
          </cell>
          <cell r="C90" t="str">
            <v>Transporte material de Sub Base procesado en planta</v>
          </cell>
          <cell r="D90">
            <v>991.36869750772871</v>
          </cell>
        </row>
        <row r="91">
          <cell r="A91" t="str">
            <v>T0010016</v>
          </cell>
          <cell r="B91" t="str">
            <v>m3k</v>
          </cell>
          <cell r="C91" t="str">
            <v>Transporte tierra abonada</v>
          </cell>
          <cell r="D91">
            <v>991.36869750772871</v>
          </cell>
        </row>
        <row r="92">
          <cell r="A92" t="str">
            <v>T0010038</v>
          </cell>
          <cell r="B92" t="str">
            <v>m3k</v>
          </cell>
          <cell r="C92" t="str">
            <v>Trasporte de material Remoción de Postes</v>
          </cell>
          <cell r="D92">
            <v>991.36869750772871</v>
          </cell>
        </row>
        <row r="93">
          <cell r="A93" t="str">
            <v>T0015012</v>
          </cell>
          <cell r="B93" t="str">
            <v>km</v>
          </cell>
          <cell r="C93" t="str">
            <v>Equipo de Transporte (Camiones Grúas</v>
          </cell>
          <cell r="D93">
            <v>60.397231417393932</v>
          </cell>
        </row>
        <row r="94">
          <cell r="A94" t="str">
            <v>T0010440</v>
          </cell>
          <cell r="B94" t="str">
            <v>u</v>
          </cell>
          <cell r="C94" t="str">
            <v>Pasajes aéreos</v>
          </cell>
          <cell r="D94">
            <v>313834.08065001509</v>
          </cell>
        </row>
        <row r="95">
          <cell r="A95" t="str">
            <v>T0010001</v>
          </cell>
          <cell r="B95" t="str">
            <v>tkm</v>
          </cell>
          <cell r="C95" t="str">
            <v>Transporte de acero</v>
          </cell>
          <cell r="D95">
            <v>0.34225097803189897</v>
          </cell>
        </row>
        <row r="96">
          <cell r="A96" t="str">
            <v>T0010011</v>
          </cell>
          <cell r="B96" t="str">
            <v>m3k</v>
          </cell>
          <cell r="C96" t="str">
            <v>Transporte de Adoquín e=8cm</v>
          </cell>
          <cell r="D96">
            <v>1056.9515498043938</v>
          </cell>
        </row>
        <row r="97">
          <cell r="A97" t="str">
            <v>T0010053</v>
          </cell>
          <cell r="B97" t="str">
            <v>m3k</v>
          </cell>
          <cell r="C97" t="str">
            <v>Transporte de barrera de seguridad</v>
          </cell>
          <cell r="D97">
            <v>1056.9515498043938</v>
          </cell>
        </row>
        <row r="98">
          <cell r="A98" t="str">
            <v>T0010008</v>
          </cell>
          <cell r="B98" t="str">
            <v>u</v>
          </cell>
          <cell r="C98" t="str">
            <v>Transporte de defensa</v>
          </cell>
          <cell r="D98">
            <v>22497.96870297924</v>
          </cell>
        </row>
        <row r="99">
          <cell r="A99" t="str">
            <v>T0010021</v>
          </cell>
          <cell r="B99" t="str">
            <v>m3k</v>
          </cell>
          <cell r="C99" t="str">
            <v>Transporte de Defensa Metálica</v>
          </cell>
          <cell r="D99">
            <v>1409.268733072525</v>
          </cell>
        </row>
        <row r="100">
          <cell r="A100" t="str">
            <v>T0010120</v>
          </cell>
          <cell r="B100" t="str">
            <v>m3t</v>
          </cell>
          <cell r="C100" t="str">
            <v>Transporte de emulsión</v>
          </cell>
          <cell r="D100">
            <v>1369.0039121275959</v>
          </cell>
        </row>
        <row r="101">
          <cell r="A101" t="str">
            <v>T0010420</v>
          </cell>
          <cell r="B101" t="str">
            <v>m3k</v>
          </cell>
          <cell r="C101" t="str">
            <v>Transporte de equipos</v>
          </cell>
          <cell r="D101">
            <v>5385.4198013842924</v>
          </cell>
        </row>
        <row r="102">
          <cell r="A102" t="str">
            <v>T0010421</v>
          </cell>
          <cell r="B102" t="str">
            <v>g</v>
          </cell>
          <cell r="C102" t="str">
            <v>Transporte de Equipos para Prueba (1)</v>
          </cell>
          <cell r="D102">
            <v>131726.36172133617</v>
          </cell>
        </row>
        <row r="103">
          <cell r="A103" t="str">
            <v>T0010162</v>
          </cell>
          <cell r="B103" t="str">
            <v>kgk</v>
          </cell>
          <cell r="C103" t="str">
            <v>Transporte de estructura metálica (En Obra)</v>
          </cell>
          <cell r="D103">
            <v>0.6442371351188686</v>
          </cell>
        </row>
        <row r="104">
          <cell r="A104" t="str">
            <v>T0010160</v>
          </cell>
          <cell r="B104" t="str">
            <v>kgk</v>
          </cell>
          <cell r="C104" t="str">
            <v xml:space="preserve">Transporte de estructuras metálicas </v>
          </cell>
          <cell r="D104">
            <v>0.34225097803189897</v>
          </cell>
        </row>
        <row r="105">
          <cell r="A105" t="str">
            <v>T0010037</v>
          </cell>
          <cell r="B105" t="str">
            <v>m3k</v>
          </cell>
          <cell r="C105" t="str">
            <v>Transporte de material proveniente de la excavación incluyendo botadero</v>
          </cell>
          <cell r="D105">
            <v>2536.6837195305452</v>
          </cell>
        </row>
        <row r="106">
          <cell r="A106" t="str">
            <v>T0010460</v>
          </cell>
          <cell r="B106" t="str">
            <v>u</v>
          </cell>
          <cell r="C106" t="str">
            <v>Transporte de personal de montaje</v>
          </cell>
          <cell r="D106">
            <v>145535.86725410394</v>
          </cell>
        </row>
        <row r="107">
          <cell r="A107" t="str">
            <v>T0010088</v>
          </cell>
          <cell r="B107" t="str">
            <v>m3k</v>
          </cell>
          <cell r="C107" t="str">
            <v>Transporte de poste de madera</v>
          </cell>
          <cell r="D107">
            <v>1409.268733072525</v>
          </cell>
        </row>
        <row r="108">
          <cell r="A108" t="str">
            <v>T0010029</v>
          </cell>
          <cell r="B108" t="str">
            <v>m3k</v>
          </cell>
          <cell r="C108" t="str">
            <v>Transporte de Remoción de Ductos de Servicios existentes.</v>
          </cell>
          <cell r="D108">
            <v>1258.2756545290401</v>
          </cell>
        </row>
        <row r="109">
          <cell r="A109" t="str">
            <v>T0010026</v>
          </cell>
          <cell r="B109" t="str">
            <v>m3k</v>
          </cell>
          <cell r="C109" t="str">
            <v>Transporte de Sección Final</v>
          </cell>
          <cell r="D109">
            <v>1298.5404754739695</v>
          </cell>
        </row>
        <row r="110">
          <cell r="A110" t="str">
            <v>T0010430</v>
          </cell>
          <cell r="B110" t="str">
            <v>m3k</v>
          </cell>
          <cell r="C110" t="str">
            <v>Transporte de tablestacas</v>
          </cell>
          <cell r="D110">
            <v>1268.3418597652726</v>
          </cell>
        </row>
        <row r="111">
          <cell r="A111" t="str">
            <v>T0010114</v>
          </cell>
          <cell r="B111" t="str">
            <v>m3t</v>
          </cell>
          <cell r="C111" t="str">
            <v>Transporte de tubería</v>
          </cell>
          <cell r="D111">
            <v>999.56636742442947</v>
          </cell>
        </row>
        <row r="112">
          <cell r="A112" t="str">
            <v>T0010115</v>
          </cell>
          <cell r="B112" t="str">
            <v>kgk</v>
          </cell>
          <cell r="C112" t="str">
            <v>Transporte de Tubería de Concreto Reforzado</v>
          </cell>
          <cell r="D112">
            <v>2.8853049713424084</v>
          </cell>
        </row>
        <row r="113">
          <cell r="A113" t="str">
            <v>T0010150</v>
          </cell>
          <cell r="B113" t="str">
            <v>m3t</v>
          </cell>
          <cell r="C113" t="str">
            <v>Transporte de tubería pvc de 33 pulgadas</v>
          </cell>
          <cell r="D113">
            <v>684.50195606379793</v>
          </cell>
        </row>
        <row r="114">
          <cell r="A114" t="str">
            <v>T0010450</v>
          </cell>
          <cell r="B114" t="str">
            <v>u</v>
          </cell>
          <cell r="C114" t="str">
            <v>Transporte de tubos. celdas, etc.</v>
          </cell>
          <cell r="D114">
            <v>1131642.7926572375</v>
          </cell>
        </row>
        <row r="115">
          <cell r="A115" t="str">
            <v>T0010140</v>
          </cell>
          <cell r="B115" t="str">
            <v>u</v>
          </cell>
          <cell r="C115" t="str">
            <v>Transporte incluyendo el botadero y conformación del material</v>
          </cell>
          <cell r="D115">
            <v>1056.9515498043938</v>
          </cell>
        </row>
        <row r="116">
          <cell r="A116" t="str">
            <v>T0010034</v>
          </cell>
          <cell r="B116" t="str">
            <v>m3k</v>
          </cell>
          <cell r="C116" t="str">
            <v>Transporte sección de Tope</v>
          </cell>
          <cell r="D116">
            <v>20.031495498776071</v>
          </cell>
        </row>
        <row r="117">
          <cell r="A117" t="str">
            <v>T0010081</v>
          </cell>
          <cell r="B117" t="str">
            <v>u</v>
          </cell>
          <cell r="C117" t="str">
            <v>Trasporte de Torre</v>
          </cell>
          <cell r="D117">
            <v>512691.9650917846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/>
      <sheetData sheetId="1"/>
      <sheetData sheetId="2"/>
      <sheetData sheetId="3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</row>
      </sheetData>
      <sheetData sheetId="4">
        <row r="6">
          <cell r="A6">
            <v>0</v>
          </cell>
          <cell r="B6">
            <v>0</v>
          </cell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</sheetData>
      <sheetData sheetId="5">
        <row r="4">
          <cell r="A4">
            <v>0</v>
          </cell>
          <cell r="B4">
            <v>0</v>
          </cell>
          <cell r="C4" t="str">
            <v>MATERIALES</v>
          </cell>
          <cell r="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INV"/>
      <sheetName val="AASHTO"/>
      <sheetName val="SLID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PREACTA"/>
      <sheetName val="SEÑAL 1"/>
      <sheetName val="General"/>
      <sheetName val="Calc"/>
      <sheetName val="Pavement Data"/>
      <sheetName val="DATA I"/>
      <sheetName val="LIQ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6"/>
  <sheetViews>
    <sheetView tabSelected="1" topLeftCell="A45" zoomScaleNormal="100" workbookViewId="0">
      <selection activeCell="Q20" sqref="Q20"/>
    </sheetView>
  </sheetViews>
  <sheetFormatPr baseColWidth="10" defaultRowHeight="15"/>
  <cols>
    <col min="1" max="1" width="3.42578125" customWidth="1"/>
    <col min="2" max="2" width="6.140625" customWidth="1"/>
    <col min="3" max="3" width="8.7109375" customWidth="1"/>
    <col min="4" max="4" width="11" customWidth="1"/>
    <col min="5" max="5" width="15.5703125" customWidth="1"/>
    <col min="6" max="6" width="87.28515625" customWidth="1"/>
    <col min="7" max="7" width="9.28515625" customWidth="1"/>
    <col min="8" max="8" width="13.28515625" bestFit="1" customWidth="1"/>
    <col min="9" max="9" width="13.7109375" customWidth="1"/>
    <col min="10" max="10" width="17.85546875" bestFit="1" customWidth="1"/>
    <col min="11" max="11" width="3.28515625" customWidth="1"/>
    <col min="12" max="12" width="0" hidden="1" customWidth="1"/>
    <col min="13" max="13" width="16.5703125" hidden="1" customWidth="1"/>
    <col min="14" max="14" width="15" hidden="1" customWidth="1"/>
    <col min="15" max="15" width="16.5703125" bestFit="1" customWidth="1"/>
  </cols>
  <sheetData>
    <row r="1" spans="1:14" ht="16.5" thickBot="1">
      <c r="A1" s="108"/>
      <c r="B1" s="108"/>
      <c r="C1" s="108"/>
      <c r="D1" s="191"/>
      <c r="E1" s="191"/>
      <c r="F1" s="108"/>
      <c r="G1" s="108"/>
      <c r="H1" s="108"/>
      <c r="I1" s="108"/>
      <c r="J1" s="108"/>
      <c r="K1" s="190"/>
    </row>
    <row r="2" spans="1:14" ht="16.5" thickBot="1">
      <c r="A2" s="1"/>
      <c r="B2" s="587"/>
      <c r="C2" s="587"/>
      <c r="D2" s="587"/>
      <c r="E2" s="587"/>
      <c r="F2" s="587"/>
      <c r="G2" s="587"/>
      <c r="H2" s="587"/>
      <c r="I2" s="587"/>
      <c r="J2" s="587"/>
      <c r="K2" s="3"/>
    </row>
    <row r="3" spans="1:14" ht="15.75">
      <c r="A3" s="5"/>
      <c r="B3" s="527" t="s">
        <v>492</v>
      </c>
      <c r="C3" s="528"/>
      <c r="D3" s="528"/>
      <c r="E3" s="528"/>
      <c r="F3" s="528"/>
      <c r="G3" s="528"/>
      <c r="H3" s="528"/>
      <c r="I3" s="528"/>
      <c r="J3" s="529"/>
      <c r="K3" s="6"/>
    </row>
    <row r="4" spans="1:14" ht="15.75">
      <c r="A4" s="5"/>
      <c r="B4" s="588" t="s">
        <v>38</v>
      </c>
      <c r="C4" s="589"/>
      <c r="D4" s="589"/>
      <c r="E4" s="589"/>
      <c r="F4" s="589"/>
      <c r="G4" s="589"/>
      <c r="H4" s="589"/>
      <c r="I4" s="589"/>
      <c r="J4" s="590"/>
      <c r="K4" s="6"/>
    </row>
    <row r="5" spans="1:14" ht="39.75" customHeight="1" thickBot="1">
      <c r="A5" s="5"/>
      <c r="B5" s="5"/>
      <c r="C5" s="541" t="s">
        <v>496</v>
      </c>
      <c r="D5" s="541"/>
      <c r="E5" s="541"/>
      <c r="F5" s="541"/>
      <c r="G5" s="541"/>
      <c r="H5" s="541"/>
      <c r="I5" s="541"/>
      <c r="J5" s="542"/>
      <c r="K5" s="6"/>
    </row>
    <row r="6" spans="1:14" ht="16.5" thickBot="1">
      <c r="A6" s="5"/>
      <c r="B6" s="472"/>
      <c r="C6" s="584" t="s">
        <v>493</v>
      </c>
      <c r="D6" s="585"/>
      <c r="E6" s="585"/>
      <c r="F6" s="585"/>
      <c r="G6" s="585"/>
      <c r="H6" s="585"/>
      <c r="I6" s="586"/>
      <c r="J6" s="473"/>
      <c r="K6" s="6"/>
    </row>
    <row r="7" spans="1:14" ht="16.5" thickBot="1">
      <c r="A7" s="5"/>
      <c r="B7" s="530"/>
      <c r="C7" s="583"/>
      <c r="D7" s="583"/>
      <c r="E7" s="583"/>
      <c r="F7" s="583"/>
      <c r="G7" s="583"/>
      <c r="H7" s="583"/>
      <c r="I7" s="583"/>
      <c r="J7" s="532"/>
      <c r="K7" s="6"/>
    </row>
    <row r="8" spans="1:14" ht="15.75">
      <c r="A8" s="5"/>
      <c r="B8" s="533" t="s">
        <v>0</v>
      </c>
      <c r="C8" s="535" t="s">
        <v>1</v>
      </c>
      <c r="D8" s="543" t="s">
        <v>2</v>
      </c>
      <c r="E8" s="544"/>
      <c r="F8" s="533" t="s">
        <v>3</v>
      </c>
      <c r="G8" s="537" t="s">
        <v>4</v>
      </c>
      <c r="H8" s="537" t="s">
        <v>5</v>
      </c>
      <c r="I8" s="545" t="s">
        <v>6</v>
      </c>
      <c r="J8" s="547" t="s">
        <v>7</v>
      </c>
      <c r="K8" s="6"/>
    </row>
    <row r="9" spans="1:14" ht="16.5" thickBot="1">
      <c r="A9" s="5"/>
      <c r="B9" s="534"/>
      <c r="C9" s="536"/>
      <c r="D9" s="143" t="s">
        <v>8</v>
      </c>
      <c r="E9" s="162" t="s">
        <v>332</v>
      </c>
      <c r="F9" s="534"/>
      <c r="G9" s="538"/>
      <c r="H9" s="538"/>
      <c r="I9" s="546"/>
      <c r="J9" s="548"/>
      <c r="K9" s="6"/>
    </row>
    <row r="10" spans="1:14" ht="16.5" thickBot="1">
      <c r="A10" s="5"/>
      <c r="B10" s="549" t="s">
        <v>9</v>
      </c>
      <c r="C10" s="550"/>
      <c r="D10" s="550"/>
      <c r="E10" s="550"/>
      <c r="F10" s="550"/>
      <c r="G10" s="550"/>
      <c r="H10" s="550"/>
      <c r="I10" s="550"/>
      <c r="J10" s="551"/>
      <c r="K10" s="6"/>
    </row>
    <row r="11" spans="1:14" ht="15.75">
      <c r="A11" s="5"/>
      <c r="B11" s="15">
        <v>1</v>
      </c>
      <c r="C11" s="17">
        <v>100.01</v>
      </c>
      <c r="D11" s="17" t="s">
        <v>10</v>
      </c>
      <c r="E11" s="17"/>
      <c r="F11" s="444" t="s">
        <v>279</v>
      </c>
      <c r="G11" s="445" t="s">
        <v>20</v>
      </c>
      <c r="H11" s="446">
        <f>+Cantidades!AC10</f>
        <v>840</v>
      </c>
      <c r="I11" s="189">
        <v>1153</v>
      </c>
      <c r="J11" s="447">
        <f>+ROUND(I11*H11,0)</f>
        <v>968520</v>
      </c>
      <c r="K11" s="6"/>
      <c r="M11" s="456">
        <f>+'100.01'!N50</f>
        <v>880</v>
      </c>
      <c r="N11" s="88">
        <f>+M11*H11</f>
        <v>739200</v>
      </c>
    </row>
    <row r="12" spans="1:14" ht="30">
      <c r="A12" s="5"/>
      <c r="B12" s="111">
        <v>2</v>
      </c>
      <c r="C12" s="112">
        <f>+C11+0.01</f>
        <v>100.02000000000001</v>
      </c>
      <c r="D12" s="112"/>
      <c r="E12" s="112" t="s">
        <v>371</v>
      </c>
      <c r="F12" s="113" t="s">
        <v>250</v>
      </c>
      <c r="G12" s="114" t="s">
        <v>224</v>
      </c>
      <c r="H12" s="446">
        <f>+Cantidades!AC11</f>
        <v>6.0000000000000005E-2</v>
      </c>
      <c r="I12" s="97">
        <v>3524003</v>
      </c>
      <c r="J12" s="447">
        <f t="shared" ref="J12:J17" si="0">+ROUND(I12*H12,0)</f>
        <v>211440</v>
      </c>
      <c r="K12" s="6"/>
      <c r="M12" s="456">
        <f>+'100.02'!N50</f>
        <v>2690079</v>
      </c>
      <c r="N12" s="88">
        <f>+M12*H12</f>
        <v>161404.74000000002</v>
      </c>
    </row>
    <row r="13" spans="1:14" ht="15.75" hidden="1">
      <c r="A13" s="5"/>
      <c r="B13" s="9">
        <f>+B12+1</f>
        <v>3</v>
      </c>
      <c r="C13" s="112">
        <f t="shared" ref="C13:C17" si="1">+C12+0.01</f>
        <v>100.03000000000002</v>
      </c>
      <c r="D13" s="10" t="s">
        <v>11</v>
      </c>
      <c r="E13" s="112"/>
      <c r="F13" s="11" t="s">
        <v>373</v>
      </c>
      <c r="G13" s="13" t="s">
        <v>12</v>
      </c>
      <c r="H13" s="446">
        <f>+Cantidades!AC12</f>
        <v>0</v>
      </c>
      <c r="I13" s="97">
        <v>108720</v>
      </c>
      <c r="J13" s="447">
        <f t="shared" si="0"/>
        <v>0</v>
      </c>
      <c r="K13" s="6"/>
    </row>
    <row r="14" spans="1:14" ht="30" hidden="1">
      <c r="A14" s="5"/>
      <c r="B14" s="9">
        <f t="shared" ref="B14" si="2">+B13+1</f>
        <v>4</v>
      </c>
      <c r="C14" s="112">
        <f t="shared" si="1"/>
        <v>100.04000000000002</v>
      </c>
      <c r="D14" s="112"/>
      <c r="E14" s="112"/>
      <c r="F14" s="113" t="s">
        <v>273</v>
      </c>
      <c r="G14" s="114" t="s">
        <v>221</v>
      </c>
      <c r="H14" s="446">
        <f>+Cantidades!AC13</f>
        <v>0</v>
      </c>
      <c r="I14" s="97">
        <v>29547</v>
      </c>
      <c r="J14" s="447">
        <f t="shared" si="0"/>
        <v>0</v>
      </c>
      <c r="K14" s="6"/>
    </row>
    <row r="15" spans="1:14" ht="15.75" hidden="1">
      <c r="A15" s="5"/>
      <c r="B15" s="9">
        <f>+B14+1</f>
        <v>5</v>
      </c>
      <c r="C15" s="112">
        <f t="shared" si="1"/>
        <v>100.05000000000003</v>
      </c>
      <c r="D15" s="112"/>
      <c r="E15" s="112"/>
      <c r="F15" s="113" t="s">
        <v>282</v>
      </c>
      <c r="G15" s="114" t="s">
        <v>20</v>
      </c>
      <c r="H15" s="446">
        <f>+Cantidades!AC14</f>
        <v>0</v>
      </c>
      <c r="I15" s="97">
        <v>3487</v>
      </c>
      <c r="J15" s="447">
        <f t="shared" si="0"/>
        <v>0</v>
      </c>
      <c r="K15" s="6"/>
    </row>
    <row r="16" spans="1:14" ht="15.75" hidden="1">
      <c r="A16" s="5"/>
      <c r="B16" s="9">
        <f>+B15+1</f>
        <v>6</v>
      </c>
      <c r="C16" s="112">
        <f t="shared" si="1"/>
        <v>100.06000000000003</v>
      </c>
      <c r="D16" s="10" t="s">
        <v>13</v>
      </c>
      <c r="E16" s="112"/>
      <c r="F16" s="11" t="s">
        <v>14</v>
      </c>
      <c r="G16" s="13" t="s">
        <v>12</v>
      </c>
      <c r="H16" s="446">
        <f>+Cantidades!AC15</f>
        <v>0</v>
      </c>
      <c r="I16" s="97">
        <v>12233</v>
      </c>
      <c r="J16" s="447">
        <f t="shared" si="0"/>
        <v>0</v>
      </c>
      <c r="K16" s="6"/>
    </row>
    <row r="17" spans="1:14" ht="15.75" hidden="1">
      <c r="A17" s="5"/>
      <c r="B17" s="9">
        <f>+B16+1</f>
        <v>7</v>
      </c>
      <c r="C17" s="112">
        <f t="shared" si="1"/>
        <v>100.07000000000004</v>
      </c>
      <c r="D17" s="10" t="s">
        <v>225</v>
      </c>
      <c r="E17" s="112"/>
      <c r="F17" s="11" t="s">
        <v>365</v>
      </c>
      <c r="G17" s="13" t="s">
        <v>12</v>
      </c>
      <c r="H17" s="446">
        <f>+Cantidades!AC16</f>
        <v>0</v>
      </c>
      <c r="I17" s="97">
        <v>50152</v>
      </c>
      <c r="J17" s="447">
        <f t="shared" si="0"/>
        <v>0</v>
      </c>
      <c r="K17" s="6"/>
      <c r="N17" s="88"/>
    </row>
    <row r="18" spans="1:14" ht="16.5" thickBot="1">
      <c r="A18" s="5"/>
      <c r="B18" s="195" t="s">
        <v>333</v>
      </c>
      <c r="C18" s="163"/>
      <c r="D18" s="163"/>
      <c r="E18" s="163"/>
      <c r="F18" s="169"/>
      <c r="G18" s="170"/>
      <c r="H18" s="138"/>
      <c r="I18" s="168"/>
      <c r="J18" s="165">
        <f>SUM(J11:J17)</f>
        <v>1179960</v>
      </c>
      <c r="K18" s="6"/>
    </row>
    <row r="19" spans="1:14" ht="16.5" thickBot="1">
      <c r="A19" s="5"/>
      <c r="B19" s="552" t="s">
        <v>15</v>
      </c>
      <c r="C19" s="553"/>
      <c r="D19" s="553"/>
      <c r="E19" s="553"/>
      <c r="F19" s="553"/>
      <c r="G19" s="553"/>
      <c r="H19" s="553"/>
      <c r="I19" s="553"/>
      <c r="J19" s="554"/>
      <c r="K19" s="6"/>
    </row>
    <row r="20" spans="1:14" ht="15.75">
      <c r="A20" s="5"/>
      <c r="B20" s="15">
        <f>+B17+1</f>
        <v>8</v>
      </c>
      <c r="C20" s="16">
        <v>200.01</v>
      </c>
      <c r="D20" s="16" t="s">
        <v>16</v>
      </c>
      <c r="E20" s="16"/>
      <c r="F20" s="28" t="s">
        <v>39</v>
      </c>
      <c r="G20" s="17" t="s">
        <v>12</v>
      </c>
      <c r="H20" s="446">
        <f>+Cantidades!AC18</f>
        <v>22</v>
      </c>
      <c r="I20" s="189">
        <v>158942</v>
      </c>
      <c r="J20" s="447">
        <f t="shared" ref="J20:J22" si="3">+ROUND(I20*H20,0)</f>
        <v>3496724</v>
      </c>
      <c r="K20" s="6"/>
      <c r="M20" s="456">
        <f>+'200,01'!N51</f>
        <v>121330</v>
      </c>
      <c r="N20" s="88">
        <f>+M20*H20</f>
        <v>2669260</v>
      </c>
    </row>
    <row r="21" spans="1:14" ht="15.75" hidden="1">
      <c r="A21" s="5"/>
      <c r="B21" s="15">
        <f>+B20+1</f>
        <v>9</v>
      </c>
      <c r="C21" s="16">
        <f>+C20+0.01</f>
        <v>200.01999999999998</v>
      </c>
      <c r="D21" s="16" t="s">
        <v>17</v>
      </c>
      <c r="E21" s="16"/>
      <c r="F21" s="28" t="s">
        <v>40</v>
      </c>
      <c r="G21" s="17" t="s">
        <v>12</v>
      </c>
      <c r="H21" s="446">
        <f>+Cantidades!AC19</f>
        <v>0</v>
      </c>
      <c r="I21" s="189">
        <v>169160</v>
      </c>
      <c r="J21" s="447">
        <f t="shared" si="3"/>
        <v>0</v>
      </c>
      <c r="K21" s="6"/>
    </row>
    <row r="22" spans="1:14" ht="15.75" hidden="1">
      <c r="A22" s="5"/>
      <c r="B22" s="15">
        <f>+B21+1</f>
        <v>10</v>
      </c>
      <c r="C22" s="16">
        <f>+C21+0.01</f>
        <v>200.02999999999997</v>
      </c>
      <c r="D22" s="16" t="s">
        <v>225</v>
      </c>
      <c r="E22" s="16"/>
      <c r="F22" s="28" t="s">
        <v>222</v>
      </c>
      <c r="G22" s="17" t="s">
        <v>12</v>
      </c>
      <c r="H22" s="446">
        <f>+Cantidades!AC20</f>
        <v>0</v>
      </c>
      <c r="I22" s="189">
        <v>149926</v>
      </c>
      <c r="J22" s="447">
        <f t="shared" si="3"/>
        <v>0</v>
      </c>
      <c r="K22" s="6"/>
    </row>
    <row r="23" spans="1:14" ht="16.5" thickBot="1">
      <c r="A23" s="5"/>
      <c r="B23" s="195" t="s">
        <v>333</v>
      </c>
      <c r="C23" s="171"/>
      <c r="D23" s="171"/>
      <c r="E23" s="171"/>
      <c r="F23" s="172"/>
      <c r="G23" s="163"/>
      <c r="H23" s="138"/>
      <c r="I23" s="168"/>
      <c r="J23" s="165">
        <f>SUM(J20:J22)</f>
        <v>3496724</v>
      </c>
      <c r="K23" s="6"/>
    </row>
    <row r="24" spans="1:14" ht="16.5" hidden="1" thickBot="1">
      <c r="A24" s="5"/>
      <c r="B24" s="552" t="s">
        <v>267</v>
      </c>
      <c r="C24" s="553"/>
      <c r="D24" s="553"/>
      <c r="E24" s="553"/>
      <c r="F24" s="553"/>
      <c r="G24" s="553"/>
      <c r="H24" s="553"/>
      <c r="I24" s="553"/>
      <c r="J24" s="554"/>
      <c r="K24" s="6"/>
    </row>
    <row r="25" spans="1:14" ht="15.75" hidden="1">
      <c r="A25" s="5"/>
      <c r="B25" s="18">
        <f>+B22+1</f>
        <v>11</v>
      </c>
      <c r="C25" s="19">
        <v>300.01</v>
      </c>
      <c r="D25" s="19" t="s">
        <v>18</v>
      </c>
      <c r="E25" s="131"/>
      <c r="F25" s="20" t="s">
        <v>19</v>
      </c>
      <c r="G25" s="19" t="s">
        <v>20</v>
      </c>
      <c r="H25" s="446">
        <f>+Cantidades!AC23</f>
        <v>0</v>
      </c>
      <c r="I25" s="189">
        <v>2671</v>
      </c>
      <c r="J25" s="447">
        <f t="shared" ref="J25:J28" si="4">+ROUND(I25*H25,0)</f>
        <v>0</v>
      </c>
      <c r="K25" s="6"/>
    </row>
    <row r="26" spans="1:14" ht="15.75" hidden="1">
      <c r="A26" s="5"/>
      <c r="B26" s="15">
        <f>+B25+1</f>
        <v>12</v>
      </c>
      <c r="C26" s="131">
        <f>+C25+0.01</f>
        <v>300.02</v>
      </c>
      <c r="D26" s="131"/>
      <c r="E26" s="131"/>
      <c r="F26" s="132" t="s">
        <v>252</v>
      </c>
      <c r="G26" s="131" t="s">
        <v>12</v>
      </c>
      <c r="H26" s="446">
        <f>+Cantidades!AC24</f>
        <v>0</v>
      </c>
      <c r="I26" s="189">
        <v>921656</v>
      </c>
      <c r="J26" s="447">
        <f t="shared" si="4"/>
        <v>0</v>
      </c>
      <c r="K26" s="6"/>
    </row>
    <row r="27" spans="1:14" ht="15.75" hidden="1">
      <c r="A27" s="5"/>
      <c r="B27" s="15">
        <f t="shared" ref="B27:B28" si="5">+B26+1</f>
        <v>13</v>
      </c>
      <c r="C27" s="131">
        <f t="shared" ref="C27:C28" si="6">+C26+0.01</f>
        <v>300.02999999999997</v>
      </c>
      <c r="D27" s="131"/>
      <c r="E27" s="131"/>
      <c r="F27" s="132" t="s">
        <v>259</v>
      </c>
      <c r="G27" s="131" t="s">
        <v>20</v>
      </c>
      <c r="H27" s="446">
        <f>+Cantidades!AC25</f>
        <v>0</v>
      </c>
      <c r="I27" s="189">
        <v>6500</v>
      </c>
      <c r="J27" s="447">
        <f t="shared" si="4"/>
        <v>0</v>
      </c>
      <c r="K27" s="6"/>
    </row>
    <row r="28" spans="1:14" ht="15.75" hidden="1">
      <c r="A28" s="5"/>
      <c r="B28" s="15">
        <f t="shared" si="5"/>
        <v>14</v>
      </c>
      <c r="C28" s="131">
        <f t="shared" si="6"/>
        <v>300.03999999999996</v>
      </c>
      <c r="D28" s="19" t="s">
        <v>41</v>
      </c>
      <c r="E28" s="131"/>
      <c r="F28" s="20" t="s">
        <v>21</v>
      </c>
      <c r="G28" s="19" t="s">
        <v>12</v>
      </c>
      <c r="H28" s="446">
        <f>+Cantidades!AC26</f>
        <v>0</v>
      </c>
      <c r="I28" s="189">
        <v>888569</v>
      </c>
      <c r="J28" s="447">
        <f t="shared" si="4"/>
        <v>0</v>
      </c>
      <c r="K28" s="6"/>
    </row>
    <row r="29" spans="1:14" ht="16.5" hidden="1" thickBot="1">
      <c r="A29" s="5"/>
      <c r="B29" s="195" t="s">
        <v>333</v>
      </c>
      <c r="C29" s="166"/>
      <c r="D29" s="166"/>
      <c r="E29" s="166"/>
      <c r="F29" s="167"/>
      <c r="G29" s="166"/>
      <c r="H29" s="138"/>
      <c r="I29" s="168"/>
      <c r="J29" s="165">
        <f>SUM(J25:J28)</f>
        <v>0</v>
      </c>
      <c r="K29" s="6"/>
    </row>
    <row r="30" spans="1:14" ht="16.5" thickBot="1">
      <c r="A30" s="5"/>
      <c r="B30" s="552" t="s">
        <v>268</v>
      </c>
      <c r="C30" s="553"/>
      <c r="D30" s="553"/>
      <c r="E30" s="553"/>
      <c r="F30" s="553"/>
      <c r="G30" s="553"/>
      <c r="H30" s="553"/>
      <c r="I30" s="553"/>
      <c r="J30" s="554"/>
      <c r="K30" s="6"/>
    </row>
    <row r="31" spans="1:14" ht="30" hidden="1">
      <c r="A31" s="5"/>
      <c r="B31" s="18">
        <f>+B28+1</f>
        <v>15</v>
      </c>
      <c r="C31" s="19">
        <v>400.01</v>
      </c>
      <c r="D31" s="19"/>
      <c r="E31" s="131"/>
      <c r="F31" s="21" t="s">
        <v>269</v>
      </c>
      <c r="G31" s="19" t="s">
        <v>20</v>
      </c>
      <c r="H31" s="446">
        <f>+Cantidades!AC28</f>
        <v>0</v>
      </c>
      <c r="I31" s="189">
        <v>45215</v>
      </c>
      <c r="J31" s="447">
        <f t="shared" ref="J31:J34" si="7">+ROUND(I31*H31,0)</f>
        <v>0</v>
      </c>
      <c r="K31" s="6"/>
    </row>
    <row r="32" spans="1:14" ht="15.75" hidden="1">
      <c r="A32" s="5"/>
      <c r="B32" s="15">
        <f>+B31+1</f>
        <v>16</v>
      </c>
      <c r="C32" s="131">
        <f>+C31+0.01</f>
        <v>400.02</v>
      </c>
      <c r="D32" s="131"/>
      <c r="E32" s="131"/>
      <c r="F32" s="148" t="s">
        <v>405</v>
      </c>
      <c r="G32" s="131" t="s">
        <v>20</v>
      </c>
      <c r="H32" s="446">
        <f>+Cantidades!AC29</f>
        <v>0</v>
      </c>
      <c r="I32" s="189">
        <v>90662</v>
      </c>
      <c r="J32" s="447">
        <f t="shared" si="7"/>
        <v>0</v>
      </c>
      <c r="K32" s="6"/>
    </row>
    <row r="33" spans="1:14" ht="15.75">
      <c r="A33" s="5"/>
      <c r="B33" s="15">
        <f>+B32+1</f>
        <v>17</v>
      </c>
      <c r="C33" s="131">
        <f t="shared" ref="C33" si="8">+C32+0.01</f>
        <v>400.03</v>
      </c>
      <c r="D33" s="131"/>
      <c r="E33" s="131"/>
      <c r="F33" s="132" t="s">
        <v>395</v>
      </c>
      <c r="G33" s="131" t="s">
        <v>20</v>
      </c>
      <c r="H33" s="446">
        <f>+Cantidades!AC30</f>
        <v>86</v>
      </c>
      <c r="I33" s="189">
        <v>198849</v>
      </c>
      <c r="J33" s="447">
        <f t="shared" si="7"/>
        <v>17101014</v>
      </c>
      <c r="K33" s="6"/>
      <c r="M33" s="456">
        <f>+'400,03'!N52</f>
        <v>151793</v>
      </c>
      <c r="N33" s="88">
        <f>+M33*H33</f>
        <v>13054198</v>
      </c>
    </row>
    <row r="34" spans="1:14" ht="15.75" hidden="1">
      <c r="A34" s="5"/>
      <c r="B34" s="15">
        <f>+B33+1</f>
        <v>18</v>
      </c>
      <c r="C34" s="131">
        <f>+C33+0.01</f>
        <v>400.03999999999996</v>
      </c>
      <c r="D34" s="19"/>
      <c r="E34" s="131"/>
      <c r="F34" s="20" t="s">
        <v>272</v>
      </c>
      <c r="G34" s="19" t="s">
        <v>20</v>
      </c>
      <c r="H34" s="446">
        <f>+Cantidades!AC31</f>
        <v>0</v>
      </c>
      <c r="I34" s="189">
        <v>1661</v>
      </c>
      <c r="J34" s="447">
        <f t="shared" si="7"/>
        <v>0</v>
      </c>
      <c r="K34" s="6"/>
    </row>
    <row r="35" spans="1:14" ht="16.5" thickBot="1">
      <c r="A35" s="5"/>
      <c r="B35" s="195" t="s">
        <v>333</v>
      </c>
      <c r="C35" s="166"/>
      <c r="D35" s="166"/>
      <c r="E35" s="166"/>
      <c r="F35" s="167"/>
      <c r="G35" s="166"/>
      <c r="H35" s="138"/>
      <c r="I35" s="168"/>
      <c r="J35" s="165">
        <f>SUM(J31:J34)</f>
        <v>17101014</v>
      </c>
      <c r="K35" s="6"/>
    </row>
    <row r="36" spans="1:14" ht="16.5" thickBot="1">
      <c r="A36" s="5"/>
      <c r="B36" s="552" t="s">
        <v>22</v>
      </c>
      <c r="C36" s="553"/>
      <c r="D36" s="553"/>
      <c r="E36" s="553"/>
      <c r="F36" s="553"/>
      <c r="G36" s="553"/>
      <c r="H36" s="553"/>
      <c r="I36" s="553"/>
      <c r="J36" s="554"/>
      <c r="K36" s="6"/>
    </row>
    <row r="37" spans="1:14" ht="15.75">
      <c r="A37" s="5"/>
      <c r="B37" s="15">
        <f>+B34+1</f>
        <v>19</v>
      </c>
      <c r="C37" s="10">
        <v>500.01</v>
      </c>
      <c r="D37" s="10" t="s">
        <v>44</v>
      </c>
      <c r="E37" s="112"/>
      <c r="F37" s="11" t="s">
        <v>292</v>
      </c>
      <c r="G37" s="10" t="s">
        <v>12</v>
      </c>
      <c r="H37" s="446">
        <f>+Cantidades!AC33</f>
        <v>271.8</v>
      </c>
      <c r="I37" s="189">
        <v>920107</v>
      </c>
      <c r="J37" s="447">
        <f>+ROUND(I37*H37,0)</f>
        <v>250085083</v>
      </c>
      <c r="K37" s="6"/>
      <c r="M37">
        <f>+'500,01'!N58</f>
        <v>702372</v>
      </c>
      <c r="N37" s="88">
        <f>+ROUND(M37*H37,0)</f>
        <v>190904710</v>
      </c>
    </row>
    <row r="38" spans="1:14" ht="15.75" hidden="1">
      <c r="A38" s="5"/>
      <c r="B38" s="15">
        <f>+B37+1</f>
        <v>20</v>
      </c>
      <c r="C38" s="112">
        <f>+C37+0.01</f>
        <v>500.02</v>
      </c>
      <c r="D38" s="112"/>
      <c r="E38" s="112"/>
      <c r="F38" s="11" t="s">
        <v>293</v>
      </c>
      <c r="G38" s="10" t="s">
        <v>12</v>
      </c>
      <c r="H38" s="446">
        <f>+Cantidades!AC34</f>
        <v>0</v>
      </c>
      <c r="I38" s="189">
        <v>1009234</v>
      </c>
      <c r="J38" s="447">
        <f t="shared" ref="J38:J58" si="9">+ROUND(I38*H38,0)</f>
        <v>0</v>
      </c>
      <c r="K38" s="6"/>
      <c r="N38" s="88"/>
    </row>
    <row r="39" spans="1:14" ht="15.75" hidden="1">
      <c r="A39" s="5"/>
      <c r="B39" s="15">
        <f t="shared" ref="B39:B58" si="10">+B38+1</f>
        <v>21</v>
      </c>
      <c r="C39" s="112">
        <f t="shared" ref="C39:C58" si="11">+C38+0.01</f>
        <v>500.03</v>
      </c>
      <c r="D39" s="112"/>
      <c r="E39" s="112"/>
      <c r="F39" s="113" t="s">
        <v>305</v>
      </c>
      <c r="G39" s="112" t="s">
        <v>12</v>
      </c>
      <c r="H39" s="446">
        <f>+Cantidades!AC35</f>
        <v>0</v>
      </c>
      <c r="I39" s="189">
        <v>515116</v>
      </c>
      <c r="J39" s="447">
        <f t="shared" si="9"/>
        <v>0</v>
      </c>
      <c r="K39" s="6"/>
      <c r="N39" s="88"/>
    </row>
    <row r="40" spans="1:14" ht="15.75" hidden="1">
      <c r="A40" s="5"/>
      <c r="B40" s="15">
        <f t="shared" si="10"/>
        <v>22</v>
      </c>
      <c r="C40" s="112">
        <f t="shared" si="11"/>
        <v>500.03999999999996</v>
      </c>
      <c r="D40" s="112"/>
      <c r="E40" s="112"/>
      <c r="F40" s="113" t="s">
        <v>306</v>
      </c>
      <c r="G40" s="112" t="s">
        <v>25</v>
      </c>
      <c r="H40" s="446">
        <f>+Cantidades!AC36</f>
        <v>0</v>
      </c>
      <c r="I40" s="189">
        <v>16465</v>
      </c>
      <c r="J40" s="447">
        <f t="shared" si="9"/>
        <v>0</v>
      </c>
      <c r="K40" s="6"/>
      <c r="N40" s="88"/>
    </row>
    <row r="41" spans="1:14" ht="15.75" hidden="1">
      <c r="A41" s="5"/>
      <c r="B41" s="15">
        <f t="shared" si="10"/>
        <v>23</v>
      </c>
      <c r="C41" s="112">
        <f t="shared" si="11"/>
        <v>500.04999999999995</v>
      </c>
      <c r="D41" s="112"/>
      <c r="E41" s="112"/>
      <c r="F41" s="113" t="s">
        <v>307</v>
      </c>
      <c r="G41" s="112" t="s">
        <v>25</v>
      </c>
      <c r="H41" s="446">
        <f>+Cantidades!AC37</f>
        <v>0</v>
      </c>
      <c r="I41" s="189">
        <v>10484</v>
      </c>
      <c r="J41" s="447">
        <f t="shared" si="9"/>
        <v>0</v>
      </c>
      <c r="K41" s="6"/>
      <c r="N41" s="88"/>
    </row>
    <row r="42" spans="1:14" ht="15.75" hidden="1">
      <c r="A42" s="5"/>
      <c r="B42" s="15">
        <f t="shared" si="10"/>
        <v>24</v>
      </c>
      <c r="C42" s="112">
        <f t="shared" si="11"/>
        <v>500.05999999999995</v>
      </c>
      <c r="D42" s="112"/>
      <c r="E42" s="112"/>
      <c r="F42" s="113" t="s">
        <v>408</v>
      </c>
      <c r="G42" s="112" t="s">
        <v>221</v>
      </c>
      <c r="H42" s="446">
        <f>+Cantidades!AC38</f>
        <v>0</v>
      </c>
      <c r="I42" s="189">
        <v>738092</v>
      </c>
      <c r="J42" s="447">
        <f t="shared" si="9"/>
        <v>0</v>
      </c>
      <c r="K42" s="6"/>
      <c r="N42" s="88"/>
    </row>
    <row r="43" spans="1:14" ht="15.75" hidden="1">
      <c r="A43" s="5"/>
      <c r="B43" s="15">
        <f t="shared" si="10"/>
        <v>25</v>
      </c>
      <c r="C43" s="112">
        <f t="shared" si="11"/>
        <v>500.06999999999994</v>
      </c>
      <c r="D43" s="112"/>
      <c r="E43" s="112"/>
      <c r="F43" s="113" t="s">
        <v>304</v>
      </c>
      <c r="G43" s="112" t="s">
        <v>12</v>
      </c>
      <c r="H43" s="446">
        <f>+Cantidades!AC39</f>
        <v>0</v>
      </c>
      <c r="I43" s="189">
        <v>824898</v>
      </c>
      <c r="J43" s="447">
        <f t="shared" si="9"/>
        <v>0</v>
      </c>
      <c r="K43" s="6"/>
      <c r="N43" s="88"/>
    </row>
    <row r="44" spans="1:14" ht="15.75" hidden="1">
      <c r="A44" s="5"/>
      <c r="B44" s="15">
        <f t="shared" si="10"/>
        <v>26</v>
      </c>
      <c r="C44" s="112">
        <f t="shared" si="11"/>
        <v>500.07999999999993</v>
      </c>
      <c r="D44" s="112"/>
      <c r="E44" s="112"/>
      <c r="F44" s="113" t="s">
        <v>260</v>
      </c>
      <c r="G44" s="112" t="s">
        <v>221</v>
      </c>
      <c r="H44" s="446">
        <f>+Cantidades!AC40</f>
        <v>0</v>
      </c>
      <c r="I44" s="189">
        <v>332804</v>
      </c>
      <c r="J44" s="447">
        <f t="shared" si="9"/>
        <v>0</v>
      </c>
      <c r="K44" s="6"/>
      <c r="N44" s="88"/>
    </row>
    <row r="45" spans="1:14" ht="15.75">
      <c r="A45" s="5"/>
      <c r="B45" s="15">
        <f t="shared" si="10"/>
        <v>27</v>
      </c>
      <c r="C45" s="112">
        <f t="shared" si="11"/>
        <v>500.08999999999992</v>
      </c>
      <c r="D45" s="112"/>
      <c r="E45" s="112"/>
      <c r="F45" s="113" t="s">
        <v>355</v>
      </c>
      <c r="G45" s="112" t="s">
        <v>221</v>
      </c>
      <c r="H45" s="446">
        <f>+Cantidades!AC41</f>
        <v>1294.5</v>
      </c>
      <c r="I45" s="189">
        <v>298946</v>
      </c>
      <c r="J45" s="447">
        <f t="shared" si="9"/>
        <v>386985597</v>
      </c>
      <c r="K45" s="6"/>
      <c r="M45">
        <f>+'500,09'!N58</f>
        <v>228203</v>
      </c>
      <c r="N45" s="88">
        <f>+ROUND(M45*H45,0)</f>
        <v>295408784</v>
      </c>
    </row>
    <row r="46" spans="1:14" ht="15.75" hidden="1">
      <c r="A46" s="5"/>
      <c r="B46" s="15">
        <f t="shared" si="10"/>
        <v>28</v>
      </c>
      <c r="C46" s="147">
        <f t="shared" si="11"/>
        <v>500.09999999999991</v>
      </c>
      <c r="D46" s="112"/>
      <c r="E46" s="112"/>
      <c r="F46" s="113" t="s">
        <v>261</v>
      </c>
      <c r="G46" s="112" t="s">
        <v>221</v>
      </c>
      <c r="H46" s="446">
        <f>+Cantidades!AC42</f>
        <v>0</v>
      </c>
      <c r="I46" s="189">
        <v>166942</v>
      </c>
      <c r="J46" s="447">
        <f t="shared" si="9"/>
        <v>0</v>
      </c>
      <c r="K46" s="6"/>
      <c r="N46" s="88"/>
    </row>
    <row r="47" spans="1:14" ht="15.75" hidden="1">
      <c r="A47" s="5"/>
      <c r="B47" s="15">
        <f t="shared" si="10"/>
        <v>29</v>
      </c>
      <c r="C47" s="112">
        <f t="shared" si="11"/>
        <v>500.1099999999999</v>
      </c>
      <c r="D47" s="112"/>
      <c r="E47" s="112"/>
      <c r="F47" s="113" t="s">
        <v>311</v>
      </c>
      <c r="G47" s="112" t="s">
        <v>221</v>
      </c>
      <c r="H47" s="446">
        <f>+Cantidades!AC43</f>
        <v>0</v>
      </c>
      <c r="I47" s="189">
        <v>494807</v>
      </c>
      <c r="J47" s="447">
        <f t="shared" si="9"/>
        <v>0</v>
      </c>
      <c r="K47" s="6"/>
      <c r="N47" s="88"/>
    </row>
    <row r="48" spans="1:14" ht="15.75" hidden="1">
      <c r="A48" s="5"/>
      <c r="B48" s="15">
        <f t="shared" si="10"/>
        <v>30</v>
      </c>
      <c r="C48" s="112">
        <f t="shared" si="11"/>
        <v>500.11999999999989</v>
      </c>
      <c r="D48" s="112"/>
      <c r="E48" s="112"/>
      <c r="F48" s="113" t="s">
        <v>312</v>
      </c>
      <c r="G48" s="112" t="s">
        <v>221</v>
      </c>
      <c r="H48" s="446">
        <f>+Cantidades!AC44</f>
        <v>0</v>
      </c>
      <c r="I48" s="189">
        <v>538595</v>
      </c>
      <c r="J48" s="447">
        <f t="shared" si="9"/>
        <v>0</v>
      </c>
      <c r="K48" s="6"/>
      <c r="N48" s="88"/>
    </row>
    <row r="49" spans="1:14" ht="15.75" hidden="1">
      <c r="A49" s="5"/>
      <c r="B49" s="15">
        <f t="shared" si="10"/>
        <v>31</v>
      </c>
      <c r="C49" s="112">
        <f t="shared" si="11"/>
        <v>500.12999999999988</v>
      </c>
      <c r="D49" s="112"/>
      <c r="E49" s="112"/>
      <c r="F49" s="113" t="s">
        <v>313</v>
      </c>
      <c r="G49" s="112" t="s">
        <v>12</v>
      </c>
      <c r="H49" s="446">
        <f>+Cantidades!AC45</f>
        <v>0</v>
      </c>
      <c r="I49" s="189">
        <v>871049</v>
      </c>
      <c r="J49" s="447">
        <f t="shared" si="9"/>
        <v>0</v>
      </c>
      <c r="K49" s="6"/>
      <c r="N49" s="88"/>
    </row>
    <row r="50" spans="1:14" ht="15.75">
      <c r="A50" s="5"/>
      <c r="B50" s="15">
        <f t="shared" si="10"/>
        <v>32</v>
      </c>
      <c r="C50" s="112">
        <f t="shared" si="11"/>
        <v>500.13999999999987</v>
      </c>
      <c r="D50" s="10" t="s">
        <v>23</v>
      </c>
      <c r="E50" s="112"/>
      <c r="F50" s="11" t="s">
        <v>24</v>
      </c>
      <c r="G50" s="10" t="s">
        <v>25</v>
      </c>
      <c r="H50" s="446">
        <f>+Cantidades!AC46</f>
        <v>41634</v>
      </c>
      <c r="I50" s="189">
        <v>4564</v>
      </c>
      <c r="J50" s="447">
        <f t="shared" si="9"/>
        <v>190017576</v>
      </c>
      <c r="K50" s="6"/>
      <c r="M50" s="456">
        <f>+'500,14'!N50</f>
        <v>3484</v>
      </c>
      <c r="N50" s="88">
        <f>+ROUND(M50*H50,0)</f>
        <v>145052856</v>
      </c>
    </row>
    <row r="51" spans="1:14" ht="15.75" hidden="1">
      <c r="A51" s="5"/>
      <c r="B51" s="15">
        <f t="shared" si="10"/>
        <v>33</v>
      </c>
      <c r="C51" s="112">
        <f t="shared" si="11"/>
        <v>500.14999999999986</v>
      </c>
      <c r="D51" s="112"/>
      <c r="E51" s="112"/>
      <c r="F51" s="113" t="s">
        <v>262</v>
      </c>
      <c r="G51" s="112" t="s">
        <v>20</v>
      </c>
      <c r="H51" s="446">
        <f>+Cantidades!AC47</f>
        <v>0</v>
      </c>
      <c r="I51" s="189">
        <v>7623</v>
      </c>
      <c r="J51" s="447">
        <f t="shared" si="9"/>
        <v>0</v>
      </c>
      <c r="K51" s="6"/>
      <c r="N51" s="88"/>
    </row>
    <row r="52" spans="1:14" ht="15.75" hidden="1">
      <c r="A52" s="5"/>
      <c r="B52" s="15">
        <f t="shared" si="10"/>
        <v>34</v>
      </c>
      <c r="C52" s="112">
        <f t="shared" si="11"/>
        <v>500.15999999999985</v>
      </c>
      <c r="D52" s="10" t="s">
        <v>26</v>
      </c>
      <c r="E52" s="112"/>
      <c r="F52" s="11" t="s">
        <v>254</v>
      </c>
      <c r="G52" s="10" t="s">
        <v>27</v>
      </c>
      <c r="H52" s="446">
        <f>+Cantidades!AC48</f>
        <v>0</v>
      </c>
      <c r="I52" s="189">
        <v>560828</v>
      </c>
      <c r="J52" s="447">
        <f t="shared" si="9"/>
        <v>0</v>
      </c>
      <c r="K52" s="6"/>
      <c r="N52" s="88"/>
    </row>
    <row r="53" spans="1:14" ht="15.75">
      <c r="A53" s="5"/>
      <c r="B53" s="15">
        <f t="shared" si="10"/>
        <v>35</v>
      </c>
      <c r="C53" s="112">
        <f t="shared" si="11"/>
        <v>500.16999999999985</v>
      </c>
      <c r="D53" s="112"/>
      <c r="E53" s="112"/>
      <c r="F53" s="113" t="s">
        <v>350</v>
      </c>
      <c r="G53" s="112" t="s">
        <v>27</v>
      </c>
      <c r="H53" s="446">
        <f>+Cantidades!AC49</f>
        <v>88</v>
      </c>
      <c r="I53" s="189">
        <v>93687</v>
      </c>
      <c r="J53" s="447">
        <f t="shared" si="9"/>
        <v>8244456</v>
      </c>
      <c r="K53" s="6"/>
      <c r="M53" s="456">
        <f>+'500,17'!N52</f>
        <v>71517</v>
      </c>
      <c r="N53" s="88">
        <f>+ROUND(M53*H53,0)</f>
        <v>6293496</v>
      </c>
    </row>
    <row r="54" spans="1:14" ht="15.75" hidden="1">
      <c r="A54" s="5"/>
      <c r="B54" s="15">
        <f t="shared" si="10"/>
        <v>36</v>
      </c>
      <c r="C54" s="112">
        <f t="shared" si="11"/>
        <v>500.17999999999984</v>
      </c>
      <c r="D54" s="112"/>
      <c r="E54" s="112"/>
      <c r="F54" s="113" t="s">
        <v>256</v>
      </c>
      <c r="G54" s="112" t="s">
        <v>27</v>
      </c>
      <c r="H54" s="446">
        <f>+Cantidades!AC50</f>
        <v>0</v>
      </c>
      <c r="I54" s="189">
        <v>109127</v>
      </c>
      <c r="J54" s="447">
        <f t="shared" si="9"/>
        <v>0</v>
      </c>
      <c r="K54" s="6"/>
      <c r="N54" s="88"/>
    </row>
    <row r="55" spans="1:14" ht="15.75">
      <c r="A55" s="5"/>
      <c r="B55" s="15">
        <f t="shared" si="10"/>
        <v>37</v>
      </c>
      <c r="C55" s="112">
        <f t="shared" si="11"/>
        <v>500.18999999999983</v>
      </c>
      <c r="D55" s="112"/>
      <c r="E55" s="112"/>
      <c r="F55" s="113" t="s">
        <v>291</v>
      </c>
      <c r="G55" s="112" t="s">
        <v>27</v>
      </c>
      <c r="H55" s="446">
        <f>+Cantidades!AC51</f>
        <v>260</v>
      </c>
      <c r="I55" s="189">
        <v>131194</v>
      </c>
      <c r="J55" s="447">
        <f t="shared" si="9"/>
        <v>34110440</v>
      </c>
      <c r="K55" s="6"/>
      <c r="M55" s="456">
        <f>+'500,19'!N52</f>
        <v>100148</v>
      </c>
      <c r="N55" s="88">
        <f>+ROUND(M55*H55,0)</f>
        <v>26038480</v>
      </c>
    </row>
    <row r="56" spans="1:14" ht="15.75" hidden="1">
      <c r="A56" s="5"/>
      <c r="B56" s="15">
        <f t="shared" si="10"/>
        <v>38</v>
      </c>
      <c r="C56" s="147">
        <f t="shared" si="11"/>
        <v>500.19999999999982</v>
      </c>
      <c r="D56" s="112"/>
      <c r="E56" s="112"/>
      <c r="F56" s="113" t="s">
        <v>445</v>
      </c>
      <c r="G56" s="112" t="s">
        <v>20</v>
      </c>
      <c r="H56" s="446">
        <f>+Cantidades!AC52</f>
        <v>0</v>
      </c>
      <c r="I56" s="189">
        <v>19253</v>
      </c>
      <c r="J56" s="447">
        <f t="shared" si="9"/>
        <v>0</v>
      </c>
      <c r="K56" s="6"/>
      <c r="N56" s="88"/>
    </row>
    <row r="57" spans="1:14" ht="15.75" hidden="1">
      <c r="A57" s="5"/>
      <c r="B57" s="15">
        <f t="shared" si="10"/>
        <v>39</v>
      </c>
      <c r="C57" s="112">
        <f t="shared" si="11"/>
        <v>500.20999999999981</v>
      </c>
      <c r="D57" s="10" t="s">
        <v>28</v>
      </c>
      <c r="E57" s="112"/>
      <c r="F57" s="21" t="s">
        <v>42</v>
      </c>
      <c r="G57" s="10" t="s">
        <v>12</v>
      </c>
      <c r="H57" s="446">
        <f>+Cantidades!AC53</f>
        <v>0</v>
      </c>
      <c r="I57" s="189">
        <v>1009686</v>
      </c>
      <c r="J57" s="447">
        <f t="shared" si="9"/>
        <v>0</v>
      </c>
      <c r="K57" s="6"/>
    </row>
    <row r="58" spans="1:14" ht="15.75" hidden="1">
      <c r="A58" s="5"/>
      <c r="B58" s="15">
        <f t="shared" si="10"/>
        <v>40</v>
      </c>
      <c r="C58" s="112">
        <f t="shared" si="11"/>
        <v>500.2199999999998</v>
      </c>
      <c r="D58" s="10" t="s">
        <v>251</v>
      </c>
      <c r="E58" s="112"/>
      <c r="F58" s="21" t="s">
        <v>223</v>
      </c>
      <c r="G58" s="10" t="s">
        <v>221</v>
      </c>
      <c r="H58" s="446">
        <f>+Cantidades!AC54</f>
        <v>0</v>
      </c>
      <c r="I58" s="189">
        <v>8355</v>
      </c>
      <c r="J58" s="447">
        <f t="shared" si="9"/>
        <v>0</v>
      </c>
      <c r="K58" s="6"/>
    </row>
    <row r="59" spans="1:14" ht="16.5" thickBot="1">
      <c r="A59" s="5"/>
      <c r="B59" s="195" t="s">
        <v>333</v>
      </c>
      <c r="C59" s="163"/>
      <c r="D59" s="163"/>
      <c r="E59" s="163"/>
      <c r="F59" s="164"/>
      <c r="G59" s="163"/>
      <c r="H59" s="138"/>
      <c r="I59" s="188"/>
      <c r="J59" s="165">
        <f>SUM(J37:J58)</f>
        <v>869443152</v>
      </c>
      <c r="K59" s="6"/>
    </row>
    <row r="60" spans="1:14" ht="16.5" hidden="1" thickBot="1">
      <c r="A60" s="5"/>
      <c r="B60" s="552" t="s">
        <v>29</v>
      </c>
      <c r="C60" s="553"/>
      <c r="D60" s="553"/>
      <c r="E60" s="553"/>
      <c r="F60" s="553"/>
      <c r="G60" s="553"/>
      <c r="H60" s="553"/>
      <c r="I60" s="553"/>
      <c r="J60" s="554"/>
      <c r="K60" s="6"/>
    </row>
    <row r="61" spans="1:14" ht="15.75" hidden="1">
      <c r="A61" s="5"/>
      <c r="B61" s="18">
        <f>+B58+1</f>
        <v>41</v>
      </c>
      <c r="C61" s="10">
        <v>600.01</v>
      </c>
      <c r="D61" s="10" t="s">
        <v>30</v>
      </c>
      <c r="E61" s="112"/>
      <c r="F61" s="11" t="s">
        <v>43</v>
      </c>
      <c r="G61" s="10" t="s">
        <v>27</v>
      </c>
      <c r="H61" s="12">
        <f>+Cantidades!AC56</f>
        <v>0</v>
      </c>
      <c r="I61" s="189">
        <v>2017</v>
      </c>
      <c r="J61" s="447">
        <f t="shared" ref="J61:J64" si="12">+ROUND(I61*H61,0)</f>
        <v>0</v>
      </c>
      <c r="K61" s="6"/>
    </row>
    <row r="62" spans="1:14" ht="15.75" hidden="1">
      <c r="A62" s="5"/>
      <c r="B62" s="15">
        <f>+B61+1</f>
        <v>42</v>
      </c>
      <c r="C62" s="10">
        <f>+C61+0.01</f>
        <v>600.02</v>
      </c>
      <c r="D62" s="10" t="s">
        <v>32</v>
      </c>
      <c r="E62" s="112"/>
      <c r="F62" s="11" t="s">
        <v>33</v>
      </c>
      <c r="G62" s="10" t="s">
        <v>31</v>
      </c>
      <c r="H62" s="12">
        <f>+Cantidades!AC57</f>
        <v>0</v>
      </c>
      <c r="I62" s="189">
        <v>579040</v>
      </c>
      <c r="J62" s="447">
        <f t="shared" si="12"/>
        <v>0</v>
      </c>
      <c r="K62" s="6"/>
    </row>
    <row r="63" spans="1:14" ht="15.75" hidden="1">
      <c r="A63" s="5"/>
      <c r="B63" s="15">
        <f t="shared" ref="B63:B64" si="13">+B62+1</f>
        <v>43</v>
      </c>
      <c r="C63" s="10">
        <f t="shared" ref="C63:C64" si="14">+C62+0.01</f>
        <v>600.03</v>
      </c>
      <c r="D63" s="10" t="s">
        <v>226</v>
      </c>
      <c r="E63" s="112"/>
      <c r="F63" s="11" t="s">
        <v>213</v>
      </c>
      <c r="G63" s="10" t="s">
        <v>31</v>
      </c>
      <c r="H63" s="12">
        <f>+Cantidades!AC58</f>
        <v>0</v>
      </c>
      <c r="I63" s="189">
        <v>9174</v>
      </c>
      <c r="J63" s="447">
        <f t="shared" si="12"/>
        <v>0</v>
      </c>
      <c r="K63" s="6"/>
    </row>
    <row r="64" spans="1:14" ht="15.75" hidden="1">
      <c r="A64" s="5"/>
      <c r="B64" s="15">
        <f t="shared" si="13"/>
        <v>44</v>
      </c>
      <c r="C64" s="10">
        <f t="shared" si="14"/>
        <v>600.04</v>
      </c>
      <c r="D64" s="10" t="s">
        <v>30</v>
      </c>
      <c r="E64" s="112"/>
      <c r="F64" s="11" t="s">
        <v>206</v>
      </c>
      <c r="G64" s="10" t="s">
        <v>20</v>
      </c>
      <c r="H64" s="12">
        <f>+Cantidades!AC59</f>
        <v>0</v>
      </c>
      <c r="I64" s="189">
        <v>37123</v>
      </c>
      <c r="J64" s="447">
        <f t="shared" si="12"/>
        <v>0</v>
      </c>
      <c r="K64" s="6"/>
    </row>
    <row r="65" spans="1:14" ht="16.5" hidden="1" thickBot="1">
      <c r="A65" s="5"/>
      <c r="B65" s="195" t="s">
        <v>333</v>
      </c>
      <c r="C65" s="163"/>
      <c r="D65" s="163"/>
      <c r="E65" s="163"/>
      <c r="F65" s="169"/>
      <c r="G65" s="163"/>
      <c r="H65" s="138"/>
      <c r="I65" s="168"/>
      <c r="J65" s="165">
        <f>SUM(J61:J64)</f>
        <v>0</v>
      </c>
      <c r="K65" s="6"/>
    </row>
    <row r="66" spans="1:14" ht="16.5" thickBot="1">
      <c r="A66" s="5"/>
      <c r="B66" s="552" t="s">
        <v>277</v>
      </c>
      <c r="C66" s="553"/>
      <c r="D66" s="553"/>
      <c r="E66" s="553"/>
      <c r="F66" s="553"/>
      <c r="G66" s="553"/>
      <c r="H66" s="553"/>
      <c r="I66" s="553"/>
      <c r="J66" s="554"/>
      <c r="K66" s="6"/>
    </row>
    <row r="67" spans="1:14" ht="15.75" hidden="1">
      <c r="A67" s="5"/>
      <c r="B67" s="15">
        <f>+B64+1</f>
        <v>45</v>
      </c>
      <c r="C67" s="10">
        <v>700.01</v>
      </c>
      <c r="D67" s="10"/>
      <c r="E67" s="112"/>
      <c r="F67" s="21" t="s">
        <v>278</v>
      </c>
      <c r="G67" s="10" t="s">
        <v>27</v>
      </c>
      <c r="H67" s="12">
        <f>+Cantidades!AC61</f>
        <v>0</v>
      </c>
      <c r="I67" s="189">
        <v>79450</v>
      </c>
      <c r="J67" s="447">
        <f>+ROUND(I67*H67,0)</f>
        <v>0</v>
      </c>
      <c r="K67" s="6"/>
    </row>
    <row r="68" spans="1:14" ht="15.75" hidden="1">
      <c r="A68" s="5"/>
      <c r="B68" s="15">
        <f>+B67+1</f>
        <v>46</v>
      </c>
      <c r="C68" s="112">
        <f>+C67+0.01</f>
        <v>700.02</v>
      </c>
      <c r="D68" s="112"/>
      <c r="E68" s="112"/>
      <c r="F68" s="148" t="s">
        <v>455</v>
      </c>
      <c r="G68" s="112" t="s">
        <v>20</v>
      </c>
      <c r="H68" s="12">
        <f>+Cantidades!AC62</f>
        <v>0</v>
      </c>
      <c r="I68" s="189">
        <v>9460</v>
      </c>
      <c r="J68" s="447">
        <f t="shared" ref="J68:J70" si="15">+ROUND(I68*H68,0)</f>
        <v>0</v>
      </c>
      <c r="K68" s="6"/>
    </row>
    <row r="69" spans="1:14" ht="15.75" hidden="1">
      <c r="A69" s="5"/>
      <c r="B69" s="15">
        <f>+B68+1</f>
        <v>47</v>
      </c>
      <c r="C69" s="112">
        <f t="shared" ref="C69:C70" si="16">+C68+0.01</f>
        <v>700.03</v>
      </c>
      <c r="D69" s="112"/>
      <c r="E69" s="112"/>
      <c r="F69" s="148" t="s">
        <v>310</v>
      </c>
      <c r="G69" s="112" t="s">
        <v>27</v>
      </c>
      <c r="H69" s="12">
        <f>+Cantidades!AC63</f>
        <v>0</v>
      </c>
      <c r="I69" s="189">
        <v>40755</v>
      </c>
      <c r="J69" s="447">
        <f t="shared" si="15"/>
        <v>0</v>
      </c>
      <c r="K69" s="6"/>
    </row>
    <row r="70" spans="1:14" ht="15.75">
      <c r="A70" s="5"/>
      <c r="B70" s="15">
        <f>+B69+1</f>
        <v>48</v>
      </c>
      <c r="C70" s="112">
        <f t="shared" si="16"/>
        <v>700.04</v>
      </c>
      <c r="D70" s="10"/>
      <c r="E70" s="112"/>
      <c r="F70" s="113" t="s">
        <v>459</v>
      </c>
      <c r="G70" s="112" t="s">
        <v>27</v>
      </c>
      <c r="H70" s="12">
        <f>+Cantidades!AC64</f>
        <v>160</v>
      </c>
      <c r="I70" s="189">
        <v>50303</v>
      </c>
      <c r="J70" s="447">
        <f t="shared" si="15"/>
        <v>8048480</v>
      </c>
      <c r="K70" s="6"/>
      <c r="M70">
        <f>+'700,04'!N58</f>
        <v>38399</v>
      </c>
      <c r="N70" s="88">
        <f>+ROUND(M70*H70,0)</f>
        <v>6143840</v>
      </c>
    </row>
    <row r="71" spans="1:14" ht="16.5" thickBot="1">
      <c r="A71" s="5"/>
      <c r="B71" s="195" t="s">
        <v>333</v>
      </c>
      <c r="C71" s="163"/>
      <c r="D71" s="163"/>
      <c r="E71" s="163"/>
      <c r="F71" s="169"/>
      <c r="G71" s="163"/>
      <c r="H71" s="138"/>
      <c r="I71" s="168"/>
      <c r="J71" s="165">
        <f>SUM(J67:J70)</f>
        <v>8048480</v>
      </c>
      <c r="K71" s="6"/>
      <c r="N71" s="88"/>
    </row>
    <row r="72" spans="1:14" ht="16.5" thickBot="1">
      <c r="A72" s="5"/>
      <c r="B72" s="552" t="s">
        <v>34</v>
      </c>
      <c r="C72" s="553"/>
      <c r="D72" s="553"/>
      <c r="E72" s="553"/>
      <c r="F72" s="553"/>
      <c r="G72" s="553"/>
      <c r="H72" s="553"/>
      <c r="I72" s="553"/>
      <c r="J72" s="554"/>
      <c r="K72" s="6"/>
      <c r="N72" s="88"/>
    </row>
    <row r="73" spans="1:14" ht="45">
      <c r="A73" s="5"/>
      <c r="B73" s="15">
        <f>+B70+1</f>
        <v>49</v>
      </c>
      <c r="C73" s="10">
        <v>800.01</v>
      </c>
      <c r="D73" s="10" t="s">
        <v>35</v>
      </c>
      <c r="E73" s="112"/>
      <c r="F73" s="21" t="s">
        <v>36</v>
      </c>
      <c r="G73" s="10" t="s">
        <v>37</v>
      </c>
      <c r="H73" s="12">
        <f>+Cantidades!AC67</f>
        <v>943</v>
      </c>
      <c r="I73" s="189">
        <v>1497</v>
      </c>
      <c r="J73" s="447">
        <f t="shared" ref="J73" si="17">+ROUND(I73*H73,0)</f>
        <v>1411671</v>
      </c>
      <c r="K73" s="6"/>
      <c r="M73" s="456">
        <f>+'800,01'!N51</f>
        <v>1143</v>
      </c>
      <c r="N73" s="88">
        <f>+ROUND(M73*H73,0)</f>
        <v>1077849</v>
      </c>
    </row>
    <row r="74" spans="1:14" ht="16.5" thickBot="1">
      <c r="A74" s="5"/>
      <c r="B74" s="196" t="s">
        <v>333</v>
      </c>
      <c r="C74" s="173"/>
      <c r="D74" s="173"/>
      <c r="E74" s="173"/>
      <c r="F74" s="174"/>
      <c r="G74" s="173"/>
      <c r="H74" s="175"/>
      <c r="I74" s="176"/>
      <c r="J74" s="177">
        <f>SUM(J73)</f>
        <v>1411671</v>
      </c>
      <c r="K74" s="6"/>
      <c r="N74" s="88"/>
    </row>
    <row r="75" spans="1:14" ht="16.5" thickBot="1">
      <c r="A75" s="22"/>
      <c r="B75" s="23"/>
      <c r="C75" s="23"/>
      <c r="D75" s="23"/>
      <c r="E75" s="23"/>
      <c r="F75" s="23"/>
      <c r="G75" s="23"/>
      <c r="H75" s="23"/>
      <c r="I75" s="23"/>
      <c r="J75" s="24"/>
      <c r="K75" s="25"/>
      <c r="N75" s="88"/>
    </row>
    <row r="76" spans="1:14" ht="16.5" thickBot="1">
      <c r="A76" s="555" t="s">
        <v>347</v>
      </c>
      <c r="B76" s="556"/>
      <c r="C76" s="556"/>
      <c r="D76" s="556"/>
      <c r="E76" s="556"/>
      <c r="F76" s="556"/>
      <c r="G76" s="556"/>
      <c r="H76" s="556"/>
      <c r="I76" s="557"/>
      <c r="J76" s="448">
        <f>+J74+J71+J65+J59+J35+J29+J23+J18</f>
        <v>900681001</v>
      </c>
      <c r="K76" s="449"/>
      <c r="L76">
        <f>+J76/1.31</f>
        <v>687542748.85496175</v>
      </c>
      <c r="N76" s="88">
        <f>SUM(N11:N75)</f>
        <v>687544077.74000001</v>
      </c>
    </row>
    <row r="77" spans="1:14" ht="16.5" thickBot="1">
      <c r="A77" s="178"/>
      <c r="B77" s="178"/>
      <c r="C77" s="178"/>
      <c r="D77" s="178"/>
      <c r="E77" s="178"/>
      <c r="F77" s="178"/>
      <c r="G77" s="178"/>
      <c r="H77" s="178"/>
      <c r="I77" s="178"/>
      <c r="J77" s="109"/>
      <c r="K77" s="110"/>
      <c r="M77" s="474">
        <f>+L76-N76</f>
        <v>-1328.8850382566452</v>
      </c>
    </row>
    <row r="78" spans="1:14" ht="15.75">
      <c r="A78" s="178"/>
      <c r="B78" s="178"/>
      <c r="C78" s="178"/>
      <c r="D78" s="178"/>
      <c r="E78" s="178"/>
      <c r="F78" s="558" t="s">
        <v>334</v>
      </c>
      <c r="G78" s="559"/>
      <c r="H78" s="559"/>
      <c r="I78" s="559"/>
      <c r="J78" s="179">
        <f>+'[50]pmt 1'!$H$33</f>
        <v>85336840</v>
      </c>
      <c r="K78" s="110"/>
    </row>
    <row r="79" spans="1:14" ht="15.75">
      <c r="A79" s="178"/>
      <c r="B79" s="178"/>
      <c r="C79" s="178"/>
      <c r="D79" s="178"/>
      <c r="E79" s="178"/>
      <c r="F79" s="507" t="s">
        <v>335</v>
      </c>
      <c r="G79" s="508"/>
      <c r="H79" s="508"/>
      <c r="I79" s="508"/>
      <c r="J79" s="180">
        <f>+'[51]PMA 1'!$H$36</f>
        <v>43944100</v>
      </c>
      <c r="K79" s="110"/>
    </row>
    <row r="80" spans="1:14" ht="15.75" hidden="1">
      <c r="A80" s="178"/>
      <c r="B80" s="178"/>
      <c r="C80" s="178"/>
      <c r="D80" s="178"/>
      <c r="E80" s="178"/>
      <c r="F80" s="507" t="s">
        <v>338</v>
      </c>
      <c r="G80" s="508"/>
      <c r="H80" s="508"/>
      <c r="I80" s="508"/>
      <c r="J80" s="180"/>
      <c r="K80" s="110"/>
    </row>
    <row r="81" spans="1:15" ht="15.75">
      <c r="A81" s="178"/>
      <c r="B81" s="178"/>
      <c r="C81" s="178"/>
      <c r="D81" s="178"/>
      <c r="E81" s="178"/>
      <c r="F81" s="507" t="s">
        <v>336</v>
      </c>
      <c r="G81" s="508"/>
      <c r="H81" s="508"/>
      <c r="I81" s="508"/>
      <c r="J81" s="180">
        <f>+J76</f>
        <v>900681001</v>
      </c>
      <c r="K81" s="110"/>
      <c r="N81" s="474"/>
    </row>
    <row r="82" spans="1:15" ht="16.5" thickBot="1">
      <c r="A82" s="178"/>
      <c r="B82" s="178"/>
      <c r="C82" s="178"/>
      <c r="D82" s="178"/>
      <c r="E82" s="178"/>
      <c r="F82" s="509" t="s">
        <v>337</v>
      </c>
      <c r="G82" s="510"/>
      <c r="H82" s="510"/>
      <c r="I82" s="510"/>
      <c r="J82" s="181">
        <f>+J81+J80+J79+J78</f>
        <v>1029961941</v>
      </c>
      <c r="K82" s="110"/>
      <c r="N82" s="475"/>
      <c r="O82" s="88">
        <v>1029961941</v>
      </c>
    </row>
    <row r="83" spans="1:15" ht="16.5" thickBot="1">
      <c r="A83" s="178"/>
      <c r="B83" s="178"/>
      <c r="C83" s="178"/>
      <c r="D83" s="178"/>
      <c r="E83" s="178"/>
      <c r="F83" s="178"/>
      <c r="G83" s="178"/>
      <c r="H83" s="178"/>
      <c r="I83" s="178"/>
      <c r="J83" s="109"/>
      <c r="K83" s="110"/>
    </row>
    <row r="84" spans="1:15" ht="15.75">
      <c r="A84" s="178"/>
      <c r="B84" s="182" t="s">
        <v>339</v>
      </c>
      <c r="C84" s="183"/>
      <c r="D84" s="184"/>
      <c r="E84" s="522"/>
      <c r="F84" s="522"/>
      <c r="G84" s="522"/>
      <c r="H84" s="522"/>
      <c r="I84" s="522"/>
      <c r="J84" s="523"/>
      <c r="K84" s="110"/>
    </row>
    <row r="85" spans="1:15" ht="15.75">
      <c r="A85" s="178"/>
      <c r="B85" s="524" t="s">
        <v>465</v>
      </c>
      <c r="C85" s="525"/>
      <c r="D85" s="525"/>
      <c r="E85" s="525"/>
      <c r="F85" s="525"/>
      <c r="G85" s="526" t="s">
        <v>152</v>
      </c>
      <c r="H85" s="526"/>
      <c r="I85" s="526"/>
      <c r="J85" s="185" t="s">
        <v>340</v>
      </c>
      <c r="K85" s="110"/>
    </row>
    <row r="86" spans="1:15" ht="15.75">
      <c r="A86" s="178"/>
      <c r="B86" s="524" t="s">
        <v>466</v>
      </c>
      <c r="C86" s="525"/>
      <c r="D86" s="525"/>
      <c r="E86" s="525"/>
      <c r="F86" s="525"/>
      <c r="G86" s="521" t="s">
        <v>75</v>
      </c>
      <c r="H86" s="521"/>
      <c r="I86" s="186" t="s">
        <v>341</v>
      </c>
      <c r="J86" s="187">
        <f>+'AIU1'!H60</f>
        <v>0.24000000000000002</v>
      </c>
      <c r="K86" s="110"/>
    </row>
    <row r="87" spans="1:15" ht="15.75">
      <c r="A87" s="178"/>
      <c r="B87" s="515" t="s">
        <v>467</v>
      </c>
      <c r="C87" s="512"/>
      <c r="D87" s="512"/>
      <c r="E87" s="512"/>
      <c r="F87" s="512"/>
      <c r="G87" s="516" t="s">
        <v>346</v>
      </c>
      <c r="H87" s="517"/>
      <c r="I87" s="186" t="s">
        <v>342</v>
      </c>
      <c r="J87" s="187">
        <f>+'AIU1'!H61</f>
        <v>0.01</v>
      </c>
      <c r="K87" s="110"/>
    </row>
    <row r="88" spans="1:15" ht="15.75">
      <c r="A88" s="178"/>
      <c r="B88" s="518" t="s">
        <v>468</v>
      </c>
      <c r="C88" s="519"/>
      <c r="D88" s="519"/>
      <c r="E88" s="519"/>
      <c r="F88" s="519"/>
      <c r="G88" s="520" t="s">
        <v>76</v>
      </c>
      <c r="H88" s="521"/>
      <c r="I88" s="186" t="s">
        <v>343</v>
      </c>
      <c r="J88" s="187">
        <f>+'AIU1'!H62</f>
        <v>0.06</v>
      </c>
      <c r="K88" s="110"/>
    </row>
    <row r="89" spans="1:15" ht="15.75">
      <c r="A89" s="178"/>
      <c r="B89" s="515" t="s">
        <v>469</v>
      </c>
      <c r="C89" s="512"/>
      <c r="D89" s="512"/>
      <c r="E89" s="512"/>
      <c r="F89" s="512"/>
      <c r="G89" s="521" t="s">
        <v>344</v>
      </c>
      <c r="H89" s="521"/>
      <c r="I89" s="186" t="s">
        <v>345</v>
      </c>
      <c r="J89" s="187">
        <f>+J88+J87+J86</f>
        <v>0.31</v>
      </c>
      <c r="K89" s="110"/>
    </row>
    <row r="90" spans="1:15" ht="15.75">
      <c r="A90" s="178"/>
      <c r="B90" s="511" t="s">
        <v>470</v>
      </c>
      <c r="C90" s="512"/>
      <c r="D90" s="512"/>
      <c r="E90" s="512"/>
      <c r="F90" s="512"/>
      <c r="G90" s="513"/>
      <c r="H90" s="513"/>
      <c r="I90" s="513"/>
      <c r="J90" s="514"/>
      <c r="K90" s="110"/>
    </row>
    <row r="91" spans="1:15" ht="15.75">
      <c r="A91" s="178"/>
      <c r="B91" s="178"/>
      <c r="C91" s="178"/>
      <c r="D91" s="178"/>
      <c r="E91" s="178"/>
      <c r="F91" s="178"/>
      <c r="G91" s="178"/>
      <c r="H91" s="178"/>
      <c r="I91" s="178"/>
      <c r="J91" s="109"/>
      <c r="K91" s="110"/>
    </row>
    <row r="92" spans="1:15" ht="15.75">
      <c r="A92" s="178"/>
      <c r="B92" s="178"/>
      <c r="C92" s="178"/>
      <c r="D92" s="178"/>
      <c r="E92" s="178"/>
      <c r="F92" s="178"/>
      <c r="G92" s="178"/>
      <c r="H92" s="178"/>
      <c r="I92" s="178"/>
      <c r="J92" s="109"/>
      <c r="K92" s="110"/>
    </row>
    <row r="93" spans="1:15" ht="15.75">
      <c r="A93" s="4"/>
      <c r="B93" s="4"/>
      <c r="C93" s="4"/>
      <c r="D93" s="27"/>
      <c r="E93" s="27"/>
      <c r="F93" s="4"/>
      <c r="G93" s="4"/>
      <c r="H93" s="4"/>
      <c r="I93" s="4"/>
      <c r="J93" s="4"/>
      <c r="K93" s="4"/>
    </row>
    <row r="94" spans="1:15" ht="15.75">
      <c r="A94" s="4"/>
      <c r="B94" s="4"/>
      <c r="C94" s="4"/>
      <c r="D94" s="27"/>
      <c r="E94" s="27"/>
      <c r="F94" s="4"/>
      <c r="G94" s="4"/>
      <c r="H94" s="4"/>
      <c r="I94" s="4"/>
      <c r="J94" s="4"/>
      <c r="K94" s="4"/>
    </row>
    <row r="95" spans="1:15" ht="15.75">
      <c r="A95" s="4"/>
      <c r="B95" s="128" t="s">
        <v>246</v>
      </c>
      <c r="C95" s="4"/>
      <c r="D95" s="27"/>
      <c r="E95" s="27"/>
      <c r="F95" s="4"/>
      <c r="G95" s="128" t="s">
        <v>494</v>
      </c>
      <c r="H95" s="4"/>
      <c r="I95" s="4"/>
      <c r="J95" s="501"/>
      <c r="K95" s="501"/>
    </row>
    <row r="96" spans="1:15" ht="15.75">
      <c r="A96" s="4"/>
      <c r="B96" s="4" t="s">
        <v>247</v>
      </c>
      <c r="C96" s="4"/>
      <c r="D96" s="27"/>
      <c r="E96" s="27"/>
      <c r="F96" s="4"/>
      <c r="G96" s="4" t="s">
        <v>495</v>
      </c>
      <c r="H96" s="4"/>
      <c r="I96" s="4"/>
      <c r="J96" s="4"/>
      <c r="K96" s="4"/>
    </row>
  </sheetData>
  <mergeCells count="41">
    <mergeCell ref="B2:J2"/>
    <mergeCell ref="B4:J4"/>
    <mergeCell ref="B85:F85"/>
    <mergeCell ref="G85:I85"/>
    <mergeCell ref="B36:J36"/>
    <mergeCell ref="B60:J60"/>
    <mergeCell ref="B66:J66"/>
    <mergeCell ref="B72:J72"/>
    <mergeCell ref="A76:I76"/>
    <mergeCell ref="F78:I78"/>
    <mergeCell ref="F79:I79"/>
    <mergeCell ref="F80:I80"/>
    <mergeCell ref="F81:I81"/>
    <mergeCell ref="B19:J19"/>
    <mergeCell ref="B24:J24"/>
    <mergeCell ref="F82:I82"/>
    <mergeCell ref="E84:J84"/>
    <mergeCell ref="B30:J30"/>
    <mergeCell ref="B89:F89"/>
    <mergeCell ref="G89:H89"/>
    <mergeCell ref="B90:F90"/>
    <mergeCell ref="G90:J90"/>
    <mergeCell ref="B86:F86"/>
    <mergeCell ref="G86:H86"/>
    <mergeCell ref="B87:F87"/>
    <mergeCell ref="G87:H87"/>
    <mergeCell ref="B88:F88"/>
    <mergeCell ref="G88:H88"/>
    <mergeCell ref="B10:J10"/>
    <mergeCell ref="B3:J3"/>
    <mergeCell ref="C5:J5"/>
    <mergeCell ref="B7:J7"/>
    <mergeCell ref="B8:B9"/>
    <mergeCell ref="C8:C9"/>
    <mergeCell ref="D8:E8"/>
    <mergeCell ref="F8:F9"/>
    <mergeCell ref="G8:G9"/>
    <mergeCell ref="H8:H9"/>
    <mergeCell ref="I8:I9"/>
    <mergeCell ref="J8:J9"/>
    <mergeCell ref="C6:I6"/>
  </mergeCells>
  <pageMargins left="0.68" right="0.41" top="0.75" bottom="0.75" header="0.3" footer="0.3"/>
  <pageSetup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N69" sqref="N69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thickBot="1">
      <c r="A4" s="29" t="s">
        <v>48</v>
      </c>
      <c r="B4" s="324">
        <v>100.07</v>
      </c>
      <c r="C4" s="208" t="s">
        <v>375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4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B9" s="600" t="s">
        <v>239</v>
      </c>
      <c r="C9" s="601"/>
      <c r="D9" s="601"/>
      <c r="E9" s="601"/>
      <c r="F9" s="601"/>
      <c r="G9" s="601"/>
      <c r="H9" s="603"/>
      <c r="I9" s="227"/>
      <c r="J9" s="228"/>
      <c r="K9" s="229">
        <v>25000</v>
      </c>
      <c r="L9" s="230"/>
      <c r="M9" s="231">
        <v>5.4</v>
      </c>
      <c r="N9" s="232">
        <f>K9/M9</f>
        <v>4629.6296296296296</v>
      </c>
    </row>
    <row r="10" spans="1:14">
      <c r="B10" s="600" t="s">
        <v>231</v>
      </c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v>509</v>
      </c>
    </row>
    <row r="11" spans="1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5138.6296296296296</v>
      </c>
    </row>
    <row r="17" spans="2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>
      <c r="B21" s="600" t="s">
        <v>376</v>
      </c>
      <c r="C21" s="682"/>
      <c r="D21" s="682"/>
      <c r="E21" s="682"/>
      <c r="F21" s="682"/>
      <c r="G21" s="682"/>
      <c r="H21" s="682"/>
      <c r="I21" s="603"/>
      <c r="J21" s="254" t="s">
        <v>12</v>
      </c>
      <c r="K21" s="255">
        <v>1.3</v>
      </c>
      <c r="L21" s="683">
        <v>7500</v>
      </c>
      <c r="M21" s="684"/>
      <c r="N21" s="257">
        <f>+L21*K21</f>
        <v>9750</v>
      </c>
    </row>
    <row r="22" spans="2:14">
      <c r="B22" s="600"/>
      <c r="C22" s="682"/>
      <c r="D22" s="682"/>
      <c r="E22" s="682"/>
      <c r="F22" s="682"/>
      <c r="G22" s="682"/>
      <c r="H22" s="682"/>
      <c r="I22" s="603"/>
      <c r="J22" s="254"/>
      <c r="K22" s="255"/>
      <c r="L22" s="227"/>
      <c r="M22" s="256"/>
      <c r="N22" s="257"/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2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320">
        <f>SUM(N21:N26)</f>
        <v>9750</v>
      </c>
    </row>
    <row r="28" spans="2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2:14">
      <c r="B32" s="620" t="s">
        <v>377</v>
      </c>
      <c r="C32" s="687"/>
      <c r="D32" s="687"/>
      <c r="E32" s="687"/>
      <c r="F32" s="687"/>
      <c r="G32" s="688"/>
      <c r="H32" s="267" t="s">
        <v>37</v>
      </c>
      <c r="I32" s="244">
        <v>1.3</v>
      </c>
      <c r="J32" s="268">
        <v>10</v>
      </c>
      <c r="K32" s="244">
        <f>+J32*I32</f>
        <v>13</v>
      </c>
      <c r="L32" s="635">
        <v>1143</v>
      </c>
      <c r="M32" s="636"/>
      <c r="N32" s="269">
        <f>K32*L32</f>
        <v>14859</v>
      </c>
    </row>
    <row r="33" spans="2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5" ht="15.75" thickBot="1">
      <c r="B37" s="280"/>
      <c r="C37" s="270"/>
      <c r="D37" s="270"/>
      <c r="E37" s="270"/>
      <c r="F37" s="270"/>
      <c r="G37" s="270"/>
      <c r="H37" s="315"/>
      <c r="I37" s="316"/>
      <c r="J37" s="316"/>
      <c r="K37" s="316"/>
      <c r="L37" s="685"/>
      <c r="M37" s="686"/>
      <c r="N37" s="319"/>
    </row>
    <row r="38" spans="2:15" ht="15.75" thickBot="1">
      <c r="B38" s="626" t="s">
        <v>58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8"/>
      <c r="N38" s="320">
        <f>N32+N33+N34+N35+N36</f>
        <v>14859</v>
      </c>
    </row>
    <row r="39" spans="2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2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2:15">
      <c r="B43" s="280" t="s">
        <v>237</v>
      </c>
      <c r="C43" s="270"/>
      <c r="D43" s="270"/>
      <c r="E43" s="270"/>
      <c r="F43" s="270"/>
      <c r="G43" s="270"/>
      <c r="H43" s="270"/>
      <c r="I43" s="281">
        <v>27604</v>
      </c>
      <c r="J43" s="35">
        <v>167</v>
      </c>
      <c r="K43" s="36">
        <f>+I43*J43/100</f>
        <v>46098.68</v>
      </c>
      <c r="L43" s="282"/>
      <c r="M43" s="37">
        <v>5.4</v>
      </c>
      <c r="N43" s="38">
        <f>K43/M43</f>
        <v>8536.792592592592</v>
      </c>
      <c r="O43" s="39"/>
    </row>
    <row r="44" spans="2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2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2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7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8536.792592592592</v>
      </c>
    </row>
    <row r="50" spans="2:17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7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38284</v>
      </c>
      <c r="Q51" s="120"/>
    </row>
    <row r="52" spans="2:17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7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7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7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7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8805.32</v>
      </c>
    </row>
    <row r="57" spans="2:17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382.84000000000003</v>
      </c>
    </row>
    <row r="58" spans="2:17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2679.88</v>
      </c>
    </row>
    <row r="59" spans="2:17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11868.04</v>
      </c>
    </row>
    <row r="60" spans="2:17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7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50152</v>
      </c>
    </row>
  </sheetData>
  <mergeCells count="47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B32:G3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21:I21"/>
    <mergeCell ref="B22:I22"/>
    <mergeCell ref="L21:M21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zoomScaleNormal="100" workbookViewId="0">
      <selection activeCell="N68" sqref="N68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2.285156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thickBot="1">
      <c r="A4" s="29" t="s">
        <v>48</v>
      </c>
      <c r="B4" s="324">
        <v>200.01</v>
      </c>
      <c r="C4" s="208" t="s">
        <v>87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4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4" t="s">
        <v>88</v>
      </c>
      <c r="B9" s="600" t="str">
        <f>VLOOKUP(A9,[52]EQUIPOS!A6:D154,3,FALSE)</f>
        <v xml:space="preserve">Carrotanque de agua(1000 Galones) 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70000</v>
      </c>
      <c r="L9" s="230"/>
      <c r="M9" s="231">
        <v>0.04</v>
      </c>
      <c r="N9" s="232">
        <f>+M9*K9</f>
        <v>2800</v>
      </c>
    </row>
    <row r="10" spans="1:14">
      <c r="A10" s="45" t="s">
        <v>89</v>
      </c>
      <c r="B10" s="600" t="str">
        <f>VLOOKUP(A10,[52]EQUIPOS!A7:D154,3,FALSE)</f>
        <v>Motoniveladora  potencia 215 HP, ancho de cuchilla 4,27 m, peso 18 ton.</v>
      </c>
      <c r="C10" s="601"/>
      <c r="D10" s="601"/>
      <c r="E10" s="601"/>
      <c r="F10" s="601"/>
      <c r="G10" s="601"/>
      <c r="H10" s="603"/>
      <c r="I10" s="227"/>
      <c r="J10" s="228"/>
      <c r="K10" s="229">
        <f>VLOOKUP(A10,[52]EQUIPOS!A7:D164,4,FALSE)</f>
        <v>181100</v>
      </c>
      <c r="L10" s="230"/>
      <c r="M10" s="231">
        <v>0.04</v>
      </c>
      <c r="N10" s="232">
        <f t="shared" ref="N10:N11" si="0">+M10*K10</f>
        <v>7244</v>
      </c>
    </row>
    <row r="11" spans="1:14">
      <c r="A11" s="29" t="s">
        <v>90</v>
      </c>
      <c r="B11" s="600" t="str">
        <f>VLOOKUP(A11,[52]EQUIPOS!A8:D154,3,FALSE)</f>
        <v xml:space="preserve">Vibrocompatador, potencia 153 HP, peso 10 Ton. </v>
      </c>
      <c r="C11" s="601"/>
      <c r="D11" s="601"/>
      <c r="E11" s="601"/>
      <c r="F11" s="601"/>
      <c r="G11" s="601"/>
      <c r="H11" s="603"/>
      <c r="I11" s="227"/>
      <c r="J11" s="228"/>
      <c r="K11" s="229">
        <f>VLOOKUP(A11,[52]EQUIPOS!A8:D165,4,FALSE)</f>
        <v>115000</v>
      </c>
      <c r="L11" s="230"/>
      <c r="M11" s="231">
        <v>0.04</v>
      </c>
      <c r="N11" s="232">
        <f t="shared" si="0"/>
        <v>4600</v>
      </c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0.01</v>
      </c>
      <c r="N14" s="38">
        <f>N49*M14</f>
        <v>64.538152000000011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14708.538151999999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29" t="s">
        <v>91</v>
      </c>
      <c r="B21" s="252" t="str">
        <f>VLOOKUP(A21,[52]MATERIALES!A4:D373,3,FALSE)</f>
        <v xml:space="preserve">Material de Sub- Base CBR=30%
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VLOOKUP(A21,[52]MATERIALES!A4:D373,2,FALSE)</f>
        <v>m3</v>
      </c>
      <c r="K21" s="255">
        <v>1.3</v>
      </c>
      <c r="L21" s="227"/>
      <c r="M21" s="256">
        <v>47000</v>
      </c>
      <c r="N21" s="257">
        <f>K21*M21</f>
        <v>61100</v>
      </c>
    </row>
    <row r="22" spans="1:14">
      <c r="A22" s="29" t="s">
        <v>92</v>
      </c>
      <c r="B22" s="252" t="str">
        <f>VLOOKUP(A22,[52]MATERIALES!A5:D373,3,FALSE)</f>
        <v>Agua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VLOOKUP(A22,[52]MATERIALES!A5:D373,2,FALSE)</f>
        <v>lt</v>
      </c>
      <c r="K22" s="255">
        <v>24</v>
      </c>
      <c r="L22" s="227"/>
      <c r="M22" s="256">
        <v>80</v>
      </c>
      <c r="N22" s="257">
        <f>K22*M22</f>
        <v>1920</v>
      </c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63020</v>
      </c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A32" s="29" t="s">
        <v>93</v>
      </c>
      <c r="B32" s="34" t="str">
        <f>VLOOKUP(A32,[52]TRANSPORTE!A5:D104,3,FALSE)</f>
        <v>Transporte de material de subbase</v>
      </c>
      <c r="C32" s="266"/>
      <c r="D32" s="266"/>
      <c r="E32" s="266"/>
      <c r="F32" s="266"/>
      <c r="G32" s="266"/>
      <c r="H32" s="267" t="s">
        <v>94</v>
      </c>
      <c r="I32" s="244">
        <v>1.3</v>
      </c>
      <c r="J32" s="268">
        <v>25</v>
      </c>
      <c r="K32" s="244">
        <f>I32*J32</f>
        <v>32.5</v>
      </c>
      <c r="L32" s="635">
        <v>1143</v>
      </c>
      <c r="M32" s="636"/>
      <c r="N32" s="269">
        <f>K32*L32</f>
        <v>37147.5</v>
      </c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>
        <f>N32+N33+N34+N35+N36</f>
        <v>37147.5</v>
      </c>
    </row>
    <row r="39" spans="1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5">
      <c r="A43" s="29" t="s">
        <v>81</v>
      </c>
      <c r="B43" s="280" t="str">
        <f>VLOOKUP(A43,'[52]MANO DE OBRA'!A8:D68,3,FALSE)</f>
        <v>Oficial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2"/>
      <c r="M43" s="37">
        <v>0.04</v>
      </c>
      <c r="N43" s="38">
        <f>+M43*K43</f>
        <v>2765.9208000000003</v>
      </c>
      <c r="O43" s="39"/>
    </row>
    <row r="44" spans="1:15">
      <c r="A44" s="29" t="s">
        <v>73</v>
      </c>
      <c r="B44" s="280" t="str">
        <f>VLOOKUP(A44,'[52]MANO DE OBRA'!A8:D69,3,FALSE)</f>
        <v>Obrero (2)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0.04</v>
      </c>
      <c r="N44" s="38">
        <f>+M44*K44</f>
        <v>3687.8944000000001</v>
      </c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6453.8152000000009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121330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27905.9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1213.3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8493.1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37612.300000000003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158942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51:M51"/>
    <mergeCell ref="B38:M38"/>
    <mergeCell ref="B42:H42"/>
    <mergeCell ref="L42:M42"/>
    <mergeCell ref="B48:H48"/>
    <mergeCell ref="L48:M48"/>
    <mergeCell ref="B49:M49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zoomScaleNormal="100" workbookViewId="0">
      <selection activeCell="N68" sqref="N68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2.57031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6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6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6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6" ht="15.75" thickBot="1">
      <c r="A4" s="29" t="s">
        <v>48</v>
      </c>
      <c r="B4" s="324">
        <v>200.02</v>
      </c>
      <c r="C4" s="208" t="s">
        <v>95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6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6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6">
      <c r="A9" s="44" t="s">
        <v>88</v>
      </c>
      <c r="B9" s="600" t="str">
        <f>VLOOKUP(A9,[52]EQUIPOS!A6:D154,3,FALSE)</f>
        <v xml:space="preserve">Carrotanque de agua(1000 Galones) 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70000</v>
      </c>
      <c r="L9" s="230"/>
      <c r="M9" s="231">
        <v>0.04</v>
      </c>
      <c r="N9" s="232">
        <f>+M9*K9</f>
        <v>2800</v>
      </c>
      <c r="P9" s="29">
        <f>8/200</f>
        <v>0.04</v>
      </c>
    </row>
    <row r="10" spans="1:16">
      <c r="A10" s="45" t="s">
        <v>89</v>
      </c>
      <c r="B10" s="600" t="str">
        <f>VLOOKUP(A10,[52]EQUIPOS!A7:D154,3,FALSE)</f>
        <v>Motoniveladora  potencia 215 HP, ancho de cuchilla 4,27 m, peso 18 ton.</v>
      </c>
      <c r="C10" s="601"/>
      <c r="D10" s="601"/>
      <c r="E10" s="601"/>
      <c r="F10" s="601"/>
      <c r="G10" s="601"/>
      <c r="H10" s="603"/>
      <c r="I10" s="227"/>
      <c r="J10" s="228"/>
      <c r="K10" s="229">
        <f>VLOOKUP(A10,[52]EQUIPOS!A7:D164,4,FALSE)</f>
        <v>181100</v>
      </c>
      <c r="L10" s="230"/>
      <c r="M10" s="231">
        <v>0.04</v>
      </c>
      <c r="N10" s="232">
        <f t="shared" ref="N10:N11" si="0">+M10*K10</f>
        <v>7244</v>
      </c>
    </row>
    <row r="11" spans="1:16">
      <c r="A11" s="29" t="s">
        <v>90</v>
      </c>
      <c r="B11" s="600" t="str">
        <f>VLOOKUP(A11,[52]EQUIPOS!A8:D154,3,FALSE)</f>
        <v xml:space="preserve">Vibrocompatador, potencia 153 HP, peso 10 Ton. </v>
      </c>
      <c r="C11" s="601"/>
      <c r="D11" s="601"/>
      <c r="E11" s="601"/>
      <c r="F11" s="601"/>
      <c r="G11" s="601"/>
      <c r="H11" s="603"/>
      <c r="I11" s="227"/>
      <c r="J11" s="228"/>
      <c r="K11" s="229">
        <f>VLOOKUP(A11,[52]EQUIPOS!A8:D165,4,FALSE)</f>
        <v>115000</v>
      </c>
      <c r="L11" s="230"/>
      <c r="M11" s="231">
        <v>0.04</v>
      </c>
      <c r="N11" s="232">
        <f t="shared" si="0"/>
        <v>4600</v>
      </c>
    </row>
    <row r="12" spans="1:16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6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6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0.01</v>
      </c>
      <c r="N14" s="38">
        <f>N49*M14</f>
        <v>64.538152000000011</v>
      </c>
    </row>
    <row r="15" spans="1:16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14708.538151999999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29" t="s">
        <v>96</v>
      </c>
      <c r="B21" s="252" t="str">
        <f>VLOOKUP(A21,[52]MATERIALES!A4:D373,3,FALSE)</f>
        <v>Material de base (gradación 2)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VLOOKUP(A21,[52]MATERIALES!A4:D373,2,FALSE)</f>
        <v>m3</v>
      </c>
      <c r="K21" s="255">
        <v>1.3</v>
      </c>
      <c r="L21" s="227"/>
      <c r="M21" s="256">
        <v>53000</v>
      </c>
      <c r="N21" s="257">
        <f>K21*M21</f>
        <v>68900</v>
      </c>
    </row>
    <row r="22" spans="1:14">
      <c r="A22" s="29" t="s">
        <v>92</v>
      </c>
      <c r="B22" s="252" t="str">
        <f>VLOOKUP(A22,[52]MATERIALES!A5:D373,3,FALSE)</f>
        <v>Agua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VLOOKUP(A22,[52]MATERIALES!A5:D373,2,FALSE)</f>
        <v>lt</v>
      </c>
      <c r="K22" s="255">
        <v>24</v>
      </c>
      <c r="L22" s="227"/>
      <c r="M22" s="256">
        <v>80</v>
      </c>
      <c r="N22" s="257">
        <f>K22*M22</f>
        <v>1920</v>
      </c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70820</v>
      </c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A32" s="29" t="s">
        <v>93</v>
      </c>
      <c r="B32" s="620" t="str">
        <f>VLOOKUP(A32,[52]TRANSPORTE!A5:D104,3,FALSE)</f>
        <v>Transporte de material de subbase</v>
      </c>
      <c r="C32" s="687"/>
      <c r="D32" s="687"/>
      <c r="E32" s="687"/>
      <c r="F32" s="687"/>
      <c r="G32" s="688"/>
      <c r="H32" s="267" t="s">
        <v>94</v>
      </c>
      <c r="I32" s="244">
        <v>1.3</v>
      </c>
      <c r="J32" s="268">
        <v>25</v>
      </c>
      <c r="K32" s="244">
        <f>I32*J32</f>
        <v>32.5</v>
      </c>
      <c r="L32" s="635">
        <v>1143</v>
      </c>
      <c r="M32" s="636"/>
      <c r="N32" s="269">
        <f>K32*L32</f>
        <v>37147.5</v>
      </c>
    </row>
    <row r="33" spans="1:15">
      <c r="B33" s="693"/>
      <c r="C33" s="694"/>
      <c r="D33" s="694"/>
      <c r="E33" s="694"/>
      <c r="F33" s="694"/>
      <c r="G33" s="695"/>
      <c r="H33" s="271"/>
      <c r="I33" s="244"/>
      <c r="J33" s="244"/>
      <c r="K33" s="244"/>
      <c r="L33" s="691"/>
      <c r="M33" s="692"/>
      <c r="N33" s="274"/>
    </row>
    <row r="34" spans="1:15">
      <c r="B34" s="693"/>
      <c r="C34" s="694"/>
      <c r="D34" s="694"/>
      <c r="E34" s="694"/>
      <c r="F34" s="694"/>
      <c r="G34" s="695"/>
      <c r="H34" s="271"/>
      <c r="I34" s="244"/>
      <c r="J34" s="244"/>
      <c r="K34" s="244"/>
      <c r="L34" s="691"/>
      <c r="M34" s="692"/>
      <c r="N34" s="274"/>
    </row>
    <row r="35" spans="1:15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691"/>
      <c r="M35" s="692"/>
      <c r="N35" s="274"/>
    </row>
    <row r="36" spans="1:15">
      <c r="B36" s="693"/>
      <c r="C36" s="694"/>
      <c r="D36" s="694"/>
      <c r="E36" s="694"/>
      <c r="F36" s="694"/>
      <c r="G36" s="695"/>
      <c r="H36" s="271"/>
      <c r="I36" s="244"/>
      <c r="J36" s="244"/>
      <c r="K36" s="244"/>
      <c r="L36" s="691"/>
      <c r="M36" s="692"/>
      <c r="N36" s="274"/>
    </row>
    <row r="37" spans="1:15" ht="15.75" thickBot="1">
      <c r="B37" s="689"/>
      <c r="C37" s="690"/>
      <c r="D37" s="690"/>
      <c r="E37" s="690"/>
      <c r="F37" s="690"/>
      <c r="G37" s="625"/>
      <c r="H37" s="277"/>
      <c r="I37" s="278"/>
      <c r="J37" s="278"/>
      <c r="K37" s="278"/>
      <c r="L37" s="618"/>
      <c r="M37" s="619"/>
      <c r="N37" s="319"/>
    </row>
    <row r="38" spans="1:15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320">
        <f>N32+N33+N34+N35+N36</f>
        <v>37147.5</v>
      </c>
    </row>
    <row r="39" spans="1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5">
      <c r="A43" s="29" t="s">
        <v>81</v>
      </c>
      <c r="B43" s="280" t="str">
        <f>VLOOKUP(A43,'[52]MANO DE OBRA'!A8:D68,3,FALSE)</f>
        <v>Oficial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2"/>
      <c r="M43" s="37">
        <v>0.04</v>
      </c>
      <c r="N43" s="321">
        <f>+M43*K43</f>
        <v>2765.9208000000003</v>
      </c>
      <c r="O43" s="39"/>
    </row>
    <row r="44" spans="1:15">
      <c r="A44" s="29" t="s">
        <v>73</v>
      </c>
      <c r="B44" s="280" t="str">
        <f>VLOOKUP(A44,'[52]MANO DE OBRA'!A8:D69,3,FALSE)</f>
        <v>Obrero (2)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0.04</v>
      </c>
      <c r="N44" s="321">
        <f>+M44*K44</f>
        <v>3687.8944000000001</v>
      </c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21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21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21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321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6453.8152000000009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129130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29699.9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1291.3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9039.1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40030.300000000003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169160</v>
      </c>
    </row>
  </sheetData>
  <mergeCells count="5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51:M51"/>
    <mergeCell ref="B38:M38"/>
    <mergeCell ref="B42:H42"/>
    <mergeCell ref="L42:M42"/>
    <mergeCell ref="B48:H48"/>
    <mergeCell ref="L48:M48"/>
    <mergeCell ref="B49:M49"/>
    <mergeCell ref="L31:M31"/>
    <mergeCell ref="L32:M32"/>
    <mergeCell ref="L33:M33"/>
    <mergeCell ref="L34:M34"/>
    <mergeCell ref="L35:M35"/>
    <mergeCell ref="B20:I20"/>
    <mergeCell ref="L20:M20"/>
    <mergeCell ref="B26:I26"/>
    <mergeCell ref="L26:M26"/>
    <mergeCell ref="B27:M27"/>
    <mergeCell ref="B14:D14"/>
    <mergeCell ref="B15:H15"/>
    <mergeCell ref="I15:J15"/>
    <mergeCell ref="L15:M15"/>
    <mergeCell ref="B16:M16"/>
    <mergeCell ref="B32:G32"/>
    <mergeCell ref="B36:G36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B37:G37"/>
    <mergeCell ref="L36:M36"/>
    <mergeCell ref="B33:G33"/>
    <mergeCell ref="B34:G34"/>
    <mergeCell ref="B35:G35"/>
    <mergeCell ref="L37:M3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zoomScaleNormal="100" workbookViewId="0">
      <selection activeCell="O68" sqref="O68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2.57031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thickBot="1">
      <c r="A4" s="29" t="s">
        <v>48</v>
      </c>
      <c r="B4" s="324">
        <v>200.03</v>
      </c>
      <c r="C4" s="208" t="s">
        <v>240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4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4"/>
      <c r="B9" s="600" t="s">
        <v>231</v>
      </c>
      <c r="C9" s="601"/>
      <c r="D9" s="601"/>
      <c r="E9" s="601"/>
      <c r="F9" s="601"/>
      <c r="G9" s="601"/>
      <c r="H9" s="603"/>
      <c r="I9" s="227"/>
      <c r="J9" s="228"/>
      <c r="K9" s="229"/>
      <c r="L9" s="696">
        <v>0.1</v>
      </c>
      <c r="M9" s="697"/>
      <c r="N9" s="232">
        <f>+L9*N49</f>
        <v>645.38152000000014</v>
      </c>
    </row>
    <row r="10" spans="1:14">
      <c r="A10" s="45"/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1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645.38152000000014</v>
      </c>
    </row>
    <row r="17" spans="1:16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6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6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6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6">
      <c r="B21" s="252" t="s">
        <v>241</v>
      </c>
      <c r="C21" s="253"/>
      <c r="D21" s="253"/>
      <c r="E21" s="253"/>
      <c r="F21" s="253"/>
      <c r="G21" s="253"/>
      <c r="H21" s="253"/>
      <c r="I21" s="228"/>
      <c r="J21" s="254" t="s">
        <v>12</v>
      </c>
      <c r="K21" s="255">
        <v>1.3</v>
      </c>
      <c r="L21" s="227"/>
      <c r="M21" s="256">
        <v>54000</v>
      </c>
      <c r="N21" s="257">
        <f>K21*M21</f>
        <v>70200</v>
      </c>
    </row>
    <row r="22" spans="1:16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>
        <f>K22*M22</f>
        <v>0</v>
      </c>
    </row>
    <row r="23" spans="1:16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6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6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70200</v>
      </c>
    </row>
    <row r="28" spans="1:16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6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6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6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6">
      <c r="A32" s="29" t="s">
        <v>93</v>
      </c>
      <c r="B32" s="34" t="s">
        <v>242</v>
      </c>
      <c r="C32" s="266"/>
      <c r="D32" s="266"/>
      <c r="E32" s="266"/>
      <c r="F32" s="266"/>
      <c r="G32" s="266"/>
      <c r="H32" s="267" t="s">
        <v>94</v>
      </c>
      <c r="I32" s="244">
        <v>1.3</v>
      </c>
      <c r="J32" s="268">
        <v>25</v>
      </c>
      <c r="K32" s="244">
        <f>I32*J32</f>
        <v>32.5</v>
      </c>
      <c r="L32" s="635">
        <v>1143</v>
      </c>
      <c r="M32" s="636"/>
      <c r="N32" s="269">
        <f>K32*L32</f>
        <v>37147.5</v>
      </c>
      <c r="P32" s="29">
        <f>4+12+6.5</f>
        <v>22.5</v>
      </c>
    </row>
    <row r="33" spans="2:20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  <c r="S33" s="698"/>
      <c r="T33" s="699"/>
    </row>
    <row r="34" spans="2:20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20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20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20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2:20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>
        <f>N32+N33+N34+N35+N36</f>
        <v>37147.5</v>
      </c>
    </row>
    <row r="39" spans="2:20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2:20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20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20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2:20">
      <c r="B43" s="280" t="s">
        <v>289</v>
      </c>
      <c r="C43" s="270"/>
      <c r="D43" s="270"/>
      <c r="E43" s="270"/>
      <c r="F43" s="270"/>
      <c r="G43" s="270"/>
      <c r="H43" s="270"/>
      <c r="I43" s="281">
        <f>27604*2</f>
        <v>55208</v>
      </c>
      <c r="J43" s="35">
        <v>167</v>
      </c>
      <c r="K43" s="36">
        <f>+J43*I43/100</f>
        <v>92197.36</v>
      </c>
      <c r="L43" s="282"/>
      <c r="M43" s="37">
        <v>7.0000000000000007E-2</v>
      </c>
      <c r="N43" s="38">
        <f>+M43*K43</f>
        <v>6453.8152000000009</v>
      </c>
      <c r="O43" s="39"/>
    </row>
    <row r="44" spans="2:20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2:20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2:20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20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20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7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6453.8152000000009</v>
      </c>
    </row>
    <row r="50" spans="2:17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7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114447</v>
      </c>
      <c r="Q51" s="120"/>
    </row>
    <row r="52" spans="2:17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7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7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7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7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26322.81</v>
      </c>
    </row>
    <row r="57" spans="2:17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1144.47</v>
      </c>
    </row>
    <row r="58" spans="2:17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8011.2900000000009</v>
      </c>
    </row>
    <row r="59" spans="2:17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35478.570000000007</v>
      </c>
    </row>
    <row r="60" spans="2:17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7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149926</v>
      </c>
    </row>
  </sheetData>
  <mergeCells count="45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49:M49"/>
    <mergeCell ref="B51:M51"/>
    <mergeCell ref="S33:T33"/>
    <mergeCell ref="L32:M32"/>
    <mergeCell ref="L37:M37"/>
    <mergeCell ref="B38:M38"/>
    <mergeCell ref="B42:H42"/>
    <mergeCell ref="L42:M42"/>
    <mergeCell ref="B48:H48"/>
    <mergeCell ref="L48:M48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9:M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1" zoomScaleNormal="100" workbookViewId="0">
      <selection activeCell="O55" sqref="O55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2.285156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5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481"/>
      <c r="K2" s="290" t="s">
        <v>46</v>
      </c>
      <c r="L2" s="598" t="s">
        <v>47</v>
      </c>
      <c r="M2" s="599"/>
      <c r="N2" s="288" t="s">
        <v>5</v>
      </c>
    </row>
    <row r="3" spans="1:15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482"/>
      <c r="K3" s="206"/>
      <c r="L3" s="606" t="s">
        <v>47</v>
      </c>
      <c r="M3" s="607"/>
      <c r="N3" s="204" t="s">
        <v>5</v>
      </c>
    </row>
    <row r="4" spans="1:15" ht="15.75" thickBot="1">
      <c r="A4" s="29" t="s">
        <v>48</v>
      </c>
      <c r="B4" s="324">
        <v>200.04</v>
      </c>
      <c r="C4" s="208" t="s">
        <v>481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5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5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5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5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5">
      <c r="A9" s="44" t="s">
        <v>88</v>
      </c>
      <c r="B9" s="600" t="s">
        <v>482</v>
      </c>
      <c r="C9" s="601"/>
      <c r="D9" s="601"/>
      <c r="E9" s="601"/>
      <c r="F9" s="601"/>
      <c r="G9" s="601"/>
      <c r="H9" s="603"/>
      <c r="I9" s="227"/>
      <c r="J9" s="228"/>
      <c r="K9" s="229">
        <v>65000</v>
      </c>
      <c r="L9" s="230"/>
      <c r="M9" s="231">
        <v>0.125</v>
      </c>
      <c r="N9" s="232">
        <f>+M9*K9</f>
        <v>8125</v>
      </c>
    </row>
    <row r="10" spans="1:15">
      <c r="A10" s="45" t="s">
        <v>89</v>
      </c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f t="shared" ref="N10:N11" si="0">+M10*K10</f>
        <v>0</v>
      </c>
    </row>
    <row r="11" spans="1:15">
      <c r="A11" s="29" t="s">
        <v>90</v>
      </c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>
        <f t="shared" si="0"/>
        <v>0</v>
      </c>
    </row>
    <row r="12" spans="1:15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5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5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0.01</v>
      </c>
      <c r="N14" s="38">
        <f>N49*M14</f>
        <v>64.538152000000011</v>
      </c>
      <c r="O14" s="120"/>
    </row>
    <row r="15" spans="1:15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5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8189.5381520000001</v>
      </c>
      <c r="O16" s="120"/>
    </row>
    <row r="17" spans="1:16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6">
      <c r="B18" s="248" t="s">
        <v>59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249"/>
    </row>
    <row r="19" spans="1:16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6">
      <c r="B20" s="608" t="s">
        <v>3</v>
      </c>
      <c r="C20" s="609"/>
      <c r="D20" s="609"/>
      <c r="E20" s="609"/>
      <c r="F20" s="609"/>
      <c r="G20" s="609"/>
      <c r="H20" s="609"/>
      <c r="I20" s="610"/>
      <c r="J20" s="485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6">
      <c r="B21" s="252" t="s">
        <v>480</v>
      </c>
      <c r="C21" s="253"/>
      <c r="D21" s="253"/>
      <c r="E21" s="253"/>
      <c r="F21" s="253"/>
      <c r="G21" s="253"/>
      <c r="H21" s="253"/>
      <c r="I21" s="228"/>
      <c r="J21" s="254" t="s">
        <v>12</v>
      </c>
      <c r="K21" s="255">
        <v>1.3</v>
      </c>
      <c r="L21" s="227"/>
      <c r="M21" s="256">
        <v>34926</v>
      </c>
      <c r="N21" s="257">
        <f>K21*M21</f>
        <v>45403.8</v>
      </c>
      <c r="O21" s="499"/>
      <c r="P21" s="500"/>
    </row>
    <row r="22" spans="1:16">
      <c r="A22" s="29" t="s">
        <v>92</v>
      </c>
      <c r="B22" s="252" t="str">
        <f>VLOOKUP(A22,[52]MATERIALES!A5:D373,3,FALSE)</f>
        <v>Agua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VLOOKUP(A22,[52]MATERIALES!A5:D373,2,FALSE)</f>
        <v>lt</v>
      </c>
      <c r="K22" s="255">
        <v>24</v>
      </c>
      <c r="L22" s="227"/>
      <c r="M22" s="256">
        <v>80</v>
      </c>
      <c r="N22" s="257">
        <f>K22*M22</f>
        <v>1920</v>
      </c>
      <c r="O22" s="499"/>
    </row>
    <row r="23" spans="1:16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6" ht="15.75" thickBot="1">
      <c r="B26" s="629"/>
      <c r="C26" s="630"/>
      <c r="D26" s="630"/>
      <c r="E26" s="630"/>
      <c r="F26" s="630"/>
      <c r="G26" s="630"/>
      <c r="H26" s="630"/>
      <c r="I26" s="615"/>
      <c r="J26" s="486"/>
      <c r="K26" s="258"/>
      <c r="L26" s="631"/>
      <c r="M26" s="632"/>
      <c r="N26" s="259"/>
    </row>
    <row r="27" spans="1:16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47323.8</v>
      </c>
      <c r="O27" s="499"/>
    </row>
    <row r="28" spans="1:16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6">
      <c r="B29" s="248" t="s">
        <v>61</v>
      </c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249"/>
    </row>
    <row r="30" spans="1:16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6" ht="25.5">
      <c r="B31" s="483" t="s">
        <v>62</v>
      </c>
      <c r="C31" s="484"/>
      <c r="D31" s="484"/>
      <c r="E31" s="484"/>
      <c r="F31" s="484"/>
      <c r="G31" s="484"/>
      <c r="H31" s="294" t="s">
        <v>47</v>
      </c>
      <c r="I31" s="295" t="s">
        <v>63</v>
      </c>
      <c r="J31" s="481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6">
      <c r="A32" s="29" t="s">
        <v>93</v>
      </c>
      <c r="B32" s="34" t="s">
        <v>484</v>
      </c>
      <c r="C32" s="487"/>
      <c r="D32" s="487"/>
      <c r="E32" s="487"/>
      <c r="F32" s="487"/>
      <c r="G32" s="487"/>
      <c r="H32" s="267" t="s">
        <v>483</v>
      </c>
      <c r="I32" s="244">
        <v>1.3</v>
      </c>
      <c r="J32" s="268">
        <v>25</v>
      </c>
      <c r="K32" s="244">
        <f>I32*J32</f>
        <v>32.5</v>
      </c>
      <c r="L32" s="635">
        <v>1143</v>
      </c>
      <c r="M32" s="636"/>
      <c r="N32" s="269">
        <f>K32*L32</f>
        <v>37147.5</v>
      </c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493"/>
      <c r="M33" s="494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493"/>
      <c r="M34" s="494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493"/>
      <c r="M35" s="494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493"/>
      <c r="M36" s="494"/>
      <c r="N36" s="274"/>
    </row>
    <row r="37" spans="1:15" ht="15.75" thickBot="1">
      <c r="B37" s="489"/>
      <c r="C37" s="490"/>
      <c r="D37" s="490"/>
      <c r="E37" s="490"/>
      <c r="F37" s="490"/>
      <c r="G37" s="490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>
        <f>N32+N33+N34+N35+N36</f>
        <v>37147.5</v>
      </c>
      <c r="O38" s="39"/>
    </row>
    <row r="39" spans="1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 t="s">
        <v>68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249"/>
    </row>
    <row r="41" spans="1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481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5">
      <c r="A43" s="29" t="s">
        <v>81</v>
      </c>
      <c r="B43" s="280" t="str">
        <f>VLOOKUP(A43,'[52]MANO DE OBRA'!A8:D68,3,FALSE)</f>
        <v>Oficial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2"/>
      <c r="M43" s="37">
        <v>0.04</v>
      </c>
      <c r="N43" s="38">
        <f>+M43*K43</f>
        <v>2765.9208000000003</v>
      </c>
      <c r="O43" s="39"/>
    </row>
    <row r="44" spans="1:15">
      <c r="A44" s="29" t="s">
        <v>73</v>
      </c>
      <c r="B44" s="280" t="str">
        <f>VLOOKUP(A44,'[52]MANO DE OBRA'!A8:D69,3,FALSE)</f>
        <v>Obrero (2)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0.04</v>
      </c>
      <c r="N44" s="38">
        <f>+M44*K44</f>
        <v>3687.8944000000001</v>
      </c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488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488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7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6453.8152000000009</v>
      </c>
      <c r="O49" s="120"/>
    </row>
    <row r="50" spans="2:17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7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99115</v>
      </c>
      <c r="O51" s="107"/>
      <c r="Q51" s="500"/>
    </row>
    <row r="52" spans="2:17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  <c r="O52" s="107"/>
    </row>
    <row r="53" spans="2:17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  <c r="O53" s="107"/>
    </row>
    <row r="54" spans="2:17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  <c r="O54" s="107"/>
    </row>
    <row r="55" spans="2:17">
      <c r="B55" s="669" t="s">
        <v>433</v>
      </c>
      <c r="C55" s="670"/>
      <c r="D55" s="670"/>
      <c r="E55" s="670"/>
      <c r="F55" s="670"/>
      <c r="G55" s="670"/>
      <c r="H55" s="670"/>
      <c r="I55" s="491"/>
      <c r="J55" s="492"/>
      <c r="K55" s="410" t="s">
        <v>434</v>
      </c>
      <c r="L55" s="671" t="s">
        <v>156</v>
      </c>
      <c r="M55" s="672"/>
      <c r="N55" s="411"/>
      <c r="O55" s="107"/>
    </row>
    <row r="56" spans="2:17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22796.45</v>
      </c>
      <c r="O56" s="107"/>
    </row>
    <row r="57" spans="2:17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991.15</v>
      </c>
      <c r="O57" s="107"/>
    </row>
    <row r="58" spans="2:17" ht="15.75" thickBot="1">
      <c r="B58" s="495" t="s">
        <v>76</v>
      </c>
      <c r="C58" s="496"/>
      <c r="D58" s="496"/>
      <c r="E58" s="496"/>
      <c r="F58" s="496"/>
      <c r="G58" s="496"/>
      <c r="H58" s="496"/>
      <c r="I58" s="423"/>
      <c r="J58" s="424"/>
      <c r="K58" s="420">
        <v>7.0000000000000007E-2</v>
      </c>
      <c r="L58" s="652"/>
      <c r="M58" s="653"/>
      <c r="N58" s="421">
        <f>+N51*K58</f>
        <v>6938.0500000000011</v>
      </c>
      <c r="O58" s="107"/>
    </row>
    <row r="59" spans="2:17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30725.65</v>
      </c>
      <c r="O59" s="107"/>
    </row>
    <row r="60" spans="2:17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  <c r="O60" s="107"/>
    </row>
    <row r="61" spans="2:17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129841</v>
      </c>
      <c r="O61" s="107"/>
    </row>
  </sheetData>
  <mergeCells count="43">
    <mergeCell ref="C2:I2"/>
    <mergeCell ref="L2:M2"/>
    <mergeCell ref="C3:I3"/>
    <mergeCell ref="L3:M3"/>
    <mergeCell ref="B8:H8"/>
    <mergeCell ref="I8:J8"/>
    <mergeCell ref="L8:M8"/>
    <mergeCell ref="B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I15:J15"/>
    <mergeCell ref="L15:M15"/>
    <mergeCell ref="B48:H48"/>
    <mergeCell ref="L48:M48"/>
    <mergeCell ref="B20:I20"/>
    <mergeCell ref="L20:M20"/>
    <mergeCell ref="B26:I26"/>
    <mergeCell ref="L26:M26"/>
    <mergeCell ref="B27:M27"/>
    <mergeCell ref="L31:M31"/>
    <mergeCell ref="L32:M32"/>
    <mergeCell ref="L37:M37"/>
    <mergeCell ref="B38:M38"/>
    <mergeCell ref="B42:H42"/>
    <mergeCell ref="L42:M42"/>
    <mergeCell ref="L57:M57"/>
    <mergeCell ref="L58:M58"/>
    <mergeCell ref="B59:M59"/>
    <mergeCell ref="B61:M61"/>
    <mergeCell ref="B49:M49"/>
    <mergeCell ref="B51:M5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7" zoomScaleNormal="100" workbookViewId="0">
      <selection activeCell="N66" sqref="N66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8554687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17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7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7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7" ht="15.75" thickBot="1">
      <c r="A4" s="29" t="s">
        <v>48</v>
      </c>
      <c r="B4" s="324">
        <v>300.01</v>
      </c>
      <c r="C4" s="208" t="s">
        <v>97</v>
      </c>
      <c r="D4" s="209"/>
      <c r="E4" s="209"/>
      <c r="F4" s="209"/>
      <c r="G4" s="209"/>
      <c r="H4" s="209"/>
      <c r="I4" s="209"/>
      <c r="J4" s="210"/>
      <c r="K4" s="211"/>
      <c r="L4" s="212" t="s">
        <v>20</v>
      </c>
      <c r="M4" s="213"/>
      <c r="N4" s="214"/>
    </row>
    <row r="5" spans="1:17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7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7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7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7">
      <c r="A9" s="44" t="s">
        <v>98</v>
      </c>
      <c r="B9" s="600" t="s">
        <v>378</v>
      </c>
      <c r="C9" s="601"/>
      <c r="D9" s="601"/>
      <c r="E9" s="601"/>
      <c r="F9" s="601"/>
      <c r="G9" s="601"/>
      <c r="H9" s="603"/>
      <c r="I9" s="227"/>
      <c r="J9" s="228"/>
      <c r="K9" s="229">
        <v>83300</v>
      </c>
      <c r="L9" s="230"/>
      <c r="M9" s="231">
        <v>2E-3</v>
      </c>
      <c r="N9" s="232">
        <f>+M9*K9</f>
        <v>166.6</v>
      </c>
    </row>
    <row r="10" spans="1:17">
      <c r="A10" s="45" t="s">
        <v>99</v>
      </c>
      <c r="B10" s="600" t="s">
        <v>364</v>
      </c>
      <c r="C10" s="601"/>
      <c r="D10" s="601"/>
      <c r="E10" s="601"/>
      <c r="F10" s="601"/>
      <c r="G10" s="601"/>
      <c r="H10" s="603"/>
      <c r="I10" s="227"/>
      <c r="J10" s="228"/>
      <c r="K10" s="229">
        <v>31250</v>
      </c>
      <c r="L10" s="230"/>
      <c r="M10" s="231">
        <v>2E-3</v>
      </c>
      <c r="N10" s="232">
        <f>+M10*K10</f>
        <v>62.5</v>
      </c>
      <c r="Q10" s="197"/>
    </row>
    <row r="11" spans="1:17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7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7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7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322">
        <v>0.05</v>
      </c>
      <c r="N14" s="38">
        <f>N49*M14</f>
        <v>23.049340000000001</v>
      </c>
    </row>
    <row r="15" spans="1:17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7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252.14934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29" t="s">
        <v>100</v>
      </c>
      <c r="B21" s="252" t="s">
        <v>379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VLOOKUP(A21,[52]MATERIALES!A4:D373,2,FALSE)</f>
        <v>lt</v>
      </c>
      <c r="K21" s="255">
        <v>1</v>
      </c>
      <c r="L21" s="227"/>
      <c r="M21" s="313">
        <v>1326</v>
      </c>
      <c r="N21" s="232">
        <f>K21*M21</f>
        <v>1326</v>
      </c>
    </row>
    <row r="22" spans="1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32"/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32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32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32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32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1326</v>
      </c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B32" s="34"/>
      <c r="C32" s="266"/>
      <c r="D32" s="266"/>
      <c r="E32" s="266"/>
      <c r="F32" s="266"/>
      <c r="G32" s="266"/>
      <c r="H32" s="267"/>
      <c r="I32" s="244"/>
      <c r="J32" s="268"/>
      <c r="K32" s="244"/>
      <c r="L32" s="635"/>
      <c r="M32" s="636"/>
      <c r="N32" s="269"/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5">
      <c r="A43" s="29" t="s">
        <v>101</v>
      </c>
      <c r="B43" s="280" t="str">
        <f>VLOOKUP(A43,'[52]MANO DE OBRA'!A8:D68,3,FALSE)</f>
        <v>Obrero (4)</v>
      </c>
      <c r="C43" s="270"/>
      <c r="D43" s="270"/>
      <c r="E43" s="270"/>
      <c r="F43" s="270"/>
      <c r="G43" s="270"/>
      <c r="H43" s="270"/>
      <c r="I43" s="281">
        <f>27604*4</f>
        <v>110416</v>
      </c>
      <c r="J43" s="35">
        <v>167</v>
      </c>
      <c r="K43" s="36">
        <f>+J43*I43/100</f>
        <v>184394.72</v>
      </c>
      <c r="L43" s="282"/>
      <c r="M43" s="194">
        <v>2.5000000000000001E-3</v>
      </c>
      <c r="N43" s="38">
        <f>+M43*K43</f>
        <v>460.98680000000002</v>
      </c>
      <c r="O43" s="39"/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460.98680000000002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2039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468.97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20.39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142.73000000000002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632.09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2671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51:M51"/>
    <mergeCell ref="B38:M38"/>
    <mergeCell ref="B42:H42"/>
    <mergeCell ref="L42:M42"/>
    <mergeCell ref="B48:H48"/>
    <mergeCell ref="L48:M48"/>
    <mergeCell ref="B49:M49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V60"/>
  <sheetViews>
    <sheetView topLeftCell="A37" workbookViewId="0">
      <selection activeCell="N62" sqref="N62"/>
    </sheetView>
  </sheetViews>
  <sheetFormatPr baseColWidth="10" defaultRowHeight="15"/>
  <cols>
    <col min="9" max="9" width="12.85546875" bestFit="1" customWidth="1"/>
    <col min="10" max="10" width="11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2" ht="15.75" thickBot="1"/>
    <row r="2" spans="2:22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2:22" ht="15.75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2:22" ht="15.75" thickBot="1">
      <c r="B4" s="324">
        <v>300.02</v>
      </c>
      <c r="C4" s="208" t="s">
        <v>385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2:22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22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22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22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22">
      <c r="B9" s="600" t="s">
        <v>244</v>
      </c>
      <c r="C9" s="601"/>
      <c r="D9" s="601"/>
      <c r="E9" s="601"/>
      <c r="F9" s="601"/>
      <c r="G9" s="601"/>
      <c r="H9" s="603"/>
      <c r="I9" s="227"/>
      <c r="J9" s="228"/>
      <c r="K9" s="229">
        <v>45000</v>
      </c>
      <c r="L9" s="230"/>
      <c r="M9" s="231">
        <v>8.0000000000000002E-3</v>
      </c>
      <c r="N9" s="232">
        <f>+M9*K9</f>
        <v>360</v>
      </c>
      <c r="P9">
        <f>8/150</f>
        <v>5.3333333333333337E-2</v>
      </c>
      <c r="Q9">
        <f>50/0.1</f>
        <v>500</v>
      </c>
      <c r="S9">
        <f>200/8</f>
        <v>25</v>
      </c>
      <c r="U9">
        <f>+Q9*2</f>
        <v>1000</v>
      </c>
      <c r="V9">
        <f>8/1000</f>
        <v>8.0000000000000002E-3</v>
      </c>
    </row>
    <row r="10" spans="2:22">
      <c r="B10" s="600" t="s">
        <v>386</v>
      </c>
      <c r="C10" s="601"/>
      <c r="D10" s="601"/>
      <c r="E10" s="601"/>
      <c r="F10" s="601"/>
      <c r="G10" s="601"/>
      <c r="H10" s="603"/>
      <c r="I10" s="227"/>
      <c r="J10" s="228"/>
      <c r="K10" s="229">
        <v>115000</v>
      </c>
      <c r="L10" s="230"/>
      <c r="M10" s="231">
        <v>0.02</v>
      </c>
      <c r="N10" s="232">
        <f t="shared" ref="N10" si="0">+M10*K10</f>
        <v>2300</v>
      </c>
      <c r="R10">
        <f>1/50</f>
        <v>0.02</v>
      </c>
    </row>
    <row r="11" spans="2:22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2:22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2:22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22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22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2:22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/>
      <c r="M16" s="625">
        <v>0.1</v>
      </c>
      <c r="N16" s="246">
        <f>N48*M16</f>
        <v>8703.4521600000007</v>
      </c>
    </row>
    <row r="17" spans="2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11363.452160000001</v>
      </c>
    </row>
    <row r="18" spans="2:14">
      <c r="B18" s="703"/>
      <c r="C18" s="704"/>
      <c r="D18" s="704"/>
      <c r="E18" s="704"/>
      <c r="F18" s="704"/>
      <c r="G18" s="704"/>
      <c r="H18" s="704"/>
      <c r="I18" s="705"/>
      <c r="J18" s="251"/>
      <c r="K18" s="223"/>
      <c r="L18" s="706"/>
      <c r="M18" s="705"/>
      <c r="N18" s="224"/>
    </row>
    <row r="19" spans="2:14">
      <c r="B19" s="248" t="s">
        <v>59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49"/>
    </row>
    <row r="20" spans="2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14">
      <c r="B21" s="608" t="s">
        <v>3</v>
      </c>
      <c r="C21" s="609"/>
      <c r="D21" s="609"/>
      <c r="E21" s="609"/>
      <c r="F21" s="609"/>
      <c r="G21" s="609"/>
      <c r="H21" s="609"/>
      <c r="I21" s="610"/>
      <c r="J21" s="291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14">
      <c r="B22" s="252" t="s">
        <v>381</v>
      </c>
      <c r="C22" s="253"/>
      <c r="D22" s="253"/>
      <c r="E22" s="253"/>
      <c r="F22" s="253"/>
      <c r="G22" s="253"/>
      <c r="H22" s="253"/>
      <c r="I22" s="228"/>
      <c r="J22" s="254" t="s">
        <v>12</v>
      </c>
      <c r="K22" s="255">
        <v>1.25</v>
      </c>
      <c r="L22" s="227"/>
      <c r="M22" s="313">
        <f>354000*1.19</f>
        <v>421260</v>
      </c>
      <c r="N22" s="232">
        <f>K22*M22</f>
        <v>526575</v>
      </c>
    </row>
    <row r="23" spans="2:14">
      <c r="B23" s="600"/>
      <c r="C23" s="682"/>
      <c r="D23" s="682"/>
      <c r="E23" s="682"/>
      <c r="F23" s="682"/>
      <c r="G23" s="682"/>
      <c r="H23" s="682"/>
      <c r="I23" s="603"/>
      <c r="J23" s="254"/>
      <c r="K23" s="255"/>
      <c r="L23" s="227"/>
      <c r="M23" s="256"/>
      <c r="N23" s="257"/>
    </row>
    <row r="24" spans="2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227"/>
      <c r="M24" s="256"/>
      <c r="N24" s="257"/>
    </row>
    <row r="25" spans="2:14">
      <c r="B25" s="600"/>
      <c r="C25" s="682"/>
      <c r="D25" s="682"/>
      <c r="E25" s="682"/>
      <c r="F25" s="682"/>
      <c r="G25" s="682"/>
      <c r="H25" s="682"/>
      <c r="I25" s="603"/>
      <c r="J25" s="254"/>
      <c r="K25" s="255"/>
      <c r="L25" s="227"/>
      <c r="M25" s="256"/>
      <c r="N25" s="257"/>
    </row>
    <row r="26" spans="2:14" ht="15.75" thickBot="1">
      <c r="B26" s="600"/>
      <c r="C26" s="682"/>
      <c r="D26" s="682"/>
      <c r="E26" s="682"/>
      <c r="F26" s="682"/>
      <c r="G26" s="682"/>
      <c r="H26" s="682"/>
      <c r="I26" s="603"/>
      <c r="J26" s="254"/>
      <c r="K26" s="255"/>
      <c r="L26" s="227"/>
      <c r="M26" s="256"/>
      <c r="N26" s="257"/>
    </row>
    <row r="27" spans="2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SUM(N22:N26)</f>
        <v>526575</v>
      </c>
    </row>
    <row r="28" spans="2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2:14">
      <c r="B32" s="34" t="s">
        <v>382</v>
      </c>
      <c r="C32" s="266"/>
      <c r="D32" s="266"/>
      <c r="E32" s="266"/>
      <c r="F32" s="266"/>
      <c r="G32" s="266"/>
      <c r="H32" s="267" t="s">
        <v>108</v>
      </c>
      <c r="I32" s="244">
        <v>1.25</v>
      </c>
      <c r="J32" s="268">
        <v>55</v>
      </c>
      <c r="K32" s="244">
        <f>+J32*I32</f>
        <v>68.75</v>
      </c>
      <c r="L32" s="635">
        <v>1143</v>
      </c>
      <c r="M32" s="636"/>
      <c r="N32" s="269">
        <f>K32*L32</f>
        <v>78581.25</v>
      </c>
    </row>
    <row r="33" spans="2:16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6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6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272"/>
      <c r="M35" s="273"/>
      <c r="N35" s="274"/>
    </row>
    <row r="36" spans="2:16" ht="15.75" thickBot="1">
      <c r="B36" s="689"/>
      <c r="C36" s="690"/>
      <c r="D36" s="690"/>
      <c r="E36" s="690"/>
      <c r="F36" s="690"/>
      <c r="G36" s="625"/>
      <c r="H36" s="277"/>
      <c r="I36" s="278"/>
      <c r="J36" s="278"/>
      <c r="K36" s="278"/>
      <c r="L36" s="618"/>
      <c r="M36" s="619"/>
      <c r="N36" s="319"/>
    </row>
    <row r="37" spans="2:16" ht="15.75" thickBot="1">
      <c r="B37" s="646" t="s">
        <v>58</v>
      </c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8"/>
      <c r="N37" s="320">
        <f>N32+N33+N34+N35</f>
        <v>78581.25</v>
      </c>
    </row>
    <row r="38" spans="2:16">
      <c r="B38" s="24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49"/>
    </row>
    <row r="39" spans="2:16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2:16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6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2:16">
      <c r="B42" s="280" t="s">
        <v>383</v>
      </c>
      <c r="C42" s="270"/>
      <c r="D42" s="270"/>
      <c r="E42" s="270"/>
      <c r="F42" s="270"/>
      <c r="G42" s="270"/>
      <c r="H42" s="270"/>
      <c r="I42" s="281">
        <f>27604*8</f>
        <v>220832</v>
      </c>
      <c r="J42" s="35">
        <v>167</v>
      </c>
      <c r="K42" s="36">
        <f>+J42*I42/100</f>
        <v>368789.44</v>
      </c>
      <c r="L42" s="282"/>
      <c r="M42" s="193">
        <v>0.16</v>
      </c>
      <c r="N42" s="38">
        <f>+M42*K42</f>
        <v>59006.310400000002</v>
      </c>
      <c r="P42">
        <f>8/50</f>
        <v>0.16</v>
      </c>
    </row>
    <row r="43" spans="2:16">
      <c r="B43" s="280" t="s">
        <v>285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 t="shared" ref="K43:K44" si="1">+J43*I43/100</f>
        <v>69148.02</v>
      </c>
      <c r="L43" s="282"/>
      <c r="M43" s="303">
        <v>0.16</v>
      </c>
      <c r="N43" s="38">
        <f>+M43*K43</f>
        <v>11063.683200000001</v>
      </c>
    </row>
    <row r="44" spans="2:16">
      <c r="B44" s="280" t="s">
        <v>384</v>
      </c>
      <c r="C44" s="270"/>
      <c r="D44" s="270"/>
      <c r="E44" s="270"/>
      <c r="F44" s="270"/>
      <c r="G44" s="270"/>
      <c r="H44" s="270"/>
      <c r="I44" s="281">
        <f>31745*2</f>
        <v>63490</v>
      </c>
      <c r="J44" s="35">
        <v>167</v>
      </c>
      <c r="K44" s="36">
        <f t="shared" si="1"/>
        <v>106028.3</v>
      </c>
      <c r="L44" s="282"/>
      <c r="M44" s="303">
        <v>0.16</v>
      </c>
      <c r="N44" s="38">
        <f t="shared" ref="N44" si="2">+M44*K44</f>
        <v>16964.528000000002</v>
      </c>
    </row>
    <row r="45" spans="2:16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38"/>
    </row>
    <row r="46" spans="2:16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6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59"/>
    </row>
    <row r="48" spans="2:16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SUM(N42:N47)</f>
        <v>87034.521600000007</v>
      </c>
    </row>
    <row r="49" spans="2:14" ht="15.75" thickBo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8"/>
      <c r="N49" s="247"/>
    </row>
    <row r="50" spans="2:14" ht="15.75" thickBot="1">
      <c r="B50" s="700" t="s">
        <v>74</v>
      </c>
      <c r="C50" s="701"/>
      <c r="D50" s="701"/>
      <c r="E50" s="701"/>
      <c r="F50" s="701"/>
      <c r="G50" s="701"/>
      <c r="H50" s="701"/>
      <c r="I50" s="701"/>
      <c r="J50" s="701"/>
      <c r="K50" s="701"/>
      <c r="L50" s="701"/>
      <c r="M50" s="702"/>
      <c r="N50" s="323">
        <f>ROUND((N17+N27+N37+N48),0)</f>
        <v>703554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161817.42000000001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7035.54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49248.780000000006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218101.74000000002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921656</v>
      </c>
    </row>
  </sheetData>
  <mergeCells count="51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C2:I2"/>
    <mergeCell ref="L2:M2"/>
    <mergeCell ref="C3:I3"/>
    <mergeCell ref="L3:M3"/>
    <mergeCell ref="B8:H8"/>
    <mergeCell ref="I8:J8"/>
    <mergeCell ref="L8:M8"/>
    <mergeCell ref="L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B16:H16"/>
    <mergeCell ref="I16:J16"/>
    <mergeCell ref="L32:M32"/>
    <mergeCell ref="B17:M17"/>
    <mergeCell ref="B18:I18"/>
    <mergeCell ref="L18:M18"/>
    <mergeCell ref="B21:I21"/>
    <mergeCell ref="L21:M21"/>
    <mergeCell ref="B23:I23"/>
    <mergeCell ref="B24:I24"/>
    <mergeCell ref="B25:I25"/>
    <mergeCell ref="B26:I26"/>
    <mergeCell ref="B27:M27"/>
    <mergeCell ref="L31:M31"/>
    <mergeCell ref="B35:G35"/>
    <mergeCell ref="B36:G36"/>
    <mergeCell ref="L36:M36"/>
    <mergeCell ref="B37:M37"/>
    <mergeCell ref="B41:H41"/>
    <mergeCell ref="L41:M41"/>
    <mergeCell ref="B47:H47"/>
    <mergeCell ref="L47:M47"/>
    <mergeCell ref="B48:M48"/>
    <mergeCell ref="B49:M49"/>
    <mergeCell ref="B50:M5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0"/>
  <sheetViews>
    <sheetView topLeftCell="A34" workbookViewId="0">
      <selection activeCell="N63" sqref="N63"/>
    </sheetView>
  </sheetViews>
  <sheetFormatPr baseColWidth="10" defaultRowHeight="15"/>
  <cols>
    <col min="9" max="9" width="13.42578125" customWidth="1"/>
    <col min="11" max="11" width="15" customWidth="1"/>
    <col min="14" max="14" width="13" bestFit="1" customWidth="1"/>
  </cols>
  <sheetData>
    <row r="1" spans="2:14" ht="15.75" thickBot="1"/>
    <row r="2" spans="2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2:14" ht="15.75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2:14" ht="15.75" thickBot="1">
      <c r="B4" s="324">
        <v>300.02999999999997</v>
      </c>
      <c r="C4" s="208" t="s">
        <v>283</v>
      </c>
      <c r="D4" s="209"/>
      <c r="E4" s="209"/>
      <c r="F4" s="209"/>
      <c r="G4" s="209"/>
      <c r="H4" s="209"/>
      <c r="I4" s="209"/>
      <c r="J4" s="210"/>
      <c r="K4" s="211"/>
      <c r="L4" s="212" t="s">
        <v>20</v>
      </c>
      <c r="M4" s="213"/>
      <c r="N4" s="214"/>
    </row>
    <row r="5" spans="2:14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14">
      <c r="B9" s="600" t="s">
        <v>364</v>
      </c>
      <c r="C9" s="601"/>
      <c r="D9" s="601"/>
      <c r="E9" s="601"/>
      <c r="F9" s="601"/>
      <c r="G9" s="601"/>
      <c r="H9" s="603"/>
      <c r="I9" s="227"/>
      <c r="J9" s="228"/>
      <c r="K9" s="229">
        <v>31250</v>
      </c>
      <c r="L9" s="230"/>
      <c r="M9" s="231">
        <v>2E-3</v>
      </c>
      <c r="N9" s="232">
        <f>+M9*K9</f>
        <v>62.5</v>
      </c>
    </row>
    <row r="10" spans="2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2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2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4" ht="15.75" thickBot="1">
      <c r="B15" s="600" t="s">
        <v>57</v>
      </c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>
        <v>0.05</v>
      </c>
      <c r="N15" s="246">
        <f>+M15*N48</f>
        <v>17.287005000000001</v>
      </c>
    </row>
    <row r="16" spans="2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79.787004999999994</v>
      </c>
    </row>
    <row r="17" spans="2:14">
      <c r="B17" s="24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49"/>
    </row>
    <row r="18" spans="2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>
      <c r="B21" s="252" t="s">
        <v>363</v>
      </c>
      <c r="C21" s="253"/>
      <c r="D21" s="253"/>
      <c r="E21" s="253"/>
      <c r="F21" s="253"/>
      <c r="G21" s="253"/>
      <c r="H21" s="253"/>
      <c r="I21" s="228"/>
      <c r="J21" s="254" t="s">
        <v>20</v>
      </c>
      <c r="K21" s="255">
        <v>1.0549999999999999</v>
      </c>
      <c r="L21" s="227"/>
      <c r="M21" s="313">
        <v>4300</v>
      </c>
      <c r="N21" s="232">
        <f>+M21*K21</f>
        <v>4536.5</v>
      </c>
    </row>
    <row r="22" spans="2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4" ht="15.75" thickBot="1">
      <c r="B25" s="629"/>
      <c r="C25" s="630"/>
      <c r="D25" s="630"/>
      <c r="E25" s="630"/>
      <c r="F25" s="630"/>
      <c r="G25" s="630"/>
      <c r="H25" s="630"/>
      <c r="I25" s="615"/>
      <c r="J25" s="199"/>
      <c r="K25" s="258"/>
      <c r="L25" s="631"/>
      <c r="M25" s="632"/>
      <c r="N25" s="259"/>
    </row>
    <row r="26" spans="2:14" ht="15.75" thickBot="1">
      <c r="B26" s="626" t="s">
        <v>58</v>
      </c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8"/>
      <c r="N26" s="260">
        <f>SUM(N21:N25)</f>
        <v>4536.5</v>
      </c>
    </row>
    <row r="27" spans="2:14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2:14">
      <c r="B28" s="248" t="s">
        <v>61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49"/>
    </row>
    <row r="29" spans="2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2:14" ht="25.5">
      <c r="B30" s="292" t="s">
        <v>62</v>
      </c>
      <c r="C30" s="293"/>
      <c r="D30" s="293"/>
      <c r="E30" s="293"/>
      <c r="F30" s="293"/>
      <c r="G30" s="293"/>
      <c r="H30" s="294" t="s">
        <v>47</v>
      </c>
      <c r="I30" s="295" t="s">
        <v>63</v>
      </c>
      <c r="J30" s="289" t="s">
        <v>64</v>
      </c>
      <c r="K30" s="294" t="s">
        <v>65</v>
      </c>
      <c r="L30" s="633" t="s">
        <v>66</v>
      </c>
      <c r="M30" s="634"/>
      <c r="N30" s="298" t="s">
        <v>54</v>
      </c>
    </row>
    <row r="31" spans="2:14">
      <c r="B31" s="34"/>
      <c r="C31" s="266"/>
      <c r="D31" s="266"/>
      <c r="E31" s="266"/>
      <c r="F31" s="266"/>
      <c r="G31" s="266"/>
      <c r="H31" s="267"/>
      <c r="I31" s="244"/>
      <c r="J31" s="268"/>
      <c r="K31" s="244"/>
      <c r="L31" s="635"/>
      <c r="M31" s="636"/>
      <c r="N31" s="269"/>
    </row>
    <row r="32" spans="2:14">
      <c r="B32" s="34"/>
      <c r="C32" s="270"/>
      <c r="D32" s="270"/>
      <c r="E32" s="270"/>
      <c r="F32" s="270"/>
      <c r="G32" s="270"/>
      <c r="H32" s="271"/>
      <c r="I32" s="244"/>
      <c r="J32" s="244"/>
      <c r="K32" s="244"/>
      <c r="L32" s="272"/>
      <c r="M32" s="273"/>
      <c r="N32" s="274"/>
    </row>
    <row r="33" spans="2:14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272"/>
      <c r="M35" s="273"/>
      <c r="N35" s="274"/>
    </row>
    <row r="36" spans="2:14" ht="15.75" thickBot="1">
      <c r="B36" s="689"/>
      <c r="C36" s="690"/>
      <c r="D36" s="690"/>
      <c r="E36" s="690"/>
      <c r="F36" s="690"/>
      <c r="G36" s="625"/>
      <c r="H36" s="277"/>
      <c r="I36" s="278"/>
      <c r="J36" s="278"/>
      <c r="K36" s="278"/>
      <c r="L36" s="618"/>
      <c r="M36" s="619"/>
      <c r="N36" s="319"/>
    </row>
    <row r="37" spans="2:14" ht="15.75" thickBot="1">
      <c r="B37" s="646" t="s">
        <v>58</v>
      </c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8"/>
      <c r="N37" s="320">
        <f>SUM(N31:N36)</f>
        <v>0</v>
      </c>
    </row>
    <row r="38" spans="2:14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</row>
    <row r="39" spans="2:14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2:14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4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2:14">
      <c r="B42" s="280" t="s">
        <v>284</v>
      </c>
      <c r="C42" s="270"/>
      <c r="D42" s="270"/>
      <c r="E42" s="270"/>
      <c r="F42" s="270"/>
      <c r="G42" s="270"/>
      <c r="H42" s="270"/>
      <c r="I42" s="281">
        <f>27604*6</f>
        <v>165624</v>
      </c>
      <c r="J42" s="35">
        <v>167</v>
      </c>
      <c r="K42" s="36">
        <f>+J42*I42/100</f>
        <v>276592.08</v>
      </c>
      <c r="L42" s="282"/>
      <c r="M42" s="37">
        <v>1E-3</v>
      </c>
      <c r="N42" s="38">
        <f>+M42*K42</f>
        <v>276.59208000000001</v>
      </c>
    </row>
    <row r="43" spans="2:14">
      <c r="B43" s="280" t="s">
        <v>285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2"/>
      <c r="M43" s="283">
        <v>1E-3</v>
      </c>
      <c r="N43" s="38">
        <f>+M43*K43</f>
        <v>69.148020000000002</v>
      </c>
    </row>
    <row r="44" spans="2:14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4"/>
      <c r="N44" s="38"/>
    </row>
    <row r="45" spans="2:14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38"/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4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59"/>
    </row>
    <row r="48" spans="2:14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SUM(N42:N47)</f>
        <v>345.74009999999998</v>
      </c>
    </row>
    <row r="49" spans="2:14" ht="15.75" thickBot="1"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</row>
    <row r="50" spans="2:14" ht="15.75" thickBot="1">
      <c r="B50" s="637" t="s">
        <v>74</v>
      </c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9"/>
      <c r="N50" s="300">
        <f>ROUND((+N48+N37+N26+N16),0)</f>
        <v>4962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1141.26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49.620000000000005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347.34000000000003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1538.2200000000003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6500</v>
      </c>
    </row>
  </sheetData>
  <mergeCells count="45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B13:H13"/>
    <mergeCell ref="B16:M16"/>
    <mergeCell ref="B25:I25"/>
    <mergeCell ref="L25:M25"/>
    <mergeCell ref="B26:M26"/>
    <mergeCell ref="B14:D14"/>
    <mergeCell ref="B15:H15"/>
    <mergeCell ref="I15:J15"/>
    <mergeCell ref="L15:M15"/>
    <mergeCell ref="B20:I20"/>
    <mergeCell ref="L20:M20"/>
    <mergeCell ref="L30:M30"/>
    <mergeCell ref="B50:M50"/>
    <mergeCell ref="L31:M31"/>
    <mergeCell ref="L36:M36"/>
    <mergeCell ref="B37:M37"/>
    <mergeCell ref="B41:H41"/>
    <mergeCell ref="L41:M41"/>
    <mergeCell ref="B35:G35"/>
    <mergeCell ref="B36:G36"/>
    <mergeCell ref="B47:H47"/>
    <mergeCell ref="L47:M47"/>
    <mergeCell ref="B48:M4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1" zoomScaleNormal="100" workbookViewId="0">
      <selection activeCell="M64" sqref="M64"/>
    </sheetView>
  </sheetViews>
  <sheetFormatPr baseColWidth="10" defaultRowHeight="15"/>
  <cols>
    <col min="1" max="1" width="10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285156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3.7109375" style="29" bestFit="1" customWidth="1"/>
    <col min="14" max="14" width="17.42578125" style="29" customWidth="1"/>
    <col min="15" max="15" width="12" style="29" bestFit="1" customWidth="1"/>
    <col min="16" max="16" width="9.85546875" style="29" customWidth="1"/>
    <col min="17" max="16384" width="11.42578125" style="29"/>
  </cols>
  <sheetData>
    <row r="1" spans="1:16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6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6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6" ht="15.75" thickBot="1">
      <c r="A4" s="29" t="s">
        <v>48</v>
      </c>
      <c r="B4" s="324">
        <v>300.04000000000002</v>
      </c>
      <c r="C4" s="208" t="s">
        <v>102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6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6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6">
      <c r="A9" s="45" t="s">
        <v>82</v>
      </c>
      <c r="B9" s="600" t="s">
        <v>388</v>
      </c>
      <c r="C9" s="601"/>
      <c r="D9" s="601"/>
      <c r="E9" s="601"/>
      <c r="F9" s="601"/>
      <c r="G9" s="601"/>
      <c r="H9" s="603"/>
      <c r="I9" s="227"/>
      <c r="J9" s="228"/>
      <c r="K9" s="229">
        <v>128000</v>
      </c>
      <c r="L9" s="230"/>
      <c r="M9" s="231">
        <v>0.08</v>
      </c>
      <c r="N9" s="232">
        <f>+M9*K9</f>
        <v>10240</v>
      </c>
      <c r="P9" s="29">
        <f>8/100</f>
        <v>0.08</v>
      </c>
    </row>
    <row r="10" spans="1:16">
      <c r="A10" s="45" t="s">
        <v>103</v>
      </c>
      <c r="B10" s="600" t="s">
        <v>387</v>
      </c>
      <c r="C10" s="601"/>
      <c r="D10" s="601"/>
      <c r="E10" s="601"/>
      <c r="F10" s="601"/>
      <c r="G10" s="601"/>
      <c r="H10" s="603"/>
      <c r="I10" s="227"/>
      <c r="J10" s="228"/>
      <c r="K10" s="229">
        <v>115000</v>
      </c>
      <c r="L10" s="230"/>
      <c r="M10" s="231">
        <v>0.08</v>
      </c>
      <c r="N10" s="232">
        <f t="shared" ref="N10:N11" si="0">+M10*K10</f>
        <v>9200</v>
      </c>
    </row>
    <row r="11" spans="1:16">
      <c r="A11" s="29" t="s">
        <v>104</v>
      </c>
      <c r="B11" s="600" t="s">
        <v>380</v>
      </c>
      <c r="C11" s="601"/>
      <c r="D11" s="601"/>
      <c r="E11" s="601"/>
      <c r="F11" s="601"/>
      <c r="G11" s="601"/>
      <c r="H11" s="603"/>
      <c r="I11" s="227"/>
      <c r="J11" s="228"/>
      <c r="K11" s="229">
        <v>72900</v>
      </c>
      <c r="L11" s="230"/>
      <c r="M11" s="231">
        <v>0.08</v>
      </c>
      <c r="N11" s="233">
        <f t="shared" si="0"/>
        <v>5832</v>
      </c>
    </row>
    <row r="12" spans="1:16">
      <c r="A12" s="29" t="s">
        <v>105</v>
      </c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  <c r="P12" s="197"/>
    </row>
    <row r="13" spans="1:16">
      <c r="A13" s="29" t="s">
        <v>106</v>
      </c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6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6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1:16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/>
      <c r="M16" s="625">
        <v>0.1</v>
      </c>
      <c r="N16" s="246">
        <f>N48*M16</f>
        <v>4351.7260800000004</v>
      </c>
    </row>
    <row r="17" spans="1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29623.72608</v>
      </c>
    </row>
    <row r="18" spans="1:14">
      <c r="B18" s="703"/>
      <c r="C18" s="704"/>
      <c r="D18" s="704"/>
      <c r="E18" s="704"/>
      <c r="F18" s="704"/>
      <c r="G18" s="704"/>
      <c r="H18" s="704"/>
      <c r="I18" s="705"/>
      <c r="J18" s="251"/>
      <c r="K18" s="223"/>
      <c r="L18" s="706"/>
      <c r="M18" s="705"/>
      <c r="N18" s="224"/>
    </row>
    <row r="19" spans="1:14">
      <c r="B19" s="248" t="s">
        <v>59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49"/>
    </row>
    <row r="20" spans="1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1:14">
      <c r="B21" s="608" t="s">
        <v>3</v>
      </c>
      <c r="C21" s="609"/>
      <c r="D21" s="609"/>
      <c r="E21" s="609"/>
      <c r="F21" s="609"/>
      <c r="G21" s="609"/>
      <c r="H21" s="609"/>
      <c r="I21" s="610"/>
      <c r="J21" s="291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1:14">
      <c r="A22" s="29" t="s">
        <v>107</v>
      </c>
      <c r="B22" s="252" t="s">
        <v>381</v>
      </c>
      <c r="C22" s="253"/>
      <c r="D22" s="253"/>
      <c r="E22" s="253"/>
      <c r="F22" s="253"/>
      <c r="G22" s="253"/>
      <c r="H22" s="253"/>
      <c r="I22" s="228"/>
      <c r="J22" s="254" t="str">
        <f>VLOOKUP(A22,[52]MATERIALES!A8:D646,2,FALSE)</f>
        <v>m3</v>
      </c>
      <c r="K22" s="255">
        <v>1.25</v>
      </c>
      <c r="L22" s="227"/>
      <c r="M22" s="313">
        <f>354000*1.19</f>
        <v>421260</v>
      </c>
      <c r="N22" s="232">
        <f>K22*M22</f>
        <v>526575</v>
      </c>
    </row>
    <row r="23" spans="1:14">
      <c r="A23" s="43" t="s">
        <v>92</v>
      </c>
      <c r="B23" s="600"/>
      <c r="C23" s="682"/>
      <c r="D23" s="682"/>
      <c r="E23" s="682"/>
      <c r="F23" s="682"/>
      <c r="G23" s="682"/>
      <c r="H23" s="682"/>
      <c r="I23" s="603"/>
      <c r="J23" s="254"/>
      <c r="K23" s="255"/>
      <c r="L23" s="227"/>
      <c r="M23" s="256"/>
      <c r="N23" s="257"/>
    </row>
    <row r="24" spans="1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227"/>
      <c r="M24" s="256"/>
      <c r="N24" s="257"/>
    </row>
    <row r="25" spans="1:14">
      <c r="B25" s="600"/>
      <c r="C25" s="682"/>
      <c r="D25" s="682"/>
      <c r="E25" s="682"/>
      <c r="F25" s="682"/>
      <c r="G25" s="682"/>
      <c r="H25" s="682"/>
      <c r="I25" s="603"/>
      <c r="J25" s="254"/>
      <c r="K25" s="255"/>
      <c r="L25" s="227"/>
      <c r="M25" s="256"/>
      <c r="N25" s="257"/>
    </row>
    <row r="26" spans="1:14" ht="15.75" thickBot="1">
      <c r="B26" s="600"/>
      <c r="C26" s="682"/>
      <c r="D26" s="682"/>
      <c r="E26" s="682"/>
      <c r="F26" s="682"/>
      <c r="G26" s="682"/>
      <c r="H26" s="682"/>
      <c r="I26" s="603"/>
      <c r="J26" s="254"/>
      <c r="K26" s="255"/>
      <c r="L26" s="227"/>
      <c r="M26" s="256"/>
      <c r="N26" s="257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SUM(N22:N26)</f>
        <v>526575</v>
      </c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A32" s="29" t="s">
        <v>109</v>
      </c>
      <c r="B32" s="34" t="s">
        <v>382</v>
      </c>
      <c r="C32" s="266"/>
      <c r="D32" s="266"/>
      <c r="E32" s="266"/>
      <c r="F32" s="266"/>
      <c r="G32" s="266"/>
      <c r="H32" s="267" t="s">
        <v>108</v>
      </c>
      <c r="I32" s="244">
        <v>1.25</v>
      </c>
      <c r="J32" s="268">
        <v>55</v>
      </c>
      <c r="K32" s="244">
        <f>+J32*I32</f>
        <v>68.75</v>
      </c>
      <c r="L32" s="635">
        <v>1143</v>
      </c>
      <c r="M32" s="636"/>
      <c r="N32" s="269">
        <f>K32*L32</f>
        <v>78581.25</v>
      </c>
    </row>
    <row r="33" spans="1:17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  <c r="Q33" s="29">
        <f>27+20.5+6.5</f>
        <v>54</v>
      </c>
    </row>
    <row r="34" spans="1:17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  <c r="Q34" s="29">
        <v>20.5</v>
      </c>
    </row>
    <row r="35" spans="1:17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272"/>
      <c r="M35" s="273"/>
      <c r="N35" s="274"/>
    </row>
    <row r="36" spans="1:17" ht="15.75" thickBot="1">
      <c r="B36" s="689"/>
      <c r="C36" s="690"/>
      <c r="D36" s="690"/>
      <c r="E36" s="690"/>
      <c r="F36" s="690"/>
      <c r="G36" s="625"/>
      <c r="H36" s="277"/>
      <c r="I36" s="278"/>
      <c r="J36" s="278"/>
      <c r="K36" s="278"/>
      <c r="L36" s="618"/>
      <c r="M36" s="619"/>
      <c r="N36" s="319"/>
    </row>
    <row r="37" spans="1:17" ht="15.75" thickBot="1">
      <c r="B37" s="646" t="s">
        <v>58</v>
      </c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8"/>
      <c r="N37" s="320">
        <f>N32+N33+N34+N35</f>
        <v>78581.25</v>
      </c>
    </row>
    <row r="38" spans="1:17">
      <c r="B38" s="24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49"/>
    </row>
    <row r="39" spans="1:17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1:17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7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7">
      <c r="A42" s="29" t="s">
        <v>110</v>
      </c>
      <c r="B42" s="280" t="s">
        <v>383</v>
      </c>
      <c r="C42" s="270"/>
      <c r="D42" s="270"/>
      <c r="E42" s="270"/>
      <c r="F42" s="270"/>
      <c r="G42" s="270"/>
      <c r="H42" s="270"/>
      <c r="I42" s="281">
        <f>27604*8</f>
        <v>220832</v>
      </c>
      <c r="J42" s="35">
        <v>167</v>
      </c>
      <c r="K42" s="36">
        <f>+J42*I42/100</f>
        <v>368789.44</v>
      </c>
      <c r="L42" s="282"/>
      <c r="M42" s="193">
        <v>0.08</v>
      </c>
      <c r="N42" s="38">
        <f>+M42*K42</f>
        <v>29503.155200000001</v>
      </c>
      <c r="O42" s="39"/>
      <c r="P42" s="29">
        <f>8/100</f>
        <v>0.08</v>
      </c>
    </row>
    <row r="43" spans="1:17">
      <c r="A43" s="29" t="s">
        <v>81</v>
      </c>
      <c r="B43" s="280" t="s">
        <v>285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 t="shared" ref="K43:K44" si="1">+J43*I43/100</f>
        <v>69148.02</v>
      </c>
      <c r="L43" s="282"/>
      <c r="M43" s="303">
        <v>0.08</v>
      </c>
      <c r="N43" s="38">
        <f>+M43*K43</f>
        <v>5531.8416000000007</v>
      </c>
    </row>
    <row r="44" spans="1:17">
      <c r="A44" s="29" t="s">
        <v>111</v>
      </c>
      <c r="B44" s="280" t="s">
        <v>384</v>
      </c>
      <c r="C44" s="270"/>
      <c r="D44" s="270"/>
      <c r="E44" s="270"/>
      <c r="F44" s="270"/>
      <c r="G44" s="270"/>
      <c r="H44" s="270"/>
      <c r="I44" s="281">
        <f>31745*2</f>
        <v>63490</v>
      </c>
      <c r="J44" s="35">
        <v>167</v>
      </c>
      <c r="K44" s="36">
        <f t="shared" si="1"/>
        <v>106028.3</v>
      </c>
      <c r="L44" s="282"/>
      <c r="M44" s="303">
        <v>0.08</v>
      </c>
      <c r="N44" s="38">
        <f t="shared" ref="N44" si="2">+M44*K44</f>
        <v>8482.264000000001</v>
      </c>
    </row>
    <row r="45" spans="1:17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38"/>
    </row>
    <row r="46" spans="1:17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7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59"/>
    </row>
    <row r="48" spans="1:17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SUM(N42:N47)</f>
        <v>43517.260800000004</v>
      </c>
    </row>
    <row r="49" spans="2:14" ht="15.75" thickBo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8"/>
      <c r="N49" s="247"/>
    </row>
    <row r="50" spans="2:14" ht="15.75" thickBot="1">
      <c r="B50" s="700" t="s">
        <v>74</v>
      </c>
      <c r="C50" s="701"/>
      <c r="D50" s="701"/>
      <c r="E50" s="701"/>
      <c r="F50" s="701"/>
      <c r="G50" s="701"/>
      <c r="H50" s="701"/>
      <c r="I50" s="701"/>
      <c r="J50" s="701"/>
      <c r="K50" s="701"/>
      <c r="L50" s="701"/>
      <c r="M50" s="702"/>
      <c r="N50" s="323">
        <f>ROUND((N17+N27+N37+N48),0)</f>
        <v>678297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156008.31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6782.97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47480.790000000008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210272.07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888569</v>
      </c>
    </row>
  </sheetData>
  <mergeCells count="51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B50:M50"/>
    <mergeCell ref="B9:H9"/>
    <mergeCell ref="B10:H10"/>
    <mergeCell ref="B11:H11"/>
    <mergeCell ref="B12:H12"/>
    <mergeCell ref="B13:H13"/>
    <mergeCell ref="I12:J12"/>
    <mergeCell ref="L12:M12"/>
    <mergeCell ref="B14:D14"/>
    <mergeCell ref="B18:I18"/>
    <mergeCell ref="L18:M18"/>
    <mergeCell ref="B15:H15"/>
    <mergeCell ref="B27:M27"/>
    <mergeCell ref="B23:I23"/>
    <mergeCell ref="B25:I25"/>
    <mergeCell ref="B36:G36"/>
    <mergeCell ref="B26:I26"/>
    <mergeCell ref="B21:I21"/>
    <mergeCell ref="L21:M21"/>
    <mergeCell ref="C2:I2"/>
    <mergeCell ref="L2:M2"/>
    <mergeCell ref="L3:M3"/>
    <mergeCell ref="B8:H8"/>
    <mergeCell ref="I8:J8"/>
    <mergeCell ref="L8:M8"/>
    <mergeCell ref="C3:I3"/>
    <mergeCell ref="B24:I24"/>
    <mergeCell ref="B16:H16"/>
    <mergeCell ref="I16:J16"/>
    <mergeCell ref="L16:M16"/>
    <mergeCell ref="B17:M17"/>
    <mergeCell ref="B48:M48"/>
    <mergeCell ref="L31:M31"/>
    <mergeCell ref="L32:M32"/>
    <mergeCell ref="B35:G35"/>
    <mergeCell ref="B49:M49"/>
    <mergeCell ref="B37:M37"/>
    <mergeCell ref="B41:H41"/>
    <mergeCell ref="L41:M41"/>
    <mergeCell ref="B47:H47"/>
    <mergeCell ref="L47:M47"/>
    <mergeCell ref="L36:M3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0"/>
  <sheetViews>
    <sheetView topLeftCell="A37" workbookViewId="0">
      <selection activeCell="L26" sqref="L26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0" ht="15.75" thickBot="1"/>
    <row r="2" spans="2:20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2:20" ht="15.75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2:20" ht="15.75" thickBot="1">
      <c r="B4" s="324">
        <v>400.01</v>
      </c>
      <c r="C4" s="208" t="s">
        <v>269</v>
      </c>
      <c r="D4" s="209"/>
      <c r="E4" s="209"/>
      <c r="F4" s="209"/>
      <c r="G4" s="209"/>
      <c r="H4" s="209"/>
      <c r="I4" s="209"/>
      <c r="J4" s="210"/>
      <c r="K4" s="211"/>
      <c r="L4" s="707" t="s">
        <v>20</v>
      </c>
      <c r="M4" s="708"/>
      <c r="N4" s="214"/>
    </row>
    <row r="5" spans="2:20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20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20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20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  <c r="P8" t="s">
        <v>393</v>
      </c>
      <c r="R8" t="s">
        <v>391</v>
      </c>
      <c r="S8" t="s">
        <v>392</v>
      </c>
    </row>
    <row r="9" spans="2:20">
      <c r="B9" s="600" t="s">
        <v>389</v>
      </c>
      <c r="C9" s="601"/>
      <c r="D9" s="601"/>
      <c r="E9" s="601"/>
      <c r="F9" s="601"/>
      <c r="G9" s="601"/>
      <c r="H9" s="603"/>
      <c r="I9" s="227"/>
      <c r="J9" s="228"/>
      <c r="K9" s="229">
        <v>42000</v>
      </c>
      <c r="L9" s="230"/>
      <c r="M9" s="256">
        <v>0.5</v>
      </c>
      <c r="N9" s="232">
        <f>+M9*K9</f>
        <v>21000</v>
      </c>
      <c r="P9">
        <v>2.5</v>
      </c>
      <c r="R9">
        <f>8/2.5</f>
        <v>3.2</v>
      </c>
      <c r="S9">
        <f>+R9/0.2</f>
        <v>16</v>
      </c>
    </row>
    <row r="10" spans="2:20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f t="shared" ref="N10:N11" si="0">+M10*K10</f>
        <v>0</v>
      </c>
      <c r="Q10">
        <f>+P9/0.2</f>
        <v>12.5</v>
      </c>
      <c r="S10">
        <f>8/S9</f>
        <v>0.5</v>
      </c>
      <c r="T10" t="s">
        <v>394</v>
      </c>
    </row>
    <row r="11" spans="2:20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f t="shared" si="0"/>
        <v>0</v>
      </c>
      <c r="S11" s="325"/>
    </row>
    <row r="12" spans="2:20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2:20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20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20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2:20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>
        <v>0.05</v>
      </c>
      <c r="M16" s="625">
        <v>0.1</v>
      </c>
      <c r="N16" s="246">
        <f>N48*M16</f>
        <v>553.18416000000002</v>
      </c>
    </row>
    <row r="17" spans="2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21553.184160000001</v>
      </c>
    </row>
    <row r="18" spans="2:14">
      <c r="B18" s="703"/>
      <c r="C18" s="704"/>
      <c r="D18" s="704"/>
      <c r="E18" s="704"/>
      <c r="F18" s="704"/>
      <c r="G18" s="704"/>
      <c r="H18" s="704"/>
      <c r="I18" s="705"/>
      <c r="J18" s="251"/>
      <c r="K18" s="223"/>
      <c r="L18" s="706"/>
      <c r="M18" s="705"/>
      <c r="N18" s="224"/>
    </row>
    <row r="19" spans="2:14">
      <c r="B19" s="248" t="s">
        <v>59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49"/>
    </row>
    <row r="20" spans="2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14">
      <c r="B21" s="608" t="s">
        <v>3</v>
      </c>
      <c r="C21" s="609"/>
      <c r="D21" s="609"/>
      <c r="E21" s="609"/>
      <c r="F21" s="609"/>
      <c r="G21" s="609"/>
      <c r="H21" s="609"/>
      <c r="I21" s="610"/>
      <c r="J21" s="291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313"/>
      <c r="N22" s="232">
        <f>K22*M22</f>
        <v>0</v>
      </c>
    </row>
    <row r="23" spans="2:14">
      <c r="B23" s="600"/>
      <c r="C23" s="682"/>
      <c r="D23" s="682"/>
      <c r="E23" s="682"/>
      <c r="F23" s="682"/>
      <c r="G23" s="682"/>
      <c r="H23" s="682"/>
      <c r="I23" s="603"/>
      <c r="J23" s="254"/>
      <c r="K23" s="255"/>
      <c r="L23" s="227"/>
      <c r="M23" s="256"/>
      <c r="N23" s="257"/>
    </row>
    <row r="24" spans="2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227"/>
      <c r="M24" s="256"/>
      <c r="N24" s="257"/>
    </row>
    <row r="25" spans="2:14">
      <c r="B25" s="600"/>
      <c r="C25" s="682"/>
      <c r="D25" s="682"/>
      <c r="E25" s="682"/>
      <c r="F25" s="682"/>
      <c r="G25" s="682"/>
      <c r="H25" s="682"/>
      <c r="I25" s="603"/>
      <c r="J25" s="254"/>
      <c r="K25" s="255"/>
      <c r="L25" s="227"/>
      <c r="M25" s="256"/>
      <c r="N25" s="257"/>
    </row>
    <row r="26" spans="2:14" ht="15.75" thickBot="1">
      <c r="B26" s="600"/>
      <c r="C26" s="682"/>
      <c r="D26" s="682"/>
      <c r="E26" s="682"/>
      <c r="F26" s="682"/>
      <c r="G26" s="682"/>
      <c r="H26" s="682"/>
      <c r="I26" s="603"/>
      <c r="J26" s="254"/>
      <c r="K26" s="255"/>
      <c r="L26" s="227"/>
      <c r="M26" s="256"/>
      <c r="N26" s="257"/>
    </row>
    <row r="27" spans="2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SUM(N22:N26)</f>
        <v>0</v>
      </c>
    </row>
    <row r="28" spans="2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2:14">
      <c r="B32" s="34" t="s">
        <v>390</v>
      </c>
      <c r="C32" s="266"/>
      <c r="D32" s="266"/>
      <c r="E32" s="266"/>
      <c r="F32" s="266"/>
      <c r="G32" s="266"/>
      <c r="H32" s="267" t="s">
        <v>37</v>
      </c>
      <c r="I32" s="244">
        <f>0.2*1.3</f>
        <v>0.26</v>
      </c>
      <c r="J32" s="268">
        <v>25</v>
      </c>
      <c r="K32" s="244">
        <f>+J32*I32</f>
        <v>6.5</v>
      </c>
      <c r="L32" s="635">
        <v>1143</v>
      </c>
      <c r="M32" s="636"/>
      <c r="N32" s="269">
        <f>K32*L32</f>
        <v>7429.5</v>
      </c>
    </row>
    <row r="33" spans="2:16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6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6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272"/>
      <c r="M35" s="273"/>
      <c r="N35" s="274"/>
    </row>
    <row r="36" spans="2:16" ht="15.75" thickBot="1">
      <c r="B36" s="689"/>
      <c r="C36" s="690"/>
      <c r="D36" s="690"/>
      <c r="E36" s="690"/>
      <c r="F36" s="690"/>
      <c r="G36" s="625"/>
      <c r="H36" s="277"/>
      <c r="I36" s="278"/>
      <c r="J36" s="278"/>
      <c r="K36" s="278"/>
      <c r="L36" s="618"/>
      <c r="M36" s="619"/>
      <c r="N36" s="319"/>
    </row>
    <row r="37" spans="2:16" ht="15.75" thickBot="1">
      <c r="B37" s="646" t="s">
        <v>58</v>
      </c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8"/>
      <c r="N37" s="320">
        <f>N32+N33+N34+N35</f>
        <v>7429.5</v>
      </c>
    </row>
    <row r="38" spans="2:16">
      <c r="B38" s="24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49"/>
    </row>
    <row r="39" spans="2:16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2:16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6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2:16">
      <c r="B42" s="280" t="s">
        <v>289</v>
      </c>
      <c r="C42" s="270"/>
      <c r="D42" s="270"/>
      <c r="E42" s="270"/>
      <c r="F42" s="270"/>
      <c r="G42" s="270"/>
      <c r="H42" s="270"/>
      <c r="I42" s="281">
        <f>27604*2</f>
        <v>55208</v>
      </c>
      <c r="J42" s="35">
        <v>167</v>
      </c>
      <c r="K42" s="36">
        <f>+J42*I42/100</f>
        <v>92197.36</v>
      </c>
      <c r="L42" s="282"/>
      <c r="M42" s="193">
        <v>0.06</v>
      </c>
      <c r="N42" s="269">
        <f>+M42*K42</f>
        <v>5531.8415999999997</v>
      </c>
      <c r="P42">
        <f>1/16</f>
        <v>6.25E-2</v>
      </c>
    </row>
    <row r="43" spans="2:16">
      <c r="B43" s="280"/>
      <c r="C43" s="270"/>
      <c r="D43" s="270"/>
      <c r="E43" s="270"/>
      <c r="F43" s="270"/>
      <c r="G43" s="270"/>
      <c r="H43" s="270"/>
      <c r="I43" s="281"/>
      <c r="J43" s="35"/>
      <c r="K43" s="36"/>
      <c r="L43" s="282"/>
      <c r="M43" s="303"/>
      <c r="N43" s="269">
        <f>+M43*K43</f>
        <v>0</v>
      </c>
    </row>
    <row r="44" spans="2:16">
      <c r="B44" s="280"/>
      <c r="C44" s="270"/>
      <c r="D44" s="270"/>
      <c r="E44" s="270"/>
      <c r="F44" s="270"/>
      <c r="G44" s="270"/>
      <c r="H44" s="270"/>
      <c r="I44" s="281"/>
      <c r="J44" s="35"/>
      <c r="K44" s="36"/>
      <c r="L44" s="282"/>
      <c r="M44" s="303"/>
      <c r="N44" s="269">
        <f t="shared" ref="N44" si="1">+M44*K44</f>
        <v>0</v>
      </c>
    </row>
    <row r="45" spans="2:16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269"/>
    </row>
    <row r="46" spans="2:16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269"/>
    </row>
    <row r="47" spans="2:16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69"/>
    </row>
    <row r="48" spans="2:16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SUM(N42:N47)</f>
        <v>5531.8415999999997</v>
      </c>
    </row>
    <row r="49" spans="2:14" ht="15.75" thickBo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8"/>
      <c r="N49" s="247"/>
    </row>
    <row r="50" spans="2:14" ht="15.75" thickBot="1">
      <c r="B50" s="700" t="s">
        <v>74</v>
      </c>
      <c r="C50" s="701"/>
      <c r="D50" s="701"/>
      <c r="E50" s="701"/>
      <c r="F50" s="701"/>
      <c r="G50" s="701"/>
      <c r="H50" s="701"/>
      <c r="I50" s="701"/>
      <c r="J50" s="701"/>
      <c r="K50" s="701"/>
      <c r="L50" s="701"/>
      <c r="M50" s="702"/>
      <c r="N50" s="323">
        <f>ROUND((N17+N27+N37+N48),0)</f>
        <v>34515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7938.4500000000007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345.15000000000003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2416.0500000000002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10699.650000000001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45215</v>
      </c>
    </row>
  </sheetData>
  <mergeCells count="52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L12:M12"/>
    <mergeCell ref="C2:I2"/>
    <mergeCell ref="L2:M2"/>
    <mergeCell ref="C3:I3"/>
    <mergeCell ref="L3:M3"/>
    <mergeCell ref="B8:H8"/>
    <mergeCell ref="I8:J8"/>
    <mergeCell ref="L8:M8"/>
    <mergeCell ref="L4:M4"/>
    <mergeCell ref="B9:H9"/>
    <mergeCell ref="B10:H10"/>
    <mergeCell ref="B11:H11"/>
    <mergeCell ref="B12:H12"/>
    <mergeCell ref="I12:J12"/>
    <mergeCell ref="B41:H41"/>
    <mergeCell ref="L41:M41"/>
    <mergeCell ref="B24:I24"/>
    <mergeCell ref="B25:I25"/>
    <mergeCell ref="B26:I26"/>
    <mergeCell ref="B27:M27"/>
    <mergeCell ref="L31:M31"/>
    <mergeCell ref="L32:M32"/>
    <mergeCell ref="B35:G35"/>
    <mergeCell ref="B36:G36"/>
    <mergeCell ref="L36:M36"/>
    <mergeCell ref="B37:M37"/>
    <mergeCell ref="B23:I23"/>
    <mergeCell ref="B13:H13"/>
    <mergeCell ref="B14:D14"/>
    <mergeCell ref="B15:H15"/>
    <mergeCell ref="B16:H16"/>
    <mergeCell ref="I16:J16"/>
    <mergeCell ref="B17:M17"/>
    <mergeCell ref="B18:I18"/>
    <mergeCell ref="L18:M18"/>
    <mergeCell ref="B21:I21"/>
    <mergeCell ref="L21:M21"/>
    <mergeCell ref="L16:M16"/>
    <mergeCell ref="B47:H47"/>
    <mergeCell ref="L47:M47"/>
    <mergeCell ref="B48:M48"/>
    <mergeCell ref="B49:M49"/>
    <mergeCell ref="B50:M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8"/>
  <sheetViews>
    <sheetView topLeftCell="A34" workbookViewId="0">
      <selection activeCell="D11" sqref="D11"/>
    </sheetView>
  </sheetViews>
  <sheetFormatPr baseColWidth="10" defaultRowHeight="15"/>
  <cols>
    <col min="1" max="1" width="9.85546875" customWidth="1"/>
    <col min="2" max="2" width="34.42578125" customWidth="1"/>
    <col min="3" max="3" width="10.5703125" customWidth="1"/>
    <col min="4" max="4" width="9.7109375" customWidth="1"/>
    <col min="6" max="6" width="13.5703125" customWidth="1"/>
    <col min="7" max="7" width="11.5703125" customWidth="1"/>
    <col min="8" max="8" width="12.42578125" customWidth="1"/>
    <col min="9" max="9" width="12.5703125" bestFit="1" customWidth="1"/>
  </cols>
  <sheetData>
    <row r="1" spans="1:9">
      <c r="A1" s="578" t="s">
        <v>180</v>
      </c>
      <c r="B1" s="578"/>
      <c r="C1" s="578"/>
      <c r="D1" s="578"/>
      <c r="E1" s="578"/>
      <c r="F1" s="578"/>
      <c r="G1" s="578"/>
      <c r="H1" s="578"/>
      <c r="I1" s="578"/>
    </row>
    <row r="2" spans="1:9">
      <c r="A2" s="578" t="s">
        <v>179</v>
      </c>
      <c r="B2" s="578"/>
      <c r="C2" s="578"/>
      <c r="D2" s="578"/>
      <c r="E2" s="578"/>
      <c r="F2" s="578"/>
      <c r="G2" s="578"/>
      <c r="H2" s="578"/>
      <c r="I2" s="578"/>
    </row>
    <row r="3" spans="1:9" ht="3.75" customHeight="1">
      <c r="A3" s="470"/>
      <c r="B3" s="470"/>
      <c r="C3" s="470"/>
      <c r="D3" s="470"/>
      <c r="E3" s="470"/>
      <c r="F3" s="470"/>
      <c r="G3" s="470"/>
      <c r="H3" s="470"/>
      <c r="I3" s="470"/>
    </row>
    <row r="4" spans="1:9" ht="29.25" customHeight="1">
      <c r="A4" s="591" t="str">
        <f>+Ppto1!C5</f>
        <v>PROYECTO: CONSTRUCCION OBRAS DE ESTABILIZACIÓN Y REHABILITACIÓN DE LA VÍA RÍO VERDE - PIJAO (COD. 40QN03), ESTABILIZACIÓN DE LA VÍA CORDOBA - CARNICEROS (COD. 40QN09), MUNICIPIOS DE PIJAO, BUENAVISTA Y CORDOBA, EN EL DEPARTAMENTO DEL QUINDIO</v>
      </c>
      <c r="B4" s="591"/>
      <c r="C4" s="591"/>
      <c r="D4" s="591"/>
      <c r="E4" s="591"/>
      <c r="F4" s="591"/>
      <c r="G4" s="591"/>
      <c r="H4" s="591"/>
      <c r="I4" s="591"/>
    </row>
    <row r="5" spans="1:9">
      <c r="A5" s="592" t="s">
        <v>493</v>
      </c>
      <c r="B5" s="592"/>
      <c r="C5" s="592"/>
      <c r="D5" s="592"/>
      <c r="E5" s="592"/>
      <c r="F5" s="592"/>
      <c r="G5" s="592"/>
      <c r="H5" s="592"/>
      <c r="I5" s="592"/>
    </row>
    <row r="6" spans="1:9" ht="18">
      <c r="A6" s="579" t="s">
        <v>146</v>
      </c>
      <c r="B6" s="580"/>
      <c r="C6" s="580"/>
      <c r="D6" s="580"/>
      <c r="E6" s="580"/>
      <c r="F6" s="580"/>
      <c r="G6" s="580"/>
      <c r="H6" s="580"/>
      <c r="I6" s="580"/>
    </row>
    <row r="7" spans="1:9" ht="15.75">
      <c r="A7" s="48"/>
      <c r="B7" s="49"/>
      <c r="C7" s="49"/>
      <c r="D7" s="49"/>
      <c r="E7" s="49"/>
      <c r="F7" s="49"/>
      <c r="G7" s="49"/>
      <c r="H7" s="49"/>
      <c r="I7" s="49"/>
    </row>
    <row r="8" spans="1:9">
      <c r="A8" s="50" t="s">
        <v>147</v>
      </c>
      <c r="B8" s="51" t="s">
        <v>148</v>
      </c>
      <c r="C8" s="51"/>
      <c r="D8" s="51"/>
      <c r="E8" s="47"/>
      <c r="F8" s="47"/>
      <c r="G8" s="47"/>
      <c r="H8" s="47"/>
      <c r="I8" s="47"/>
    </row>
    <row r="9" spans="1:9">
      <c r="A9" s="50" t="s">
        <v>149</v>
      </c>
      <c r="B9" s="50" t="s">
        <v>150</v>
      </c>
      <c r="C9" s="50"/>
      <c r="D9" s="50"/>
      <c r="E9" s="47"/>
      <c r="F9" s="47"/>
      <c r="G9" s="47"/>
      <c r="H9" s="47"/>
      <c r="I9" s="47"/>
    </row>
    <row r="10" spans="1:9">
      <c r="A10" s="47"/>
      <c r="B10" s="47"/>
      <c r="C10" s="47"/>
      <c r="D10" s="47"/>
      <c r="E10" s="47"/>
      <c r="F10" s="47"/>
      <c r="G10" s="47"/>
      <c r="H10" s="47"/>
      <c r="I10" s="47"/>
    </row>
    <row r="11" spans="1:9">
      <c r="A11" s="47" t="s">
        <v>151</v>
      </c>
      <c r="B11" s="47"/>
      <c r="C11" s="47"/>
      <c r="D11" s="47"/>
      <c r="E11" s="502">
        <v>3</v>
      </c>
      <c r="F11" s="47" t="s">
        <v>177</v>
      </c>
      <c r="G11" s="47"/>
      <c r="H11" s="47"/>
      <c r="I11" s="47"/>
    </row>
    <row r="12" spans="1:9">
      <c r="A12" s="47" t="s">
        <v>176</v>
      </c>
      <c r="B12" s="47"/>
      <c r="C12" s="47"/>
      <c r="D12" s="47"/>
      <c r="E12" s="503">
        <f>+Ppto1!N76</f>
        <v>687544077.74000001</v>
      </c>
      <c r="F12" s="47"/>
      <c r="G12" s="47"/>
      <c r="H12" s="47"/>
      <c r="I12" s="47"/>
    </row>
    <row r="13" spans="1:9">
      <c r="A13" s="47"/>
      <c r="B13" s="47"/>
      <c r="C13" s="47"/>
      <c r="D13" s="47"/>
      <c r="E13" s="47"/>
      <c r="F13" s="47"/>
      <c r="G13" s="47"/>
      <c r="H13" s="47"/>
      <c r="I13" s="47"/>
    </row>
    <row r="14" spans="1:9">
      <c r="A14" s="581" t="s">
        <v>152</v>
      </c>
      <c r="B14" s="581"/>
      <c r="C14" s="471" t="s">
        <v>47</v>
      </c>
      <c r="D14" s="471" t="s">
        <v>153</v>
      </c>
      <c r="E14" s="471" t="s">
        <v>154</v>
      </c>
      <c r="F14" s="471" t="s">
        <v>155</v>
      </c>
      <c r="G14" s="471" t="s">
        <v>185</v>
      </c>
      <c r="H14" s="471" t="s">
        <v>156</v>
      </c>
      <c r="I14" s="471" t="s">
        <v>157</v>
      </c>
    </row>
    <row r="15" spans="1:9">
      <c r="A15" s="52" t="s">
        <v>158</v>
      </c>
      <c r="B15" s="53"/>
      <c r="C15" s="54"/>
      <c r="D15" s="54"/>
      <c r="E15" s="54"/>
      <c r="F15" s="54"/>
      <c r="G15" s="84"/>
      <c r="H15" s="55"/>
      <c r="I15" s="55"/>
    </row>
    <row r="16" spans="1:9">
      <c r="A16" s="582" t="str">
        <f>+CONCATENATE("Ingeniero Director de obra (dedicación ",E16*100,"% )")</f>
        <v>Ingeniero Director de obra (dedicación 20% )</v>
      </c>
      <c r="B16" s="582"/>
      <c r="C16" s="56" t="s">
        <v>159</v>
      </c>
      <c r="D16" s="57">
        <v>3</v>
      </c>
      <c r="E16" s="58">
        <v>0.2</v>
      </c>
      <c r="F16" s="83">
        <v>7052180</v>
      </c>
      <c r="G16" s="83">
        <f>+F16*1.67</f>
        <v>11777140.6</v>
      </c>
      <c r="H16" s="60">
        <f>G16*E16*D16</f>
        <v>7066284.3600000003</v>
      </c>
      <c r="I16" s="61">
        <f>ROUND(H16/E$12,4)</f>
        <v>1.03E-2</v>
      </c>
    </row>
    <row r="17" spans="1:9">
      <c r="A17" s="571" t="str">
        <f>+CONCATENATE("Ingeniero Residente de obra (dedicación ",E17*100,"% )")</f>
        <v>Ingeniero Residente de obra (dedicación 100% )</v>
      </c>
      <c r="B17" s="572"/>
      <c r="C17" s="56" t="s">
        <v>159</v>
      </c>
      <c r="D17" s="57">
        <v>3</v>
      </c>
      <c r="E17" s="58">
        <v>1</v>
      </c>
      <c r="F17" s="86">
        <v>4075700</v>
      </c>
      <c r="G17" s="83">
        <f>+F17*1.67</f>
        <v>6806419</v>
      </c>
      <c r="H17" s="60">
        <f t="shared" ref="H17:H28" si="0">G17*E17*D17</f>
        <v>20419257</v>
      </c>
      <c r="I17" s="61">
        <f>ROUND(H17/E$12,4)</f>
        <v>2.9700000000000001E-2</v>
      </c>
    </row>
    <row r="18" spans="1:9" hidden="1">
      <c r="A18" s="466" t="s">
        <v>184</v>
      </c>
      <c r="B18" s="467"/>
      <c r="C18" s="56" t="s">
        <v>159</v>
      </c>
      <c r="D18" s="57">
        <v>0</v>
      </c>
      <c r="E18" s="58">
        <v>0.5</v>
      </c>
      <c r="F18" s="86">
        <v>5950840</v>
      </c>
      <c r="G18" s="83">
        <f t="shared" ref="G18:G28" si="1">+F18*1.67</f>
        <v>9937902.7999999989</v>
      </c>
      <c r="H18" s="60">
        <f t="shared" si="0"/>
        <v>0</v>
      </c>
      <c r="I18" s="61">
        <f t="shared" ref="I18:I26" si="2">ROUND(H18/E$12,4)</f>
        <v>0</v>
      </c>
    </row>
    <row r="19" spans="1:9" hidden="1">
      <c r="A19" s="466" t="s">
        <v>183</v>
      </c>
      <c r="B19" s="467"/>
      <c r="C19" s="56" t="s">
        <v>159</v>
      </c>
      <c r="D19" s="57">
        <v>0</v>
      </c>
      <c r="E19" s="58">
        <v>0.2</v>
      </c>
      <c r="F19" s="86">
        <v>5950840</v>
      </c>
      <c r="G19" s="83">
        <f t="shared" si="1"/>
        <v>9937902.7999999989</v>
      </c>
      <c r="H19" s="60">
        <f t="shared" si="0"/>
        <v>0</v>
      </c>
      <c r="I19" s="61">
        <f t="shared" si="2"/>
        <v>0</v>
      </c>
    </row>
    <row r="20" spans="1:9" hidden="1">
      <c r="A20" s="466" t="s">
        <v>182</v>
      </c>
      <c r="B20" s="467"/>
      <c r="C20" s="56" t="s">
        <v>159</v>
      </c>
      <c r="D20" s="57">
        <v>0</v>
      </c>
      <c r="E20" s="58">
        <v>0.5</v>
      </c>
      <c r="F20" s="86">
        <v>5950840</v>
      </c>
      <c r="G20" s="83">
        <f t="shared" si="1"/>
        <v>9937902.7999999989</v>
      </c>
      <c r="H20" s="60">
        <f t="shared" si="0"/>
        <v>0</v>
      </c>
      <c r="I20" s="61">
        <f t="shared" si="2"/>
        <v>0</v>
      </c>
    </row>
    <row r="21" spans="1:9" hidden="1">
      <c r="A21" s="466" t="s">
        <v>187</v>
      </c>
      <c r="B21" s="467"/>
      <c r="C21" s="56" t="s">
        <v>159</v>
      </c>
      <c r="D21" s="57">
        <v>0</v>
      </c>
      <c r="E21" s="58">
        <v>0.2</v>
      </c>
      <c r="F21" s="86">
        <v>5067860</v>
      </c>
      <c r="G21" s="83">
        <f t="shared" si="1"/>
        <v>8463326.1999999993</v>
      </c>
      <c r="H21" s="60">
        <f t="shared" si="0"/>
        <v>0</v>
      </c>
      <c r="I21" s="61">
        <f t="shared" si="2"/>
        <v>0</v>
      </c>
    </row>
    <row r="22" spans="1:9" hidden="1">
      <c r="A22" s="571" t="str">
        <f>+CONCATENATE("Inspector de obra (dedicación ",E22*100,"% )")</f>
        <v>Inspector de obra (dedicación 0% )</v>
      </c>
      <c r="B22" s="572"/>
      <c r="C22" s="56" t="s">
        <v>159</v>
      </c>
      <c r="D22" s="57">
        <v>3</v>
      </c>
      <c r="E22" s="58">
        <v>0</v>
      </c>
      <c r="F22" s="86">
        <v>1986440</v>
      </c>
      <c r="G22" s="83">
        <f t="shared" si="1"/>
        <v>3317354.8</v>
      </c>
      <c r="H22" s="60">
        <f t="shared" si="0"/>
        <v>0</v>
      </c>
      <c r="I22" s="61">
        <f t="shared" si="2"/>
        <v>0</v>
      </c>
    </row>
    <row r="23" spans="1:9">
      <c r="A23" s="571" t="str">
        <f>+CONCATENATE("Profesional SISO (dedicación ",E23*100,"% )")</f>
        <v>Profesional SISO (dedicación 50% )</v>
      </c>
      <c r="B23" s="572"/>
      <c r="C23" s="56" t="s">
        <v>159</v>
      </c>
      <c r="D23" s="57">
        <v>3</v>
      </c>
      <c r="E23" s="58">
        <v>0.5</v>
      </c>
      <c r="F23" s="86">
        <v>2067000</v>
      </c>
      <c r="G23" s="83">
        <f t="shared" si="1"/>
        <v>3451890</v>
      </c>
      <c r="H23" s="60">
        <f t="shared" si="0"/>
        <v>5177835</v>
      </c>
      <c r="I23" s="61">
        <f t="shared" si="2"/>
        <v>7.4999999999999997E-3</v>
      </c>
    </row>
    <row r="24" spans="1:9">
      <c r="A24" s="571" t="str">
        <f>+CONCATENATE("Topografo (dedicación ",E24*100,"% )")</f>
        <v>Topografo (dedicación 50% )</v>
      </c>
      <c r="B24" s="572"/>
      <c r="C24" s="56" t="s">
        <v>159</v>
      </c>
      <c r="D24" s="57">
        <v>1</v>
      </c>
      <c r="E24" s="58">
        <v>0.5</v>
      </c>
      <c r="F24" s="86">
        <v>2067000</v>
      </c>
      <c r="G24" s="83">
        <f t="shared" si="1"/>
        <v>3451890</v>
      </c>
      <c r="H24" s="60">
        <f t="shared" si="0"/>
        <v>1725945</v>
      </c>
      <c r="I24" s="61">
        <f t="shared" si="2"/>
        <v>2.5000000000000001E-3</v>
      </c>
    </row>
    <row r="25" spans="1:9">
      <c r="A25" s="571" t="str">
        <f>+CONCATENATE("Trabajador social ",E25*100,"% )")</f>
        <v>Trabajador social 20% )</v>
      </c>
      <c r="B25" s="572"/>
      <c r="C25" s="56" t="s">
        <v>159</v>
      </c>
      <c r="D25" s="57">
        <v>3</v>
      </c>
      <c r="E25" s="58">
        <v>0.2</v>
      </c>
      <c r="F25" s="86">
        <v>2067000</v>
      </c>
      <c r="G25" s="83">
        <f t="shared" si="1"/>
        <v>3451890</v>
      </c>
      <c r="H25" s="60">
        <f t="shared" si="0"/>
        <v>2071134</v>
      </c>
      <c r="I25" s="61">
        <f t="shared" si="2"/>
        <v>3.0000000000000001E-3</v>
      </c>
    </row>
    <row r="26" spans="1:9" hidden="1">
      <c r="A26" s="571" t="str">
        <f>+CONCATENATE("Secretaria  (dedicación ",E26*100,"% )")</f>
        <v>Secretaria  (dedicación 100% )</v>
      </c>
      <c r="B26" s="572"/>
      <c r="C26" s="56" t="s">
        <v>159</v>
      </c>
      <c r="D26" s="57">
        <v>0</v>
      </c>
      <c r="E26" s="58">
        <v>1</v>
      </c>
      <c r="F26" s="59">
        <v>1272000</v>
      </c>
      <c r="G26" s="83">
        <f t="shared" si="1"/>
        <v>2124240</v>
      </c>
      <c r="H26" s="60">
        <f>G26*E26*D26</f>
        <v>0</v>
      </c>
      <c r="I26" s="61">
        <f t="shared" si="2"/>
        <v>0</v>
      </c>
    </row>
    <row r="27" spans="1:9" hidden="1">
      <c r="A27" s="573" t="str">
        <f>+ CONCATENATE("Mensajero (dedicacion ",E27*100,"%)")</f>
        <v>Mensajero (dedicacion 50%)</v>
      </c>
      <c r="B27" s="573"/>
      <c r="C27" s="56" t="s">
        <v>159</v>
      </c>
      <c r="D27" s="57">
        <v>0</v>
      </c>
      <c r="E27" s="58">
        <v>0.5</v>
      </c>
      <c r="F27" s="59">
        <v>1272000</v>
      </c>
      <c r="G27" s="83">
        <f t="shared" si="1"/>
        <v>2124240</v>
      </c>
      <c r="H27" s="60">
        <f t="shared" si="0"/>
        <v>0</v>
      </c>
      <c r="I27" s="61">
        <f>ROUND(H27/E$12,4)</f>
        <v>0</v>
      </c>
    </row>
    <row r="28" spans="1:9">
      <c r="A28" s="573" t="s">
        <v>479</v>
      </c>
      <c r="B28" s="573"/>
      <c r="C28" s="56" t="s">
        <v>159</v>
      </c>
      <c r="D28" s="57">
        <v>3</v>
      </c>
      <c r="E28" s="58">
        <v>0.5</v>
      </c>
      <c r="F28" s="86">
        <v>2067000</v>
      </c>
      <c r="G28" s="83">
        <f t="shared" si="1"/>
        <v>3451890</v>
      </c>
      <c r="H28" s="60">
        <f t="shared" si="0"/>
        <v>5177835</v>
      </c>
      <c r="I28" s="61">
        <f>ROUND(H28/E$12,4)</f>
        <v>7.4999999999999997E-3</v>
      </c>
    </row>
    <row r="29" spans="1:9">
      <c r="A29" s="574" t="s">
        <v>160</v>
      </c>
      <c r="B29" s="575"/>
      <c r="C29" s="575"/>
      <c r="D29" s="575"/>
      <c r="E29" s="575"/>
      <c r="F29" s="575"/>
      <c r="G29" s="468"/>
      <c r="H29" s="62">
        <f>SUM(H16:H27)</f>
        <v>36460455.359999999</v>
      </c>
      <c r="I29" s="94">
        <f>ROUNDUP(SUM(I16:I28),3)</f>
        <v>6.0999999999999999E-2</v>
      </c>
    </row>
    <row r="30" spans="1:9">
      <c r="A30" s="468"/>
      <c r="B30" s="468"/>
      <c r="C30" s="468"/>
      <c r="D30" s="468"/>
      <c r="E30" s="468"/>
      <c r="F30" s="468"/>
      <c r="G30" s="85"/>
      <c r="H30" s="78"/>
      <c r="I30" s="79"/>
    </row>
    <row r="31" spans="1:9">
      <c r="A31" s="52" t="s">
        <v>161</v>
      </c>
      <c r="B31" s="53"/>
      <c r="C31" s="54"/>
      <c r="D31" s="54"/>
      <c r="E31" s="54"/>
      <c r="F31" s="54"/>
      <c r="G31" s="54"/>
      <c r="H31" s="54"/>
      <c r="I31" s="54"/>
    </row>
    <row r="32" spans="1:9">
      <c r="A32" s="576" t="s">
        <v>181</v>
      </c>
      <c r="B32" s="576"/>
      <c r="C32" s="56" t="s">
        <v>159</v>
      </c>
      <c r="D32" s="57">
        <v>3</v>
      </c>
      <c r="E32" s="81">
        <v>1</v>
      </c>
      <c r="F32" s="63">
        <v>600000</v>
      </c>
      <c r="G32" s="63"/>
      <c r="H32" s="60">
        <f t="shared" ref="H32:H38" si="3">F32*E32*D32</f>
        <v>1800000</v>
      </c>
      <c r="I32" s="64">
        <f>ROUND(H32/E$12,4)</f>
        <v>2.5999999999999999E-3</v>
      </c>
    </row>
    <row r="33" spans="1:9">
      <c r="A33" s="576" t="s">
        <v>162</v>
      </c>
      <c r="B33" s="576"/>
      <c r="C33" s="56" t="s">
        <v>159</v>
      </c>
      <c r="D33" s="57">
        <v>3</v>
      </c>
      <c r="E33" s="81">
        <v>1</v>
      </c>
      <c r="F33" s="63">
        <v>300000</v>
      </c>
      <c r="G33" s="63"/>
      <c r="H33" s="60">
        <f t="shared" si="3"/>
        <v>900000</v>
      </c>
      <c r="I33" s="64">
        <f>ROUND(H33/E$12,4)</f>
        <v>1.2999999999999999E-3</v>
      </c>
    </row>
    <row r="34" spans="1:9">
      <c r="A34" s="576" t="s">
        <v>163</v>
      </c>
      <c r="B34" s="576"/>
      <c r="C34" s="56" t="s">
        <v>159</v>
      </c>
      <c r="D34" s="57">
        <v>3</v>
      </c>
      <c r="E34" s="81">
        <v>1</v>
      </c>
      <c r="F34" s="63">
        <v>250000</v>
      </c>
      <c r="G34" s="63"/>
      <c r="H34" s="60">
        <f t="shared" si="3"/>
        <v>750000</v>
      </c>
      <c r="I34" s="64">
        <f>ROUND(H34/E$12,4)</f>
        <v>1.1000000000000001E-3</v>
      </c>
    </row>
    <row r="35" spans="1:9">
      <c r="A35" s="576" t="s">
        <v>249</v>
      </c>
      <c r="B35" s="576"/>
      <c r="C35" s="56" t="s">
        <v>159</v>
      </c>
      <c r="D35" s="57">
        <v>3</v>
      </c>
      <c r="E35" s="81">
        <v>1</v>
      </c>
      <c r="F35" s="63">
        <v>4500000</v>
      </c>
      <c r="G35" s="63"/>
      <c r="H35" s="60">
        <f>F35*E35*D35</f>
        <v>13500000</v>
      </c>
      <c r="I35" s="64">
        <f>ROUND(H35/E$12,4)</f>
        <v>1.9599999999999999E-2</v>
      </c>
    </row>
    <row r="36" spans="1:9">
      <c r="A36" s="576" t="s">
        <v>186</v>
      </c>
      <c r="B36" s="576"/>
      <c r="C36" s="56" t="s">
        <v>159</v>
      </c>
      <c r="D36" s="57">
        <v>3</v>
      </c>
      <c r="E36" s="81">
        <v>1</v>
      </c>
      <c r="F36" s="63">
        <v>250000</v>
      </c>
      <c r="G36" s="63"/>
      <c r="H36" s="60">
        <f t="shared" si="3"/>
        <v>750000</v>
      </c>
      <c r="I36" s="64">
        <f>ROUND(H36/E$12,4)</f>
        <v>1.1000000000000001E-3</v>
      </c>
    </row>
    <row r="37" spans="1:9">
      <c r="A37" s="577" t="s">
        <v>164</v>
      </c>
      <c r="B37" s="577"/>
      <c r="C37" s="56" t="s">
        <v>159</v>
      </c>
      <c r="D37" s="57">
        <v>3</v>
      </c>
      <c r="E37" s="81">
        <v>1</v>
      </c>
      <c r="F37" s="63">
        <v>750000</v>
      </c>
      <c r="G37" s="63"/>
      <c r="H37" s="65">
        <f t="shared" si="3"/>
        <v>2250000</v>
      </c>
      <c r="I37" s="66">
        <f>+H37/E$12</f>
        <v>3.2725174615653579E-3</v>
      </c>
    </row>
    <row r="38" spans="1:9" hidden="1">
      <c r="A38" s="577" t="s">
        <v>438</v>
      </c>
      <c r="B38" s="577"/>
      <c r="C38" s="56" t="s">
        <v>159</v>
      </c>
      <c r="D38" s="57">
        <v>3</v>
      </c>
      <c r="E38" s="81">
        <v>0</v>
      </c>
      <c r="F38" s="63">
        <v>1260000</v>
      </c>
      <c r="G38" s="63"/>
      <c r="H38" s="65">
        <f t="shared" si="3"/>
        <v>0</v>
      </c>
      <c r="I38" s="66">
        <f>+H38/E$12</f>
        <v>0</v>
      </c>
    </row>
    <row r="39" spans="1:9">
      <c r="A39" s="577" t="s">
        <v>202</v>
      </c>
      <c r="B39" s="577"/>
      <c r="C39" s="56"/>
      <c r="D39" s="57"/>
      <c r="E39" s="81">
        <v>0</v>
      </c>
      <c r="F39" s="63"/>
      <c r="G39" s="63"/>
      <c r="H39" s="65"/>
      <c r="I39" s="66"/>
    </row>
    <row r="40" spans="1:9" ht="26.25">
      <c r="A40" s="469"/>
      <c r="B40" s="95" t="s">
        <v>203</v>
      </c>
      <c r="C40" s="56" t="s">
        <v>178</v>
      </c>
      <c r="D40" s="57">
        <v>3</v>
      </c>
      <c r="E40" s="58">
        <v>1</v>
      </c>
      <c r="F40" s="59">
        <v>85000</v>
      </c>
      <c r="G40" s="59"/>
      <c r="H40" s="65">
        <f>F40*E40*D40</f>
        <v>255000</v>
      </c>
      <c r="I40" s="96">
        <f t="shared" ref="I40:I43" si="4">+H40/E$12</f>
        <v>3.7088531231074058E-4</v>
      </c>
    </row>
    <row r="41" spans="1:9" hidden="1">
      <c r="A41" s="469"/>
      <c r="B41" s="469" t="s">
        <v>205</v>
      </c>
      <c r="C41" s="56" t="s">
        <v>178</v>
      </c>
      <c r="D41" s="57">
        <v>3</v>
      </c>
      <c r="E41" s="81">
        <v>0</v>
      </c>
      <c r="F41" s="63">
        <v>40000</v>
      </c>
      <c r="G41" s="63"/>
      <c r="H41" s="65">
        <f>F41*E41*D41</f>
        <v>0</v>
      </c>
      <c r="I41" s="66">
        <f t="shared" si="4"/>
        <v>0</v>
      </c>
    </row>
    <row r="42" spans="1:9" ht="26.25" hidden="1">
      <c r="A42" s="469"/>
      <c r="B42" s="95" t="s">
        <v>204</v>
      </c>
      <c r="C42" s="56" t="s">
        <v>178</v>
      </c>
      <c r="D42" s="57">
        <v>3</v>
      </c>
      <c r="E42" s="58">
        <v>0</v>
      </c>
      <c r="F42" s="59">
        <v>105000</v>
      </c>
      <c r="G42" s="59"/>
      <c r="H42" s="65">
        <f>F42*E42*D42</f>
        <v>0</v>
      </c>
      <c r="I42" s="96">
        <f t="shared" si="4"/>
        <v>0</v>
      </c>
    </row>
    <row r="43" spans="1:9">
      <c r="A43" s="469"/>
      <c r="B43" s="469" t="s">
        <v>201</v>
      </c>
      <c r="C43" s="56" t="s">
        <v>178</v>
      </c>
      <c r="D43" s="57">
        <v>3</v>
      </c>
      <c r="E43" s="81">
        <v>5</v>
      </c>
      <c r="F43" s="63">
        <v>35000</v>
      </c>
      <c r="G43" s="63"/>
      <c r="H43" s="65">
        <f>F43*E43*D43</f>
        <v>525000</v>
      </c>
      <c r="I43" s="66">
        <f t="shared" si="4"/>
        <v>7.6358740769858359E-4</v>
      </c>
    </row>
    <row r="44" spans="1:9">
      <c r="A44" s="469"/>
      <c r="B44" s="469"/>
      <c r="C44" s="56"/>
      <c r="D44" s="57"/>
      <c r="E44" s="81"/>
      <c r="F44" s="63"/>
      <c r="G44" s="63"/>
      <c r="H44" s="65"/>
      <c r="I44" s="66"/>
    </row>
    <row r="45" spans="1:9">
      <c r="A45" s="574" t="s">
        <v>165</v>
      </c>
      <c r="B45" s="575"/>
      <c r="C45" s="575"/>
      <c r="D45" s="575"/>
      <c r="E45" s="575"/>
      <c r="F45" s="575"/>
      <c r="G45" s="468"/>
      <c r="H45" s="62">
        <f>SUM(H32:H44)</f>
        <v>20730000</v>
      </c>
      <c r="I45" s="94">
        <f>ROUNDUP(SUM(I32:I44),3)</f>
        <v>3.1E-2</v>
      </c>
    </row>
    <row r="46" spans="1:9">
      <c r="A46" s="68"/>
      <c r="B46" s="69"/>
      <c r="C46" s="69"/>
      <c r="D46" s="69"/>
      <c r="E46" s="69"/>
      <c r="F46" s="69"/>
      <c r="G46" s="69"/>
      <c r="H46" s="47"/>
      <c r="I46" s="47"/>
    </row>
    <row r="47" spans="1:9">
      <c r="A47" s="68"/>
      <c r="B47" s="569" t="s">
        <v>166</v>
      </c>
      <c r="C47" s="570"/>
      <c r="D47" s="570"/>
      <c r="E47" s="570"/>
      <c r="F47" s="570"/>
      <c r="G47" s="465"/>
      <c r="H47" s="71" t="s">
        <v>167</v>
      </c>
      <c r="I47" s="47"/>
    </row>
    <row r="48" spans="1:9">
      <c r="A48" s="70"/>
      <c r="B48" s="562" t="s">
        <v>168</v>
      </c>
      <c r="C48" s="562"/>
      <c r="D48" s="562"/>
      <c r="E48" s="562"/>
      <c r="F48" s="562"/>
      <c r="G48" s="461"/>
      <c r="H48" s="93">
        <f>+I29</f>
        <v>6.0999999999999999E-2</v>
      </c>
      <c r="I48" s="82"/>
    </row>
    <row r="49" spans="1:9">
      <c r="A49" s="70"/>
      <c r="B49" s="562" t="s">
        <v>169</v>
      </c>
      <c r="C49" s="562"/>
      <c r="D49" s="562"/>
      <c r="E49" s="562"/>
      <c r="F49" s="562"/>
      <c r="G49" s="461"/>
      <c r="H49" s="93">
        <f>+I45</f>
        <v>3.1E-2</v>
      </c>
      <c r="I49" s="82"/>
    </row>
    <row r="50" spans="1:9">
      <c r="A50" s="70"/>
      <c r="B50" s="90" t="s">
        <v>200</v>
      </c>
      <c r="C50" s="91"/>
      <c r="D50" s="91"/>
      <c r="E50" s="91"/>
      <c r="F50" s="91"/>
      <c r="G50" s="91"/>
      <c r="H50" s="93">
        <f>+G75</f>
        <v>0.13900000000000001</v>
      </c>
      <c r="I50" s="82"/>
    </row>
    <row r="51" spans="1:9">
      <c r="A51" s="68"/>
      <c r="B51" s="563" t="s">
        <v>170</v>
      </c>
      <c r="C51" s="564"/>
      <c r="D51" s="564"/>
      <c r="E51" s="564"/>
      <c r="F51" s="564"/>
      <c r="G51" s="462"/>
      <c r="H51" s="72">
        <f>ROUNDUP(SUM(H48:H50),2)</f>
        <v>0.24000000000000002</v>
      </c>
      <c r="I51" s="80"/>
    </row>
    <row r="52" spans="1:9">
      <c r="A52" s="68"/>
      <c r="B52" s="47"/>
      <c r="C52" s="47"/>
      <c r="D52" s="47"/>
      <c r="E52" s="47"/>
      <c r="F52" s="47"/>
      <c r="G52" s="47"/>
      <c r="H52" s="47"/>
      <c r="I52" s="47"/>
    </row>
    <row r="53" spans="1:9">
      <c r="A53" s="67" t="s">
        <v>171</v>
      </c>
      <c r="B53" s="51" t="s">
        <v>172</v>
      </c>
      <c r="C53" s="51"/>
      <c r="D53" s="51"/>
      <c r="E53" s="47"/>
      <c r="F53" s="47"/>
      <c r="G53" s="47"/>
      <c r="H53" s="47"/>
      <c r="I53" s="47"/>
    </row>
    <row r="54" spans="1:9" ht="25.5" customHeight="1">
      <c r="A54" s="68"/>
      <c r="B54" s="565" t="str">
        <f>+CONCATENATE("Se asigna un valor a los imprevistos del ",H61*100,"% que de acuerdo con la experiencia obtenida en esta clase de obras puede cubrir este factor de riesgo")</f>
        <v>Se asigna un valor a los imprevistos del 1% que de acuerdo con la experiencia obtenida en esta clase de obras puede cubrir este factor de riesgo</v>
      </c>
      <c r="C54" s="565"/>
      <c r="D54" s="565"/>
      <c r="E54" s="565"/>
      <c r="F54" s="565"/>
      <c r="G54" s="565"/>
      <c r="H54" s="565"/>
      <c r="I54" s="47"/>
    </row>
    <row r="55" spans="1:9">
      <c r="A55" s="68"/>
      <c r="B55" s="69"/>
      <c r="C55" s="69"/>
      <c r="D55" s="69"/>
      <c r="E55" s="69"/>
      <c r="F55" s="69"/>
      <c r="G55" s="69"/>
      <c r="H55" s="69"/>
      <c r="I55" s="47"/>
    </row>
    <row r="56" spans="1:9">
      <c r="A56" s="67" t="s">
        <v>173</v>
      </c>
      <c r="B56" s="73" t="s">
        <v>174</v>
      </c>
      <c r="C56" s="73"/>
      <c r="D56" s="73"/>
      <c r="E56" s="69"/>
      <c r="F56" s="69"/>
      <c r="G56" s="69"/>
      <c r="H56" s="69"/>
      <c r="I56" s="47"/>
    </row>
    <row r="57" spans="1:9" ht="27.75" customHeight="1">
      <c r="A57" s="68"/>
      <c r="B57" s="565" t="str">
        <f>+CONCATENATE("Se asigna un valor a la utilidad del ",H62*100,"% con el cual se consideran satisfechas las normales pretenciones del contratista en el desarrollo de la actividad.")</f>
        <v>Se asigna un valor a la utilidad del 6% con el cual se consideran satisfechas las normales pretenciones del contratista en el desarrollo de la actividad.</v>
      </c>
      <c r="C57" s="565"/>
      <c r="D57" s="565"/>
      <c r="E57" s="565"/>
      <c r="F57" s="565"/>
      <c r="G57" s="565"/>
      <c r="H57" s="565"/>
      <c r="I57" s="47"/>
    </row>
    <row r="58" spans="1:9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.75">
      <c r="A59" s="47"/>
      <c r="B59" s="566" t="s">
        <v>175</v>
      </c>
      <c r="C59" s="567"/>
      <c r="D59" s="567"/>
      <c r="E59" s="567"/>
      <c r="F59" s="567"/>
      <c r="G59" s="463"/>
      <c r="H59" s="74" t="s">
        <v>167</v>
      </c>
      <c r="I59" s="47"/>
    </row>
    <row r="60" spans="1:9" ht="15.75">
      <c r="A60" s="47"/>
      <c r="B60" s="568" t="s">
        <v>476</v>
      </c>
      <c r="C60" s="568"/>
      <c r="D60" s="568"/>
      <c r="E60" s="568"/>
      <c r="F60" s="568"/>
      <c r="G60" s="464"/>
      <c r="H60" s="75">
        <f>+H51</f>
        <v>0.24000000000000002</v>
      </c>
      <c r="I60" s="80"/>
    </row>
    <row r="61" spans="1:9" ht="15.75">
      <c r="A61" s="47"/>
      <c r="B61" s="568" t="s">
        <v>477</v>
      </c>
      <c r="C61" s="568"/>
      <c r="D61" s="568"/>
      <c r="E61" s="568"/>
      <c r="F61" s="568"/>
      <c r="G61" s="464"/>
      <c r="H61" s="76">
        <v>0.01</v>
      </c>
      <c r="I61" s="80"/>
    </row>
    <row r="62" spans="1:9" ht="15.75">
      <c r="A62" s="47"/>
      <c r="B62" s="568" t="s">
        <v>478</v>
      </c>
      <c r="C62" s="568"/>
      <c r="D62" s="568"/>
      <c r="E62" s="568"/>
      <c r="F62" s="568"/>
      <c r="G62" s="464"/>
      <c r="H62" s="76">
        <v>0.06</v>
      </c>
      <c r="I62" s="80"/>
    </row>
    <row r="63" spans="1:9" ht="15.75">
      <c r="A63" s="47"/>
      <c r="B63" s="560" t="s">
        <v>170</v>
      </c>
      <c r="C63" s="561"/>
      <c r="D63" s="561"/>
      <c r="E63" s="561"/>
      <c r="F63" s="561"/>
      <c r="G63" s="460"/>
      <c r="H63" s="77">
        <f>SUM(H60:H62)</f>
        <v>0.31</v>
      </c>
      <c r="I63" s="80"/>
    </row>
    <row r="66" spans="1:10" hidden="1">
      <c r="A66" t="s">
        <v>45</v>
      </c>
      <c r="B66" t="s">
        <v>188</v>
      </c>
      <c r="F66" t="s">
        <v>189</v>
      </c>
    </row>
    <row r="67" spans="1:10" hidden="1">
      <c r="A67">
        <v>1</v>
      </c>
      <c r="B67" t="s">
        <v>190</v>
      </c>
      <c r="D67" s="87">
        <v>0</v>
      </c>
      <c r="E67" t="s">
        <v>191</v>
      </c>
      <c r="F67" s="88">
        <f>+D67*$E$12</f>
        <v>0</v>
      </c>
    </row>
    <row r="68" spans="1:10" hidden="1">
      <c r="A68">
        <v>2</v>
      </c>
      <c r="B68" t="s">
        <v>192</v>
      </c>
      <c r="D68" s="87">
        <v>0.01</v>
      </c>
      <c r="E68" t="s">
        <v>191</v>
      </c>
      <c r="F68" s="88">
        <f t="shared" ref="F68:F73" si="5">+D68*$E$12</f>
        <v>6875440.7774</v>
      </c>
    </row>
    <row r="69" spans="1:10" hidden="1">
      <c r="A69">
        <v>3</v>
      </c>
      <c r="B69" t="s">
        <v>193</v>
      </c>
      <c r="D69" s="87">
        <v>0.02</v>
      </c>
      <c r="E69" t="s">
        <v>191</v>
      </c>
      <c r="F69" s="88">
        <f t="shared" si="5"/>
        <v>13750881.5548</v>
      </c>
    </row>
    <row r="70" spans="1:10" hidden="1">
      <c r="A70">
        <v>4</v>
      </c>
      <c r="B70" t="s">
        <v>194</v>
      </c>
      <c r="D70" s="87">
        <v>0.02</v>
      </c>
      <c r="E70" t="s">
        <v>191</v>
      </c>
      <c r="F70" s="88">
        <f t="shared" si="5"/>
        <v>13750881.5548</v>
      </c>
    </row>
    <row r="71" spans="1:10" hidden="1">
      <c r="A71">
        <v>5</v>
      </c>
      <c r="B71" t="s">
        <v>195</v>
      </c>
      <c r="D71" s="87">
        <v>1E-3</v>
      </c>
      <c r="E71" t="s">
        <v>191</v>
      </c>
      <c r="F71" s="88">
        <f t="shared" si="5"/>
        <v>687544.07773999998</v>
      </c>
    </row>
    <row r="72" spans="1:10" hidden="1">
      <c r="A72">
        <v>6</v>
      </c>
      <c r="B72" t="s">
        <v>196</v>
      </c>
      <c r="D72" s="87">
        <v>8.9999999999999993E-3</v>
      </c>
      <c r="E72" t="s">
        <v>191</v>
      </c>
      <c r="F72" s="88">
        <f t="shared" si="5"/>
        <v>6187896.6996599995</v>
      </c>
    </row>
    <row r="73" spans="1:10" hidden="1">
      <c r="A73">
        <v>7</v>
      </c>
      <c r="B73" t="s">
        <v>197</v>
      </c>
      <c r="D73" s="87">
        <v>0.05</v>
      </c>
      <c r="E73" t="s">
        <v>191</v>
      </c>
      <c r="F73" s="88">
        <f t="shared" si="5"/>
        <v>34377203.887000002</v>
      </c>
    </row>
    <row r="74" spans="1:10" hidden="1">
      <c r="A74">
        <v>8</v>
      </c>
      <c r="B74" t="s">
        <v>198</v>
      </c>
      <c r="D74" s="87">
        <v>0.03</v>
      </c>
      <c r="E74" t="s">
        <v>191</v>
      </c>
      <c r="F74" s="88">
        <f>+D74*(E12-F68-F69-F70)</f>
        <v>19595006.215589996</v>
      </c>
    </row>
    <row r="75" spans="1:10" hidden="1">
      <c r="A75" t="s">
        <v>199</v>
      </c>
      <c r="F75" s="89">
        <f>SUM(F67:F74)</f>
        <v>95224854.766990006</v>
      </c>
      <c r="G75" s="92">
        <f>+ROUNDUP(F75/E12,3)</f>
        <v>0.13900000000000001</v>
      </c>
    </row>
    <row r="77" spans="1:10" ht="15.75">
      <c r="B77" s="504" t="s">
        <v>246</v>
      </c>
      <c r="C77" s="505"/>
      <c r="D77" s="506"/>
      <c r="E77" s="506"/>
      <c r="F77" s="504" t="s">
        <v>494</v>
      </c>
      <c r="H77" s="4"/>
      <c r="I77" s="4"/>
      <c r="J77" s="501"/>
    </row>
    <row r="78" spans="1:10" ht="15.75">
      <c r="B78" s="505" t="s">
        <v>247</v>
      </c>
      <c r="C78" s="505"/>
      <c r="D78" s="506"/>
      <c r="E78" s="506"/>
      <c r="F78" s="505" t="s">
        <v>495</v>
      </c>
      <c r="H78" s="4"/>
      <c r="I78" s="4"/>
      <c r="J78" s="4"/>
    </row>
  </sheetData>
  <mergeCells count="36">
    <mergeCell ref="A27:B27"/>
    <mergeCell ref="A1:I1"/>
    <mergeCell ref="A2:I2"/>
    <mergeCell ref="A4:I4"/>
    <mergeCell ref="A6:I6"/>
    <mergeCell ref="A14:B14"/>
    <mergeCell ref="A16:B16"/>
    <mergeCell ref="A5:I5"/>
    <mergeCell ref="A17:B17"/>
    <mergeCell ref="A22:B22"/>
    <mergeCell ref="A23:B23"/>
    <mergeCell ref="A24:B24"/>
    <mergeCell ref="A26:B26"/>
    <mergeCell ref="A25:B25"/>
    <mergeCell ref="A38:B38"/>
    <mergeCell ref="A39:B39"/>
    <mergeCell ref="A45:F45"/>
    <mergeCell ref="A28:B28"/>
    <mergeCell ref="B61:F61"/>
    <mergeCell ref="B48:F48"/>
    <mergeCell ref="A29:F29"/>
    <mergeCell ref="A32:B32"/>
    <mergeCell ref="A33:B33"/>
    <mergeCell ref="A34:B34"/>
    <mergeCell ref="A35:B35"/>
    <mergeCell ref="B47:F47"/>
    <mergeCell ref="A36:B36"/>
    <mergeCell ref="A37:B37"/>
    <mergeCell ref="B62:F62"/>
    <mergeCell ref="B63:F63"/>
    <mergeCell ref="B49:F49"/>
    <mergeCell ref="B51:F51"/>
    <mergeCell ref="B54:H54"/>
    <mergeCell ref="B57:H57"/>
    <mergeCell ref="B59:F59"/>
    <mergeCell ref="B60:F60"/>
  </mergeCells>
  <pageMargins left="0.7" right="0.7" top="0.75" bottom="0.75" header="0.3" footer="0.3"/>
  <pageSetup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M66" sqref="M66"/>
    </sheetView>
  </sheetViews>
  <sheetFormatPr baseColWidth="10" defaultRowHeight="15"/>
  <cols>
    <col min="9" max="9" width="11.85546875" bestFit="1" customWidth="1"/>
    <col min="11" max="11" width="13.7109375" customWidth="1"/>
    <col min="14" max="14" width="11.85546875" bestFit="1" customWidth="1"/>
  </cols>
  <sheetData>
    <row r="1" spans="2:14" ht="15.75" thickBot="1"/>
    <row r="2" spans="2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326"/>
      <c r="K2" s="290" t="s">
        <v>46</v>
      </c>
      <c r="L2" s="598" t="s">
        <v>47</v>
      </c>
      <c r="M2" s="599"/>
      <c r="N2" s="288" t="s">
        <v>5</v>
      </c>
    </row>
    <row r="3" spans="2:14" ht="15.75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329"/>
      <c r="K3" s="206"/>
      <c r="L3" s="606" t="s">
        <v>47</v>
      </c>
      <c r="M3" s="607"/>
      <c r="N3" s="204" t="s">
        <v>5</v>
      </c>
    </row>
    <row r="4" spans="2:14" ht="15.75" thickBot="1">
      <c r="B4" s="324">
        <v>400.02</v>
      </c>
      <c r="C4" s="208" t="s">
        <v>405</v>
      </c>
      <c r="D4" s="209"/>
      <c r="E4" s="209"/>
      <c r="F4" s="209"/>
      <c r="G4" s="209"/>
      <c r="H4" s="209"/>
      <c r="I4" s="209"/>
      <c r="J4" s="210"/>
      <c r="K4" s="211"/>
      <c r="L4" s="707" t="s">
        <v>20</v>
      </c>
      <c r="M4" s="708"/>
      <c r="N4" s="214"/>
    </row>
    <row r="5" spans="2:14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14">
      <c r="B9" s="600" t="s">
        <v>406</v>
      </c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>
        <v>1800</v>
      </c>
    </row>
    <row r="10" spans="2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f t="shared" ref="N10:N11" si="0">+M10*K10</f>
        <v>0</v>
      </c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f t="shared" si="0"/>
        <v>0</v>
      </c>
    </row>
    <row r="12" spans="2:14" ht="15.75" customHeight="1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616"/>
      <c r="M12" s="617"/>
      <c r="N12" s="342">
        <f>+L12*K12</f>
        <v>0</v>
      </c>
    </row>
    <row r="13" spans="2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4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2:14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>
        <v>0.1</v>
      </c>
      <c r="M16" s="625">
        <v>0.1</v>
      </c>
      <c r="N16" s="246">
        <f>N50*M16</f>
        <v>1037.2203000000002</v>
      </c>
    </row>
    <row r="17" spans="2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2837.2203</v>
      </c>
    </row>
    <row r="18" spans="2:14">
      <c r="B18" s="703"/>
      <c r="C18" s="704"/>
      <c r="D18" s="704"/>
      <c r="E18" s="704"/>
      <c r="F18" s="704"/>
      <c r="G18" s="704"/>
      <c r="H18" s="704"/>
      <c r="I18" s="705"/>
      <c r="J18" s="341"/>
      <c r="K18" s="223"/>
      <c r="L18" s="706"/>
      <c r="M18" s="705"/>
      <c r="N18" s="224"/>
    </row>
    <row r="19" spans="2:14">
      <c r="B19" s="248" t="s">
        <v>59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249"/>
    </row>
    <row r="20" spans="2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14">
      <c r="B21" s="608" t="s">
        <v>3</v>
      </c>
      <c r="C21" s="609"/>
      <c r="D21" s="609"/>
      <c r="E21" s="609"/>
      <c r="F21" s="609"/>
      <c r="G21" s="609"/>
      <c r="H21" s="609"/>
      <c r="I21" s="610"/>
      <c r="J21" s="332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14">
      <c r="B22" s="600" t="s">
        <v>296</v>
      </c>
      <c r="C22" s="682"/>
      <c r="D22" s="682"/>
      <c r="E22" s="682"/>
      <c r="F22" s="682"/>
      <c r="G22" s="682"/>
      <c r="H22" s="682"/>
      <c r="I22" s="603"/>
      <c r="J22" s="254" t="s">
        <v>12</v>
      </c>
      <c r="K22" s="255">
        <v>0.13</v>
      </c>
      <c r="L22" s="346"/>
      <c r="M22" s="343">
        <v>430760</v>
      </c>
      <c r="N22" s="232">
        <f>+M22*K22</f>
        <v>55998.8</v>
      </c>
    </row>
    <row r="23" spans="2:14">
      <c r="B23" s="600"/>
      <c r="C23" s="682"/>
      <c r="D23" s="682"/>
      <c r="E23" s="682"/>
      <c r="F23" s="682"/>
      <c r="G23" s="682"/>
      <c r="H23" s="682"/>
      <c r="I23" s="603"/>
      <c r="J23" s="254"/>
      <c r="K23" s="255"/>
      <c r="L23" s="683"/>
      <c r="M23" s="684"/>
      <c r="N23" s="232">
        <f>+L23*K23</f>
        <v>0</v>
      </c>
    </row>
    <row r="24" spans="2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683"/>
      <c r="M24" s="684"/>
      <c r="N24" s="232">
        <f t="shared" ref="N24:N28" si="1">+L24*K24</f>
        <v>0</v>
      </c>
    </row>
    <row r="25" spans="2:14">
      <c r="B25" s="600"/>
      <c r="C25" s="682"/>
      <c r="D25" s="682"/>
      <c r="E25" s="682"/>
      <c r="F25" s="682"/>
      <c r="G25" s="682"/>
      <c r="H25" s="682"/>
      <c r="I25" s="603"/>
      <c r="J25" s="254"/>
      <c r="K25" s="255"/>
      <c r="L25" s="683"/>
      <c r="M25" s="684"/>
      <c r="N25" s="232">
        <f t="shared" si="1"/>
        <v>0</v>
      </c>
    </row>
    <row r="26" spans="2:14">
      <c r="B26" s="600"/>
      <c r="C26" s="682"/>
      <c r="D26" s="682"/>
      <c r="E26" s="682"/>
      <c r="F26" s="682"/>
      <c r="G26" s="682"/>
      <c r="H26" s="682"/>
      <c r="I26" s="603"/>
      <c r="J26" s="254"/>
      <c r="K26" s="255"/>
      <c r="L26" s="683"/>
      <c r="M26" s="684"/>
      <c r="N26" s="232">
        <f t="shared" si="1"/>
        <v>0</v>
      </c>
    </row>
    <row r="27" spans="2:14">
      <c r="B27" s="600"/>
      <c r="C27" s="682"/>
      <c r="D27" s="682"/>
      <c r="E27" s="682"/>
      <c r="F27" s="682"/>
      <c r="G27" s="682"/>
      <c r="H27" s="682"/>
      <c r="I27" s="603"/>
      <c r="J27" s="254"/>
      <c r="K27" s="255"/>
      <c r="L27" s="683"/>
      <c r="M27" s="684"/>
      <c r="N27" s="232">
        <f t="shared" si="1"/>
        <v>0</v>
      </c>
    </row>
    <row r="28" spans="2:14" ht="15.75" thickBot="1">
      <c r="B28" s="600"/>
      <c r="C28" s="682"/>
      <c r="D28" s="682"/>
      <c r="E28" s="682"/>
      <c r="F28" s="682"/>
      <c r="G28" s="682"/>
      <c r="H28" s="682"/>
      <c r="I28" s="603"/>
      <c r="J28" s="254"/>
      <c r="K28" s="255"/>
      <c r="L28" s="683"/>
      <c r="M28" s="684"/>
      <c r="N28" s="232">
        <f t="shared" si="1"/>
        <v>0</v>
      </c>
    </row>
    <row r="29" spans="2:14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SUM(N22:N28)</f>
        <v>55998.8</v>
      </c>
    </row>
    <row r="30" spans="2:14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>
      <c r="B31" s="248" t="s">
        <v>61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249"/>
    </row>
    <row r="32" spans="2:14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6" ht="25.5">
      <c r="B33" s="330" t="s">
        <v>62</v>
      </c>
      <c r="C33" s="331"/>
      <c r="D33" s="331"/>
      <c r="E33" s="331"/>
      <c r="F33" s="331"/>
      <c r="G33" s="331"/>
      <c r="H33" s="294" t="s">
        <v>47</v>
      </c>
      <c r="I33" s="295" t="s">
        <v>63</v>
      </c>
      <c r="J33" s="326" t="s">
        <v>64</v>
      </c>
      <c r="K33" s="294" t="s">
        <v>65</v>
      </c>
      <c r="L33" s="336" t="s">
        <v>66</v>
      </c>
      <c r="M33" s="337"/>
      <c r="N33" s="298" t="s">
        <v>54</v>
      </c>
    </row>
    <row r="34" spans="2:16">
      <c r="B34" s="620"/>
      <c r="C34" s="687"/>
      <c r="D34" s="687"/>
      <c r="E34" s="687"/>
      <c r="F34" s="687"/>
      <c r="G34" s="688"/>
      <c r="H34" s="267"/>
      <c r="I34" s="244"/>
      <c r="J34" s="268"/>
      <c r="K34" s="244"/>
      <c r="L34" s="709"/>
      <c r="M34" s="710"/>
      <c r="N34" s="269">
        <f>K34*L34</f>
        <v>0</v>
      </c>
    </row>
    <row r="35" spans="2:16">
      <c r="B35" s="693"/>
      <c r="C35" s="694"/>
      <c r="D35" s="694"/>
      <c r="E35" s="694"/>
      <c r="F35" s="694"/>
      <c r="G35" s="695"/>
      <c r="H35" s="271"/>
      <c r="I35" s="244"/>
      <c r="J35" s="244"/>
      <c r="K35" s="244"/>
      <c r="L35" s="339"/>
      <c r="M35" s="340"/>
      <c r="N35" s="274"/>
    </row>
    <row r="36" spans="2:16">
      <c r="B36" s="693"/>
      <c r="C36" s="694"/>
      <c r="D36" s="694"/>
      <c r="E36" s="694"/>
      <c r="F36" s="694"/>
      <c r="G36" s="695"/>
      <c r="H36" s="271"/>
      <c r="I36" s="244"/>
      <c r="J36" s="244"/>
      <c r="K36" s="244"/>
      <c r="L36" s="339"/>
      <c r="M36" s="340"/>
      <c r="N36" s="274"/>
    </row>
    <row r="37" spans="2:16">
      <c r="B37" s="693"/>
      <c r="C37" s="694"/>
      <c r="D37" s="694"/>
      <c r="E37" s="694"/>
      <c r="F37" s="694"/>
      <c r="G37" s="695"/>
      <c r="H37" s="271"/>
      <c r="I37" s="244"/>
      <c r="J37" s="244"/>
      <c r="K37" s="244"/>
      <c r="L37" s="339"/>
      <c r="M37" s="340"/>
      <c r="N37" s="274"/>
    </row>
    <row r="38" spans="2:16" ht="15.75" thickBot="1">
      <c r="B38" s="689"/>
      <c r="C38" s="690"/>
      <c r="D38" s="690"/>
      <c r="E38" s="690"/>
      <c r="F38" s="690"/>
      <c r="G38" s="625"/>
      <c r="H38" s="277"/>
      <c r="I38" s="278"/>
      <c r="J38" s="278"/>
      <c r="K38" s="278"/>
      <c r="L38" s="618"/>
      <c r="M38" s="619"/>
      <c r="N38" s="319"/>
    </row>
    <row r="39" spans="2:16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320">
        <f>N34+N35+N36+N37</f>
        <v>0</v>
      </c>
    </row>
    <row r="40" spans="2:16">
      <c r="B40" s="248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249"/>
    </row>
    <row r="41" spans="2:16">
      <c r="B41" s="248" t="s">
        <v>68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249"/>
    </row>
    <row r="42" spans="2:16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6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326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6">
      <c r="B44" s="280" t="s">
        <v>321</v>
      </c>
      <c r="C44" s="270"/>
      <c r="D44" s="270"/>
      <c r="E44" s="270"/>
      <c r="F44" s="270"/>
      <c r="G44" s="270"/>
      <c r="H44" s="270"/>
      <c r="I44" s="281">
        <f>27604*3</f>
        <v>82812</v>
      </c>
      <c r="J44" s="35">
        <v>167</v>
      </c>
      <c r="K44" s="36">
        <f>+J44*I44/100</f>
        <v>138296.04</v>
      </c>
      <c r="L44" s="282"/>
      <c r="M44" s="193">
        <v>0.05</v>
      </c>
      <c r="N44" s="269">
        <f>+M44*K44</f>
        <v>6914.8020000000006</v>
      </c>
      <c r="P44">
        <f>1/20</f>
        <v>0.05</v>
      </c>
    </row>
    <row r="45" spans="2:16">
      <c r="B45" s="280" t="s">
        <v>285</v>
      </c>
      <c r="C45" s="270"/>
      <c r="D45" s="270"/>
      <c r="E45" s="270"/>
      <c r="F45" s="270"/>
      <c r="G45" s="270"/>
      <c r="H45" s="270"/>
      <c r="I45" s="281">
        <v>41406</v>
      </c>
      <c r="J45" s="35">
        <v>167</v>
      </c>
      <c r="K45" s="36">
        <f>+J45*I45/100</f>
        <v>69148.02</v>
      </c>
      <c r="L45" s="282"/>
      <c r="M45" s="303">
        <v>0.05</v>
      </c>
      <c r="N45" s="269">
        <f>+M45*K45</f>
        <v>3457.4010000000003</v>
      </c>
    </row>
    <row r="46" spans="2:16">
      <c r="B46" s="280"/>
      <c r="C46" s="270"/>
      <c r="D46" s="270"/>
      <c r="E46" s="270"/>
      <c r="F46" s="270"/>
      <c r="G46" s="270"/>
      <c r="H46" s="270"/>
      <c r="I46" s="281"/>
      <c r="J46" s="35"/>
      <c r="K46" s="36"/>
      <c r="L46" s="282"/>
      <c r="M46" s="303"/>
      <c r="N46" s="269">
        <f t="shared" ref="N46" si="2">+M46*K46</f>
        <v>0</v>
      </c>
    </row>
    <row r="47" spans="2:16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335"/>
      <c r="M47" s="284"/>
      <c r="N47" s="269"/>
    </row>
    <row r="48" spans="2:16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335"/>
      <c r="M48" s="284"/>
      <c r="N48" s="269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69"/>
    </row>
    <row r="50" spans="2:14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10372.203000000001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700" t="s">
        <v>74</v>
      </c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2"/>
      <c r="N52" s="323">
        <f>ROUND((N17+N29+N39+N50),0)</f>
        <v>69208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15917.84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692.08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4844.5600000000004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21454.480000000003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90662</v>
      </c>
    </row>
  </sheetData>
  <mergeCells count="62">
    <mergeCell ref="B62:M62"/>
    <mergeCell ref="B57:H57"/>
    <mergeCell ref="L57:M57"/>
    <mergeCell ref="L58:M58"/>
    <mergeCell ref="L59:M59"/>
    <mergeCell ref="B60:M60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C2:I2"/>
    <mergeCell ref="L2:M2"/>
    <mergeCell ref="C3:I3"/>
    <mergeCell ref="L3:M3"/>
    <mergeCell ref="L4:M4"/>
    <mergeCell ref="I16:J16"/>
    <mergeCell ref="L16:M16"/>
    <mergeCell ref="B26:I26"/>
    <mergeCell ref="L26:M26"/>
    <mergeCell ref="B23:I23"/>
    <mergeCell ref="B18:I18"/>
    <mergeCell ref="L18:M18"/>
    <mergeCell ref="B21:I21"/>
    <mergeCell ref="L21:M21"/>
    <mergeCell ref="B22:I22"/>
    <mergeCell ref="L23:M23"/>
    <mergeCell ref="B24:I24"/>
    <mergeCell ref="L24:M24"/>
    <mergeCell ref="B25:I25"/>
    <mergeCell ref="L25:M25"/>
    <mergeCell ref="B39:M39"/>
    <mergeCell ref="B43:H43"/>
    <mergeCell ref="L43:M43"/>
    <mergeCell ref="B27:I27"/>
    <mergeCell ref="L27:M27"/>
    <mergeCell ref="B28:I28"/>
    <mergeCell ref="L28:M28"/>
    <mergeCell ref="B29:M29"/>
    <mergeCell ref="B34:G34"/>
    <mergeCell ref="L34:M34"/>
    <mergeCell ref="B35:G35"/>
    <mergeCell ref="B36:G36"/>
    <mergeCell ref="B37:G37"/>
    <mergeCell ref="B38:G38"/>
    <mergeCell ref="L38:M38"/>
    <mergeCell ref="B49:H49"/>
    <mergeCell ref="L49:M49"/>
    <mergeCell ref="B50:M50"/>
    <mergeCell ref="B51:M51"/>
    <mergeCell ref="B52:M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AC62"/>
  <sheetViews>
    <sheetView topLeftCell="A34" workbookViewId="0">
      <selection activeCell="M68" sqref="M68"/>
    </sheetView>
  </sheetViews>
  <sheetFormatPr baseColWidth="10" defaultRowHeight="15"/>
  <cols>
    <col min="9" max="9" width="12.85546875" bestFit="1" customWidth="1"/>
    <col min="11" max="11" width="13.5703125" bestFit="1" customWidth="1"/>
    <col min="14" max="14" width="13" bestFit="1" customWidth="1"/>
  </cols>
  <sheetData>
    <row r="1" spans="2:19" ht="15.75" thickBot="1"/>
    <row r="2" spans="2:19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2:19" ht="15.75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2:19" ht="15.75" thickBot="1">
      <c r="B4" s="324">
        <v>400.03</v>
      </c>
      <c r="C4" s="208" t="s">
        <v>395</v>
      </c>
      <c r="D4" s="209"/>
      <c r="E4" s="209"/>
      <c r="F4" s="209"/>
      <c r="G4" s="209"/>
      <c r="H4" s="209"/>
      <c r="I4" s="209"/>
      <c r="J4" s="210"/>
      <c r="K4" s="211"/>
      <c r="L4" s="707" t="s">
        <v>20</v>
      </c>
      <c r="M4" s="708"/>
      <c r="N4" s="214"/>
    </row>
    <row r="5" spans="2:19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19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19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19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19">
      <c r="B9" s="600" t="s">
        <v>244</v>
      </c>
      <c r="C9" s="601"/>
      <c r="D9" s="601"/>
      <c r="E9" s="601"/>
      <c r="F9" s="601"/>
      <c r="G9" s="601"/>
      <c r="H9" s="603"/>
      <c r="I9" s="227"/>
      <c r="J9" s="228"/>
      <c r="K9" s="229">
        <v>42000</v>
      </c>
      <c r="L9" s="230"/>
      <c r="M9" s="231">
        <v>1.4999999999999999E-2</v>
      </c>
      <c r="N9" s="232">
        <f>+M9*K9</f>
        <v>630</v>
      </c>
    </row>
    <row r="10" spans="2:19">
      <c r="B10" s="600" t="s">
        <v>396</v>
      </c>
      <c r="C10" s="601"/>
      <c r="D10" s="601"/>
      <c r="E10" s="601"/>
      <c r="F10" s="601"/>
      <c r="G10" s="601"/>
      <c r="H10" s="603"/>
      <c r="I10" s="227"/>
      <c r="J10" s="228"/>
      <c r="K10" s="229">
        <v>5757</v>
      </c>
      <c r="L10" s="230"/>
      <c r="M10" s="231">
        <v>0.7</v>
      </c>
      <c r="N10" s="232">
        <f t="shared" ref="N10:N11" si="0">+M10*K10</f>
        <v>4029.8999999999996</v>
      </c>
      <c r="P10">
        <f>120/180</f>
        <v>0.66666666666666663</v>
      </c>
    </row>
    <row r="11" spans="2:19">
      <c r="B11" s="600" t="s">
        <v>397</v>
      </c>
      <c r="C11" s="601"/>
      <c r="D11" s="601"/>
      <c r="E11" s="601"/>
      <c r="F11" s="601"/>
      <c r="G11" s="601"/>
      <c r="H11" s="603"/>
      <c r="I11" s="227"/>
      <c r="J11" s="228"/>
      <c r="K11" s="229">
        <v>5040</v>
      </c>
      <c r="L11" s="230"/>
      <c r="M11" s="231">
        <v>0.04</v>
      </c>
      <c r="N11" s="233">
        <f t="shared" si="0"/>
        <v>201.6</v>
      </c>
      <c r="P11">
        <f>180/8</f>
        <v>22.5</v>
      </c>
      <c r="Q11">
        <f>1/22.5</f>
        <v>4.4444444444444446E-2</v>
      </c>
    </row>
    <row r="12" spans="2:19">
      <c r="B12" s="600" t="s">
        <v>398</v>
      </c>
      <c r="C12" s="601"/>
      <c r="D12" s="601"/>
      <c r="E12" s="601"/>
      <c r="F12" s="601"/>
      <c r="G12" s="601"/>
      <c r="H12" s="603"/>
      <c r="I12" s="227"/>
      <c r="J12" s="228"/>
      <c r="K12" s="229">
        <v>35000</v>
      </c>
      <c r="L12" s="616">
        <v>0.02</v>
      </c>
      <c r="M12" s="617"/>
      <c r="N12" s="342">
        <f>+L12*K12</f>
        <v>700</v>
      </c>
      <c r="P12">
        <f>10/0.2</f>
        <v>50</v>
      </c>
      <c r="Q12">
        <f>1/50</f>
        <v>0.02</v>
      </c>
      <c r="S12">
        <f>+K12*8</f>
        <v>280000</v>
      </c>
    </row>
    <row r="13" spans="2:19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19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9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2:19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>
        <v>0.1</v>
      </c>
      <c r="M16" s="625">
        <v>0.1</v>
      </c>
      <c r="N16" s="246">
        <f>N50*M16</f>
        <v>783.67756000000008</v>
      </c>
    </row>
    <row r="17" spans="2:29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6345.1775600000001</v>
      </c>
    </row>
    <row r="18" spans="2:29">
      <c r="B18" s="703"/>
      <c r="C18" s="704"/>
      <c r="D18" s="704"/>
      <c r="E18" s="704"/>
      <c r="F18" s="704"/>
      <c r="G18" s="704"/>
      <c r="H18" s="704"/>
      <c r="I18" s="705"/>
      <c r="J18" s="251"/>
      <c r="K18" s="223"/>
      <c r="L18" s="706"/>
      <c r="M18" s="705"/>
      <c r="N18" s="224"/>
    </row>
    <row r="19" spans="2:29">
      <c r="B19" s="248" t="s">
        <v>59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49"/>
    </row>
    <row r="20" spans="2:29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29">
      <c r="B21" s="608" t="s">
        <v>3</v>
      </c>
      <c r="C21" s="609"/>
      <c r="D21" s="609"/>
      <c r="E21" s="609"/>
      <c r="F21" s="609"/>
      <c r="G21" s="609"/>
      <c r="H21" s="609"/>
      <c r="I21" s="610"/>
      <c r="J21" s="291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29">
      <c r="B22" s="600" t="s">
        <v>399</v>
      </c>
      <c r="C22" s="682"/>
      <c r="D22" s="682"/>
      <c r="E22" s="682"/>
      <c r="F22" s="682"/>
      <c r="G22" s="682"/>
      <c r="H22" s="682"/>
      <c r="I22" s="603"/>
      <c r="J22" s="254" t="s">
        <v>25</v>
      </c>
      <c r="K22" s="255">
        <v>2</v>
      </c>
      <c r="L22" s="683">
        <v>3484</v>
      </c>
      <c r="M22" s="684"/>
      <c r="N22" s="232">
        <f>+L22*K22</f>
        <v>6968</v>
      </c>
      <c r="P22">
        <f>0.37/0.2</f>
        <v>1.8499999999999999</v>
      </c>
      <c r="Q22">
        <f>4/0.5</f>
        <v>8</v>
      </c>
      <c r="R22">
        <f>+Q22*0.8*1</f>
        <v>6.4</v>
      </c>
      <c r="S22">
        <f>+R22/12</f>
        <v>0.53333333333333333</v>
      </c>
    </row>
    <row r="23" spans="2:29">
      <c r="B23" s="225" t="s">
        <v>245</v>
      </c>
      <c r="C23" s="312"/>
      <c r="D23" s="312"/>
      <c r="E23" s="312"/>
      <c r="F23" s="312"/>
      <c r="G23" s="312"/>
      <c r="H23" s="312"/>
      <c r="I23" s="226"/>
      <c r="J23" s="254" t="s">
        <v>314</v>
      </c>
      <c r="K23" s="255">
        <v>1E-3</v>
      </c>
      <c r="L23" s="683">
        <v>750000</v>
      </c>
      <c r="M23" s="684"/>
      <c r="N23" s="232">
        <f>+L23*K23</f>
        <v>750</v>
      </c>
    </row>
    <row r="24" spans="2:29">
      <c r="B24" s="600" t="s">
        <v>400</v>
      </c>
      <c r="C24" s="682"/>
      <c r="D24" s="682"/>
      <c r="E24" s="682"/>
      <c r="F24" s="682"/>
      <c r="G24" s="682"/>
      <c r="H24" s="682"/>
      <c r="I24" s="603"/>
      <c r="J24" s="254" t="s">
        <v>221</v>
      </c>
      <c r="K24" s="255">
        <v>0.5</v>
      </c>
      <c r="L24" s="683">
        <v>704</v>
      </c>
      <c r="M24" s="684"/>
      <c r="N24" s="232">
        <f t="shared" ref="N24:N28" si="1">+L24*K24</f>
        <v>352</v>
      </c>
      <c r="P24">
        <f>6/12</f>
        <v>0.5</v>
      </c>
      <c r="Q24">
        <f>3/0.3</f>
        <v>10</v>
      </c>
      <c r="R24">
        <f>+Q24*0.4*4</f>
        <v>16</v>
      </c>
    </row>
    <row r="25" spans="2:29">
      <c r="B25" s="600" t="s">
        <v>401</v>
      </c>
      <c r="C25" s="682"/>
      <c r="D25" s="682"/>
      <c r="E25" s="682"/>
      <c r="F25" s="682"/>
      <c r="G25" s="682"/>
      <c r="H25" s="682"/>
      <c r="I25" s="603"/>
      <c r="J25" s="254" t="s">
        <v>25</v>
      </c>
      <c r="K25" s="255">
        <v>0.22</v>
      </c>
      <c r="L25" s="683">
        <v>6018</v>
      </c>
      <c r="M25" s="684"/>
      <c r="N25" s="232">
        <f t="shared" si="1"/>
        <v>1323.96</v>
      </c>
      <c r="R25">
        <f>+R24+R22</f>
        <v>22.4</v>
      </c>
      <c r="S25">
        <f>+R25/12</f>
        <v>1.8666666666666665</v>
      </c>
    </row>
    <row r="26" spans="2:29">
      <c r="B26" s="600" t="s">
        <v>402</v>
      </c>
      <c r="C26" s="682"/>
      <c r="D26" s="682"/>
      <c r="E26" s="682"/>
      <c r="F26" s="682"/>
      <c r="G26" s="682"/>
      <c r="H26" s="682"/>
      <c r="I26" s="603"/>
      <c r="J26" s="254" t="s">
        <v>25</v>
      </c>
      <c r="K26" s="255">
        <v>0.23</v>
      </c>
      <c r="L26" s="683">
        <v>41551</v>
      </c>
      <c r="M26" s="684"/>
      <c r="N26" s="232">
        <f t="shared" si="1"/>
        <v>9556.73</v>
      </c>
    </row>
    <row r="27" spans="2:29">
      <c r="B27" s="600" t="s">
        <v>403</v>
      </c>
      <c r="C27" s="682"/>
      <c r="D27" s="682"/>
      <c r="E27" s="682"/>
      <c r="F27" s="682"/>
      <c r="G27" s="682"/>
      <c r="H27" s="682"/>
      <c r="I27" s="603"/>
      <c r="J27" s="254" t="s">
        <v>12</v>
      </c>
      <c r="K27" s="255">
        <v>0.23</v>
      </c>
      <c r="L27" s="683">
        <v>515916</v>
      </c>
      <c r="M27" s="684"/>
      <c r="N27" s="232">
        <f t="shared" si="1"/>
        <v>118660.68000000001</v>
      </c>
      <c r="P27">
        <f>400/0.07</f>
        <v>5714.2857142857138</v>
      </c>
    </row>
    <row r="28" spans="2:29" ht="15.75" thickBot="1">
      <c r="B28" s="600"/>
      <c r="C28" s="682"/>
      <c r="D28" s="682"/>
      <c r="E28" s="682"/>
      <c r="F28" s="682"/>
      <c r="G28" s="682"/>
      <c r="H28" s="682"/>
      <c r="I28" s="603"/>
      <c r="J28" s="254"/>
      <c r="K28" s="255"/>
      <c r="L28" s="683"/>
      <c r="M28" s="684"/>
      <c r="N28" s="232">
        <f t="shared" si="1"/>
        <v>0</v>
      </c>
    </row>
    <row r="29" spans="2:29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SUM(N22:N28)</f>
        <v>137611.37</v>
      </c>
      <c r="AC29">
        <v>750</v>
      </c>
    </row>
    <row r="30" spans="2:29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29">
      <c r="B31" s="248" t="s">
        <v>61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49"/>
    </row>
    <row r="32" spans="2:29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8" ht="25.5">
      <c r="B33" s="292" t="s">
        <v>62</v>
      </c>
      <c r="C33" s="293"/>
      <c r="D33" s="293"/>
      <c r="E33" s="293"/>
      <c r="F33" s="293"/>
      <c r="G33" s="293"/>
      <c r="H33" s="294" t="s">
        <v>47</v>
      </c>
      <c r="I33" s="295" t="s">
        <v>63</v>
      </c>
      <c r="J33" s="289" t="s">
        <v>64</v>
      </c>
      <c r="K33" s="294" t="s">
        <v>65</v>
      </c>
      <c r="L33" s="296" t="s">
        <v>66</v>
      </c>
      <c r="M33" s="297"/>
      <c r="N33" s="298" t="s">
        <v>54</v>
      </c>
    </row>
    <row r="34" spans="2:18">
      <c r="B34" s="620"/>
      <c r="C34" s="687"/>
      <c r="D34" s="687"/>
      <c r="E34" s="687"/>
      <c r="F34" s="687"/>
      <c r="G34" s="688"/>
      <c r="H34" s="267"/>
      <c r="I34" s="244"/>
      <c r="J34" s="268"/>
      <c r="K34" s="244"/>
      <c r="L34" s="711"/>
      <c r="M34" s="710"/>
      <c r="N34" s="269">
        <f>K34*L34</f>
        <v>0</v>
      </c>
    </row>
    <row r="35" spans="2:18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317"/>
      <c r="M35" s="318"/>
      <c r="N35" s="274"/>
    </row>
    <row r="36" spans="2:18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317"/>
      <c r="M36" s="318"/>
      <c r="N36" s="274"/>
    </row>
    <row r="37" spans="2:18">
      <c r="B37" s="693"/>
      <c r="C37" s="694"/>
      <c r="D37" s="694"/>
      <c r="E37" s="694"/>
      <c r="F37" s="694"/>
      <c r="G37" s="695"/>
      <c r="H37" s="271"/>
      <c r="I37" s="244"/>
      <c r="J37" s="244"/>
      <c r="K37" s="244"/>
      <c r="L37" s="317"/>
      <c r="M37" s="318"/>
      <c r="N37" s="274"/>
    </row>
    <row r="38" spans="2:18" ht="15.75" thickBot="1">
      <c r="B38" s="689"/>
      <c r="C38" s="690"/>
      <c r="D38" s="690"/>
      <c r="E38" s="690"/>
      <c r="F38" s="690"/>
      <c r="G38" s="625"/>
      <c r="H38" s="277"/>
      <c r="I38" s="278"/>
      <c r="J38" s="278"/>
      <c r="K38" s="278"/>
      <c r="L38" s="618"/>
      <c r="M38" s="619"/>
      <c r="N38" s="319"/>
    </row>
    <row r="39" spans="2:18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320">
        <f>N34+N35+N36+N37</f>
        <v>0</v>
      </c>
    </row>
    <row r="40" spans="2:18">
      <c r="B40" s="248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49"/>
    </row>
    <row r="41" spans="2:18">
      <c r="B41" s="248" t="s">
        <v>68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49"/>
    </row>
    <row r="42" spans="2:18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8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289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8">
      <c r="B44" s="280" t="s">
        <v>404</v>
      </c>
      <c r="C44" s="270"/>
      <c r="D44" s="270"/>
      <c r="E44" s="270"/>
      <c r="F44" s="270"/>
      <c r="G44" s="270"/>
      <c r="H44" s="270"/>
      <c r="I44" s="281">
        <f>27604*7</f>
        <v>193228</v>
      </c>
      <c r="J44" s="35">
        <v>167</v>
      </c>
      <c r="K44" s="36">
        <f>+J44*I44/100</f>
        <v>322690.76</v>
      </c>
      <c r="L44" s="282"/>
      <c r="M44" s="193">
        <v>0.02</v>
      </c>
      <c r="N44" s="269">
        <f>+M44*K44</f>
        <v>6453.8152</v>
      </c>
      <c r="P44">
        <f>1/10</f>
        <v>0.1</v>
      </c>
      <c r="Q44">
        <f>10/0.2</f>
        <v>50</v>
      </c>
      <c r="R44">
        <f>1/50</f>
        <v>0.02</v>
      </c>
    </row>
    <row r="45" spans="2:18">
      <c r="B45" s="280" t="s">
        <v>285</v>
      </c>
      <c r="C45" s="270"/>
      <c r="D45" s="270"/>
      <c r="E45" s="270"/>
      <c r="F45" s="270"/>
      <c r="G45" s="270"/>
      <c r="H45" s="270"/>
      <c r="I45" s="281">
        <v>41406</v>
      </c>
      <c r="J45" s="35">
        <v>167</v>
      </c>
      <c r="K45" s="36">
        <f>+J45*I45/100</f>
        <v>69148.02</v>
      </c>
      <c r="L45" s="282"/>
      <c r="M45" s="303">
        <v>0.02</v>
      </c>
      <c r="N45" s="269">
        <f>+M45*K45</f>
        <v>1382.9604000000002</v>
      </c>
    </row>
    <row r="46" spans="2:18">
      <c r="B46" s="280"/>
      <c r="C46" s="270"/>
      <c r="D46" s="270"/>
      <c r="E46" s="270"/>
      <c r="F46" s="270"/>
      <c r="G46" s="270"/>
      <c r="H46" s="270"/>
      <c r="I46" s="281"/>
      <c r="J46" s="35"/>
      <c r="K46" s="36"/>
      <c r="L46" s="282"/>
      <c r="M46" s="303"/>
      <c r="N46" s="269">
        <f t="shared" ref="N46" si="2">+M46*K46</f>
        <v>0</v>
      </c>
    </row>
    <row r="47" spans="2:18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269"/>
    </row>
    <row r="48" spans="2:18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269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69"/>
    </row>
    <row r="50" spans="2:14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7836.7755999999999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700" t="s">
        <v>74</v>
      </c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2"/>
      <c r="N52" s="323">
        <f>ROUND((N17+N29+N39+N50),0)</f>
        <v>151793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34912.39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1517.93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10625.51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47055.83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198849</v>
      </c>
    </row>
  </sheetData>
  <mergeCells count="60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49:H49"/>
    <mergeCell ref="L49:M49"/>
    <mergeCell ref="B50:M50"/>
    <mergeCell ref="B51:M51"/>
    <mergeCell ref="B52:M52"/>
    <mergeCell ref="B22:I22"/>
    <mergeCell ref="L22:M22"/>
    <mergeCell ref="L24:M24"/>
    <mergeCell ref="L25:M25"/>
    <mergeCell ref="L27:M27"/>
    <mergeCell ref="B25:I25"/>
    <mergeCell ref="B27:I27"/>
    <mergeCell ref="B24:I24"/>
    <mergeCell ref="L23:M23"/>
    <mergeCell ref="B37:G37"/>
    <mergeCell ref="B38:G38"/>
    <mergeCell ref="L38:M38"/>
    <mergeCell ref="B39:M39"/>
    <mergeCell ref="B43:H43"/>
    <mergeCell ref="L43:M43"/>
    <mergeCell ref="B28:I28"/>
    <mergeCell ref="B29:M29"/>
    <mergeCell ref="L34:M34"/>
    <mergeCell ref="L28:M28"/>
    <mergeCell ref="B26:I26"/>
    <mergeCell ref="L26:M26"/>
    <mergeCell ref="B34:G34"/>
    <mergeCell ref="B17:M17"/>
    <mergeCell ref="B18:I18"/>
    <mergeCell ref="L18:M18"/>
    <mergeCell ref="B21:I21"/>
    <mergeCell ref="L21:M21"/>
    <mergeCell ref="L16:M16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I16:J16"/>
    <mergeCell ref="B8:H8"/>
    <mergeCell ref="I8:J8"/>
    <mergeCell ref="L8:M8"/>
    <mergeCell ref="C2:I2"/>
    <mergeCell ref="L2:M2"/>
    <mergeCell ref="C3:I3"/>
    <mergeCell ref="L3:M3"/>
    <mergeCell ref="L4:M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N52" sqref="N52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4" ht="15.75" thickBot="1"/>
    <row r="2" spans="2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326"/>
      <c r="K2" s="290" t="s">
        <v>46</v>
      </c>
      <c r="L2" s="598" t="s">
        <v>47</v>
      </c>
      <c r="M2" s="599"/>
      <c r="N2" s="288" t="s">
        <v>5</v>
      </c>
    </row>
    <row r="3" spans="2:14" ht="15.75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329"/>
      <c r="K3" s="206"/>
      <c r="L3" s="606" t="s">
        <v>47</v>
      </c>
      <c r="M3" s="607"/>
      <c r="N3" s="204" t="s">
        <v>5</v>
      </c>
    </row>
    <row r="4" spans="2:14" ht="15.75" thickBot="1">
      <c r="B4" s="324">
        <v>400.04</v>
      </c>
      <c r="C4" s="208" t="s">
        <v>272</v>
      </c>
      <c r="D4" s="209"/>
      <c r="E4" s="209"/>
      <c r="F4" s="209"/>
      <c r="G4" s="209"/>
      <c r="H4" s="209"/>
      <c r="I4" s="209"/>
      <c r="J4" s="210"/>
      <c r="K4" s="211"/>
      <c r="L4" s="707" t="s">
        <v>20</v>
      </c>
      <c r="M4" s="708"/>
      <c r="N4" s="214"/>
    </row>
    <row r="5" spans="2:14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14">
      <c r="B9" s="600"/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>
        <f>+M9*K9</f>
        <v>0</v>
      </c>
    </row>
    <row r="10" spans="2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f t="shared" ref="N10:N11" si="0">+M10*K10</f>
        <v>0</v>
      </c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f t="shared" si="0"/>
        <v>0</v>
      </c>
    </row>
    <row r="12" spans="2:14" ht="15.75" customHeight="1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616"/>
      <c r="M12" s="617"/>
      <c r="N12" s="342">
        <f>+L12*K12</f>
        <v>0</v>
      </c>
    </row>
    <row r="13" spans="2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2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4">
      <c r="B15" s="600"/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/>
      <c r="N15" s="240"/>
    </row>
    <row r="16" spans="2:14" ht="15.75" thickBot="1">
      <c r="B16" s="600" t="s">
        <v>57</v>
      </c>
      <c r="C16" s="601"/>
      <c r="D16" s="601"/>
      <c r="E16" s="601"/>
      <c r="F16" s="601"/>
      <c r="G16" s="601"/>
      <c r="H16" s="603"/>
      <c r="I16" s="622"/>
      <c r="J16" s="623"/>
      <c r="K16" s="245"/>
      <c r="L16" s="624">
        <v>0.1</v>
      </c>
      <c r="M16" s="625">
        <v>0.1</v>
      </c>
      <c r="N16" s="246">
        <f>N50*M16</f>
        <v>115.24670000000002</v>
      </c>
    </row>
    <row r="17" spans="2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SUM(N9:N16)</f>
        <v>115.24670000000002</v>
      </c>
    </row>
    <row r="18" spans="2:14">
      <c r="B18" s="703"/>
      <c r="C18" s="704"/>
      <c r="D18" s="704"/>
      <c r="E18" s="704"/>
      <c r="F18" s="704"/>
      <c r="G18" s="704"/>
      <c r="H18" s="704"/>
      <c r="I18" s="705"/>
      <c r="J18" s="341"/>
      <c r="K18" s="223"/>
      <c r="L18" s="706"/>
      <c r="M18" s="705"/>
      <c r="N18" s="224"/>
    </row>
    <row r="19" spans="2:14">
      <c r="B19" s="248" t="s">
        <v>59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249"/>
    </row>
    <row r="20" spans="2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14">
      <c r="B21" s="608" t="s">
        <v>3</v>
      </c>
      <c r="C21" s="609"/>
      <c r="D21" s="609"/>
      <c r="E21" s="609"/>
      <c r="F21" s="609"/>
      <c r="G21" s="609"/>
      <c r="H21" s="609"/>
      <c r="I21" s="610"/>
      <c r="J21" s="332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14">
      <c r="B22" s="600"/>
      <c r="C22" s="682"/>
      <c r="D22" s="682"/>
      <c r="E22" s="682"/>
      <c r="F22" s="682"/>
      <c r="G22" s="682"/>
      <c r="H22" s="682"/>
      <c r="I22" s="603"/>
      <c r="J22" s="254"/>
      <c r="K22" s="255"/>
      <c r="L22" s="683"/>
      <c r="M22" s="684"/>
      <c r="N22" s="232">
        <f>+L22*K22</f>
        <v>0</v>
      </c>
    </row>
    <row r="23" spans="2:14">
      <c r="B23" s="327"/>
      <c r="C23" s="338"/>
      <c r="D23" s="338"/>
      <c r="E23" s="338"/>
      <c r="F23" s="338"/>
      <c r="G23" s="338"/>
      <c r="H23" s="338"/>
      <c r="I23" s="328"/>
      <c r="J23" s="254"/>
      <c r="K23" s="255"/>
      <c r="L23" s="683"/>
      <c r="M23" s="684"/>
      <c r="N23" s="232">
        <f>+L23*K23</f>
        <v>0</v>
      </c>
    </row>
    <row r="24" spans="2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683"/>
      <c r="M24" s="684"/>
      <c r="N24" s="232">
        <f t="shared" ref="N24:N28" si="1">+L24*K24</f>
        <v>0</v>
      </c>
    </row>
    <row r="25" spans="2:14">
      <c r="B25" s="600"/>
      <c r="C25" s="682"/>
      <c r="D25" s="682"/>
      <c r="E25" s="682"/>
      <c r="F25" s="682"/>
      <c r="G25" s="682"/>
      <c r="H25" s="682"/>
      <c r="I25" s="603"/>
      <c r="J25" s="254"/>
      <c r="K25" s="255"/>
      <c r="L25" s="683"/>
      <c r="M25" s="684"/>
      <c r="N25" s="232">
        <f t="shared" si="1"/>
        <v>0</v>
      </c>
    </row>
    <row r="26" spans="2:14">
      <c r="B26" s="600"/>
      <c r="C26" s="682"/>
      <c r="D26" s="682"/>
      <c r="E26" s="682"/>
      <c r="F26" s="682"/>
      <c r="G26" s="682"/>
      <c r="H26" s="682"/>
      <c r="I26" s="603"/>
      <c r="J26" s="254"/>
      <c r="K26" s="255"/>
      <c r="L26" s="683"/>
      <c r="M26" s="684"/>
      <c r="N26" s="232">
        <f t="shared" si="1"/>
        <v>0</v>
      </c>
    </row>
    <row r="27" spans="2:14">
      <c r="B27" s="600"/>
      <c r="C27" s="682"/>
      <c r="D27" s="682"/>
      <c r="E27" s="682"/>
      <c r="F27" s="682"/>
      <c r="G27" s="682"/>
      <c r="H27" s="682"/>
      <c r="I27" s="603"/>
      <c r="J27" s="254"/>
      <c r="K27" s="255"/>
      <c r="L27" s="683"/>
      <c r="M27" s="684"/>
      <c r="N27" s="232">
        <f t="shared" si="1"/>
        <v>0</v>
      </c>
    </row>
    <row r="28" spans="2:14" ht="15.75" thickBot="1">
      <c r="B28" s="600"/>
      <c r="C28" s="682"/>
      <c r="D28" s="682"/>
      <c r="E28" s="682"/>
      <c r="F28" s="682"/>
      <c r="G28" s="682"/>
      <c r="H28" s="682"/>
      <c r="I28" s="603"/>
      <c r="J28" s="254"/>
      <c r="K28" s="255"/>
      <c r="L28" s="683"/>
      <c r="M28" s="684"/>
      <c r="N28" s="232">
        <f t="shared" si="1"/>
        <v>0</v>
      </c>
    </row>
    <row r="29" spans="2:14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SUM(N22:N28)</f>
        <v>0</v>
      </c>
    </row>
    <row r="30" spans="2:14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>
      <c r="B31" s="248" t="s">
        <v>61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249"/>
    </row>
    <row r="32" spans="2:14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6" ht="25.5">
      <c r="B33" s="330" t="s">
        <v>62</v>
      </c>
      <c r="C33" s="331"/>
      <c r="D33" s="331"/>
      <c r="E33" s="331"/>
      <c r="F33" s="331"/>
      <c r="G33" s="331"/>
      <c r="H33" s="294" t="s">
        <v>47</v>
      </c>
      <c r="I33" s="295" t="s">
        <v>63</v>
      </c>
      <c r="J33" s="326" t="s">
        <v>64</v>
      </c>
      <c r="K33" s="294" t="s">
        <v>65</v>
      </c>
      <c r="L33" s="336" t="s">
        <v>66</v>
      </c>
      <c r="M33" s="337"/>
      <c r="N33" s="298" t="s">
        <v>54</v>
      </c>
    </row>
    <row r="34" spans="2:16">
      <c r="B34" s="620"/>
      <c r="C34" s="687"/>
      <c r="D34" s="687"/>
      <c r="E34" s="687"/>
      <c r="F34" s="687"/>
      <c r="G34" s="688"/>
      <c r="H34" s="267"/>
      <c r="I34" s="244"/>
      <c r="J34" s="268"/>
      <c r="K34" s="244"/>
      <c r="L34" s="711"/>
      <c r="M34" s="710"/>
      <c r="N34" s="269">
        <f>K34*L34</f>
        <v>0</v>
      </c>
    </row>
    <row r="35" spans="2:16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339"/>
      <c r="M35" s="340"/>
      <c r="N35" s="274"/>
    </row>
    <row r="36" spans="2:16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339"/>
      <c r="M36" s="340"/>
      <c r="N36" s="274"/>
    </row>
    <row r="37" spans="2:16">
      <c r="B37" s="693"/>
      <c r="C37" s="694"/>
      <c r="D37" s="694"/>
      <c r="E37" s="694"/>
      <c r="F37" s="694"/>
      <c r="G37" s="695"/>
      <c r="H37" s="271"/>
      <c r="I37" s="244"/>
      <c r="J37" s="244"/>
      <c r="K37" s="244"/>
      <c r="L37" s="339"/>
      <c r="M37" s="340"/>
      <c r="N37" s="274"/>
    </row>
    <row r="38" spans="2:16" ht="15.75" thickBot="1">
      <c r="B38" s="689"/>
      <c r="C38" s="690"/>
      <c r="D38" s="690"/>
      <c r="E38" s="690"/>
      <c r="F38" s="690"/>
      <c r="G38" s="625"/>
      <c r="H38" s="277"/>
      <c r="I38" s="278"/>
      <c r="J38" s="278"/>
      <c r="K38" s="278"/>
      <c r="L38" s="618"/>
      <c r="M38" s="619"/>
      <c r="N38" s="319"/>
    </row>
    <row r="39" spans="2:16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320">
        <f>N34+N35+N36+N37</f>
        <v>0</v>
      </c>
    </row>
    <row r="40" spans="2:16">
      <c r="B40" s="248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249"/>
    </row>
    <row r="41" spans="2:16">
      <c r="B41" s="248" t="s">
        <v>68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249"/>
    </row>
    <row r="42" spans="2:16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6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326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6">
      <c r="B44" s="280" t="s">
        <v>407</v>
      </c>
      <c r="C44" s="270"/>
      <c r="D44" s="270"/>
      <c r="E44" s="270"/>
      <c r="F44" s="270"/>
      <c r="G44" s="270"/>
      <c r="H44" s="270"/>
      <c r="I44" s="281">
        <f>27604*1</f>
        <v>27604</v>
      </c>
      <c r="J44" s="35">
        <v>167</v>
      </c>
      <c r="K44" s="36">
        <f>+J44*I44/100</f>
        <v>46098.68</v>
      </c>
      <c r="L44" s="282"/>
      <c r="M44" s="193">
        <v>0.01</v>
      </c>
      <c r="N44" s="269">
        <f>+M44*K44</f>
        <v>460.98680000000002</v>
      </c>
      <c r="P44">
        <f>1/100</f>
        <v>0.01</v>
      </c>
    </row>
    <row r="45" spans="2:16">
      <c r="B45" s="280" t="s">
        <v>285</v>
      </c>
      <c r="C45" s="270"/>
      <c r="D45" s="270"/>
      <c r="E45" s="270"/>
      <c r="F45" s="270"/>
      <c r="G45" s="270"/>
      <c r="H45" s="270"/>
      <c r="I45" s="281">
        <v>41406</v>
      </c>
      <c r="J45" s="35">
        <v>167</v>
      </c>
      <c r="K45" s="36">
        <f>+J45*I45/100</f>
        <v>69148.02</v>
      </c>
      <c r="L45" s="282"/>
      <c r="M45" s="303">
        <v>0.01</v>
      </c>
      <c r="N45" s="269">
        <f>+M45*K45</f>
        <v>691.48020000000008</v>
      </c>
    </row>
    <row r="46" spans="2:16">
      <c r="B46" s="280"/>
      <c r="C46" s="270"/>
      <c r="D46" s="270"/>
      <c r="E46" s="270"/>
      <c r="F46" s="270"/>
      <c r="G46" s="270"/>
      <c r="H46" s="270"/>
      <c r="I46" s="281"/>
      <c r="J46" s="35"/>
      <c r="K46" s="36"/>
      <c r="L46" s="282"/>
      <c r="M46" s="303"/>
      <c r="N46" s="269">
        <f t="shared" ref="N46" si="2">+M46*K46</f>
        <v>0</v>
      </c>
    </row>
    <row r="47" spans="2:16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335"/>
      <c r="M47" s="284"/>
      <c r="N47" s="269"/>
    </row>
    <row r="48" spans="2:16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335"/>
      <c r="M48" s="284"/>
      <c r="N48" s="269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69"/>
    </row>
    <row r="50" spans="2:14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1152.4670000000001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700" t="s">
        <v>74</v>
      </c>
      <c r="C52" s="701"/>
      <c r="D52" s="701"/>
      <c r="E52" s="701"/>
      <c r="F52" s="701"/>
      <c r="G52" s="701"/>
      <c r="H52" s="701"/>
      <c r="I52" s="701"/>
      <c r="J52" s="701"/>
      <c r="K52" s="701"/>
      <c r="L52" s="701"/>
      <c r="M52" s="702"/>
      <c r="N52" s="323">
        <f>ROUND((N17+N29+N39+N50),0)</f>
        <v>1268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291.64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12.68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88.76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393.08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1661</v>
      </c>
    </row>
  </sheetData>
  <mergeCells count="60">
    <mergeCell ref="B62:M62"/>
    <mergeCell ref="B57:H57"/>
    <mergeCell ref="L57:M57"/>
    <mergeCell ref="L58:M58"/>
    <mergeCell ref="L59:M59"/>
    <mergeCell ref="B60:M60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C2:I2"/>
    <mergeCell ref="L2:M2"/>
    <mergeCell ref="C3:I3"/>
    <mergeCell ref="L3:M3"/>
    <mergeCell ref="L4:M4"/>
    <mergeCell ref="I16:J16"/>
    <mergeCell ref="L16:M16"/>
    <mergeCell ref="B18:I18"/>
    <mergeCell ref="L18:M18"/>
    <mergeCell ref="B21:I21"/>
    <mergeCell ref="L21:M21"/>
    <mergeCell ref="B22:I22"/>
    <mergeCell ref="L22:M22"/>
    <mergeCell ref="B34:G34"/>
    <mergeCell ref="L34:M34"/>
    <mergeCell ref="L23:M23"/>
    <mergeCell ref="B24:I24"/>
    <mergeCell ref="L24:M24"/>
    <mergeCell ref="B25:I25"/>
    <mergeCell ref="L25:M25"/>
    <mergeCell ref="B26:I26"/>
    <mergeCell ref="L26:M26"/>
    <mergeCell ref="B27:I27"/>
    <mergeCell ref="L27:M27"/>
    <mergeCell ref="B28:I28"/>
    <mergeCell ref="L28:M28"/>
    <mergeCell ref="B29:M29"/>
    <mergeCell ref="B37:G37"/>
    <mergeCell ref="B38:G38"/>
    <mergeCell ref="L38:M38"/>
    <mergeCell ref="B39:M39"/>
    <mergeCell ref="B43:H43"/>
    <mergeCell ref="L43:M43"/>
    <mergeCell ref="B49:H49"/>
    <mergeCell ref="L49:M49"/>
    <mergeCell ref="B50:M50"/>
    <mergeCell ref="B51:M51"/>
    <mergeCell ref="B52:M5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 ht="15.75" customHeight="1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 ht="15.75" customHeight="1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500.01</v>
      </c>
      <c r="C19" s="735" t="s">
        <v>292</v>
      </c>
      <c r="D19" s="745"/>
      <c r="E19" s="745"/>
      <c r="F19" s="745"/>
      <c r="G19" s="745"/>
      <c r="H19" s="745"/>
      <c r="I19" s="745"/>
      <c r="J19" s="745"/>
      <c r="K19" s="736"/>
      <c r="L19" s="735" t="s">
        <v>12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6453.8152000000009</v>
      </c>
    </row>
    <row r="25" spans="2:14">
      <c r="B25" s="716" t="s">
        <v>425</v>
      </c>
      <c r="C25" s="717"/>
      <c r="D25" s="717"/>
      <c r="E25" s="717"/>
      <c r="F25" s="718"/>
      <c r="G25" s="729"/>
      <c r="H25" s="723"/>
      <c r="I25" s="730"/>
      <c r="J25" s="731"/>
      <c r="K25" s="388">
        <v>35000</v>
      </c>
      <c r="L25" s="730">
        <v>0.4</v>
      </c>
      <c r="M25" s="731"/>
      <c r="N25" s="389">
        <f>+L25*K25</f>
        <v>14000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20453.815200000001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297</v>
      </c>
      <c r="C33" s="674"/>
      <c r="D33" s="674"/>
      <c r="E33" s="674"/>
      <c r="F33" s="674"/>
      <c r="G33" s="674"/>
      <c r="H33" s="674"/>
      <c r="I33" s="723"/>
      <c r="J33" s="395" t="s">
        <v>25</v>
      </c>
      <c r="K33" s="396">
        <v>6.1111111111099996</v>
      </c>
      <c r="L33" s="724">
        <v>3157.07</v>
      </c>
      <c r="M33" s="725"/>
      <c r="N33" s="389">
        <f>+L33*K33</f>
        <v>19293.205555552049</v>
      </c>
    </row>
    <row r="34" spans="2:14">
      <c r="B34" s="673" t="s">
        <v>402</v>
      </c>
      <c r="C34" s="674"/>
      <c r="D34" s="674"/>
      <c r="E34" s="674"/>
      <c r="F34" s="674"/>
      <c r="G34" s="674"/>
      <c r="H34" s="674"/>
      <c r="I34" s="723"/>
      <c r="J34" s="397" t="s">
        <v>25</v>
      </c>
      <c r="K34" s="398">
        <v>1</v>
      </c>
      <c r="L34" s="724">
        <v>7529.7250000000004</v>
      </c>
      <c r="M34" s="725"/>
      <c r="N34" s="389">
        <f t="shared" ref="N34:N39" si="0">+L34*K34</f>
        <v>7529.7250000000004</v>
      </c>
    </row>
    <row r="35" spans="2:14">
      <c r="B35" s="673" t="s">
        <v>437</v>
      </c>
      <c r="C35" s="674"/>
      <c r="D35" s="674"/>
      <c r="E35" s="674"/>
      <c r="F35" s="674"/>
      <c r="G35" s="674"/>
      <c r="H35" s="674"/>
      <c r="I35" s="723"/>
      <c r="J35" s="397" t="s">
        <v>314</v>
      </c>
      <c r="K35" s="398">
        <v>5</v>
      </c>
      <c r="L35" s="724">
        <v>9232.7577999999994</v>
      </c>
      <c r="M35" s="725"/>
      <c r="N35" s="389">
        <f t="shared" si="0"/>
        <v>46163.788999999997</v>
      </c>
    </row>
    <row r="36" spans="2:14">
      <c r="B36" s="673" t="s">
        <v>426</v>
      </c>
      <c r="C36" s="674"/>
      <c r="D36" s="674"/>
      <c r="E36" s="674"/>
      <c r="F36" s="674"/>
      <c r="G36" s="674"/>
      <c r="H36" s="674"/>
      <c r="I36" s="723"/>
      <c r="J36" s="397" t="s">
        <v>314</v>
      </c>
      <c r="K36" s="398">
        <v>3</v>
      </c>
      <c r="L36" s="724">
        <v>8806</v>
      </c>
      <c r="M36" s="725"/>
      <c r="N36" s="389">
        <f t="shared" si="0"/>
        <v>26418</v>
      </c>
    </row>
    <row r="37" spans="2:14">
      <c r="B37" s="673" t="s">
        <v>427</v>
      </c>
      <c r="C37" s="674"/>
      <c r="D37" s="674"/>
      <c r="E37" s="674"/>
      <c r="F37" s="674"/>
      <c r="G37" s="674"/>
      <c r="H37" s="674"/>
      <c r="I37" s="723"/>
      <c r="J37" s="397" t="s">
        <v>234</v>
      </c>
      <c r="K37" s="398">
        <v>0.5</v>
      </c>
      <c r="L37" s="724">
        <v>2278.85</v>
      </c>
      <c r="M37" s="725"/>
      <c r="N37" s="389">
        <f t="shared" si="0"/>
        <v>1139.425</v>
      </c>
    </row>
    <row r="38" spans="2:14">
      <c r="B38" s="673" t="s">
        <v>296</v>
      </c>
      <c r="C38" s="674"/>
      <c r="D38" s="674"/>
      <c r="E38" s="674"/>
      <c r="F38" s="674"/>
      <c r="G38" s="674"/>
      <c r="H38" s="674"/>
      <c r="I38" s="723"/>
      <c r="J38" s="397" t="s">
        <v>12</v>
      </c>
      <c r="K38" s="398">
        <v>1.05</v>
      </c>
      <c r="L38" s="724">
        <v>430760</v>
      </c>
      <c r="M38" s="725"/>
      <c r="N38" s="389">
        <f t="shared" si="0"/>
        <v>452298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552842.14455555205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289</v>
      </c>
      <c r="C52" s="717"/>
      <c r="D52" s="717"/>
      <c r="E52" s="717"/>
      <c r="F52" s="717"/>
      <c r="G52" s="717"/>
      <c r="H52" s="718"/>
      <c r="I52" s="412">
        <f>27604*2</f>
        <v>55208</v>
      </c>
      <c r="J52" s="413">
        <v>167</v>
      </c>
      <c r="K52" s="414">
        <f>+J52*I52/100</f>
        <v>92197.36</v>
      </c>
      <c r="L52" s="719">
        <v>0.8</v>
      </c>
      <c r="M52" s="720"/>
      <c r="N52" s="415">
        <f>+L52*K52</f>
        <v>73757.888000000006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719">
        <v>0.8</v>
      </c>
      <c r="M53" s="720"/>
      <c r="N53" s="415">
        <f>+L53*K53</f>
        <v>55318.416000000005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129076.304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702372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161545.56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7023.72</v>
      </c>
    </row>
    <row r="65" spans="2:16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49166.040000000008</v>
      </c>
    </row>
    <row r="66" spans="2:16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217735.32</v>
      </c>
    </row>
    <row r="67" spans="2:16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6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920107</v>
      </c>
      <c r="P68">
        <f>+N68/1.31</f>
        <v>702371.75572519086</v>
      </c>
    </row>
  </sheetData>
  <mergeCells count="90">
    <mergeCell ref="B20:N22"/>
    <mergeCell ref="B23:F23"/>
    <mergeCell ref="G23:H23"/>
    <mergeCell ref="I23:J23"/>
    <mergeCell ref="B25:F25"/>
    <mergeCell ref="G25:H25"/>
    <mergeCell ref="I25:J25"/>
    <mergeCell ref="L25:M25"/>
    <mergeCell ref="L23:M23"/>
    <mergeCell ref="B24:F24"/>
    <mergeCell ref="G24:H24"/>
    <mergeCell ref="I24:J24"/>
    <mergeCell ref="L24:M24"/>
    <mergeCell ref="N6:N8"/>
    <mergeCell ref="C8:J8"/>
    <mergeCell ref="B12:E12"/>
    <mergeCell ref="B2:B8"/>
    <mergeCell ref="C2:J2"/>
    <mergeCell ref="K2:N3"/>
    <mergeCell ref="C3:J3"/>
    <mergeCell ref="K4:K5"/>
    <mergeCell ref="L4:N5"/>
    <mergeCell ref="C5:J5"/>
    <mergeCell ref="C6:J7"/>
    <mergeCell ref="C4:J4"/>
    <mergeCell ref="K6:K8"/>
    <mergeCell ref="L6:L8"/>
    <mergeCell ref="M6:M8"/>
    <mergeCell ref="L19:M19"/>
    <mergeCell ref="B16:N16"/>
    <mergeCell ref="C18:K18"/>
    <mergeCell ref="L18:M18"/>
    <mergeCell ref="C19:K19"/>
    <mergeCell ref="B34:I34"/>
    <mergeCell ref="L34:M34"/>
    <mergeCell ref="G26:H26"/>
    <mergeCell ref="I26:J26"/>
    <mergeCell ref="B27:F27"/>
    <mergeCell ref="G27:H27"/>
    <mergeCell ref="I27:J27"/>
    <mergeCell ref="L26:M26"/>
    <mergeCell ref="L32:M32"/>
    <mergeCell ref="B26:F26"/>
    <mergeCell ref="L27:M27"/>
    <mergeCell ref="B28:M28"/>
    <mergeCell ref="B29:N31"/>
    <mergeCell ref="B32:I32"/>
    <mergeCell ref="B33:I33"/>
    <mergeCell ref="L33:M33"/>
    <mergeCell ref="B45:H45"/>
    <mergeCell ref="L45:M45"/>
    <mergeCell ref="B35:I35"/>
    <mergeCell ref="L35:M35"/>
    <mergeCell ref="B36:I36"/>
    <mergeCell ref="L36:M36"/>
    <mergeCell ref="B44:H44"/>
    <mergeCell ref="L44:M44"/>
    <mergeCell ref="B40:M40"/>
    <mergeCell ref="B41:N43"/>
    <mergeCell ref="L37:M37"/>
    <mergeCell ref="B37:I37"/>
    <mergeCell ref="B38:I38"/>
    <mergeCell ref="L38:M38"/>
    <mergeCell ref="B39:I39"/>
    <mergeCell ref="L39:M39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52:H52"/>
    <mergeCell ref="L52:M52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4" sqref="K64"/>
    </sheetView>
  </sheetViews>
  <sheetFormatPr baseColWidth="10" defaultRowHeight="15"/>
  <cols>
    <col min="11" max="11" width="11.7109375" bestFit="1" customWidth="1"/>
  </cols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500.01</v>
      </c>
      <c r="C19" s="735" t="s">
        <v>293</v>
      </c>
      <c r="D19" s="745"/>
      <c r="E19" s="745"/>
      <c r="F19" s="745"/>
      <c r="G19" s="745"/>
      <c r="H19" s="745"/>
      <c r="I19" s="745"/>
      <c r="J19" s="745"/>
      <c r="K19" s="736"/>
      <c r="L19" s="735" t="s">
        <v>12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6453.8152000000009</v>
      </c>
    </row>
    <row r="25" spans="2:14">
      <c r="B25" s="716" t="s">
        <v>425</v>
      </c>
      <c r="C25" s="717"/>
      <c r="D25" s="717"/>
      <c r="E25" s="717"/>
      <c r="F25" s="718"/>
      <c r="G25" s="729"/>
      <c r="H25" s="723"/>
      <c r="I25" s="730"/>
      <c r="J25" s="731"/>
      <c r="K25" s="388">
        <v>35000</v>
      </c>
      <c r="L25" s="730">
        <v>0.4</v>
      </c>
      <c r="M25" s="731"/>
      <c r="N25" s="389">
        <f>+L25*K25</f>
        <v>14000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20453.815200000001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297</v>
      </c>
      <c r="C33" s="674"/>
      <c r="D33" s="674"/>
      <c r="E33" s="674"/>
      <c r="F33" s="674"/>
      <c r="G33" s="674"/>
      <c r="H33" s="674"/>
      <c r="I33" s="723"/>
      <c r="J33" s="395" t="s">
        <v>25</v>
      </c>
      <c r="K33" s="396">
        <v>6.1111111111099996</v>
      </c>
      <c r="L33" s="724">
        <v>3157.07</v>
      </c>
      <c r="M33" s="725"/>
      <c r="N33" s="389">
        <f>+L33*K33</f>
        <v>19293.205555552049</v>
      </c>
    </row>
    <row r="34" spans="2:14">
      <c r="B34" s="673" t="s">
        <v>402</v>
      </c>
      <c r="C34" s="674"/>
      <c r="D34" s="674"/>
      <c r="E34" s="674"/>
      <c r="F34" s="674"/>
      <c r="G34" s="674"/>
      <c r="H34" s="674"/>
      <c r="I34" s="723"/>
      <c r="J34" s="397" t="s">
        <v>25</v>
      </c>
      <c r="K34" s="398">
        <v>1</v>
      </c>
      <c r="L34" s="724">
        <v>7529.7250000000004</v>
      </c>
      <c r="M34" s="725"/>
      <c r="N34" s="389">
        <f t="shared" ref="N34:N39" si="0">+L34*K34</f>
        <v>7529.7250000000004</v>
      </c>
    </row>
    <row r="35" spans="2:14">
      <c r="B35" s="673" t="s">
        <v>437</v>
      </c>
      <c r="C35" s="674"/>
      <c r="D35" s="674"/>
      <c r="E35" s="674"/>
      <c r="F35" s="674"/>
      <c r="G35" s="674"/>
      <c r="H35" s="674"/>
      <c r="I35" s="723"/>
      <c r="J35" s="397" t="s">
        <v>314</v>
      </c>
      <c r="K35" s="398">
        <v>5</v>
      </c>
      <c r="L35" s="724">
        <v>9232.7577999999994</v>
      </c>
      <c r="M35" s="725"/>
      <c r="N35" s="389">
        <f t="shared" si="0"/>
        <v>46163.788999999997</v>
      </c>
    </row>
    <row r="36" spans="2:14">
      <c r="B36" s="673" t="s">
        <v>426</v>
      </c>
      <c r="C36" s="674"/>
      <c r="D36" s="674"/>
      <c r="E36" s="674"/>
      <c r="F36" s="674"/>
      <c r="G36" s="674"/>
      <c r="H36" s="674"/>
      <c r="I36" s="723"/>
      <c r="J36" s="397" t="s">
        <v>314</v>
      </c>
      <c r="K36" s="398">
        <v>3</v>
      </c>
      <c r="L36" s="724">
        <v>8806</v>
      </c>
      <c r="M36" s="725"/>
      <c r="N36" s="389">
        <f t="shared" si="0"/>
        <v>26418</v>
      </c>
    </row>
    <row r="37" spans="2:14">
      <c r="B37" s="673" t="s">
        <v>427</v>
      </c>
      <c r="C37" s="674"/>
      <c r="D37" s="674"/>
      <c r="E37" s="674"/>
      <c r="F37" s="674"/>
      <c r="G37" s="674"/>
      <c r="H37" s="674"/>
      <c r="I37" s="723"/>
      <c r="J37" s="397" t="s">
        <v>234</v>
      </c>
      <c r="K37" s="398">
        <v>0.5</v>
      </c>
      <c r="L37" s="724">
        <v>2278.85</v>
      </c>
      <c r="M37" s="725"/>
      <c r="N37" s="389">
        <f t="shared" si="0"/>
        <v>1139.425</v>
      </c>
    </row>
    <row r="38" spans="2:14">
      <c r="B38" s="673" t="s">
        <v>439</v>
      </c>
      <c r="C38" s="674"/>
      <c r="D38" s="674"/>
      <c r="E38" s="674"/>
      <c r="F38" s="674"/>
      <c r="G38" s="674"/>
      <c r="H38" s="674"/>
      <c r="I38" s="723"/>
      <c r="J38" s="397" t="s">
        <v>12</v>
      </c>
      <c r="K38" s="398">
        <v>1.05</v>
      </c>
      <c r="L38" s="724">
        <v>495556</v>
      </c>
      <c r="M38" s="725"/>
      <c r="N38" s="389">
        <f t="shared" si="0"/>
        <v>520333.80000000005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620877.94455555209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289</v>
      </c>
      <c r="C52" s="717"/>
      <c r="D52" s="717"/>
      <c r="E52" s="717"/>
      <c r="F52" s="717"/>
      <c r="G52" s="717"/>
      <c r="H52" s="718"/>
      <c r="I52" s="412">
        <f>27604*2</f>
        <v>55208</v>
      </c>
      <c r="J52" s="413">
        <v>167</v>
      </c>
      <c r="K52" s="414">
        <f>+J52*I52/100</f>
        <v>92197.36</v>
      </c>
      <c r="L52" s="719">
        <v>0.8</v>
      </c>
      <c r="M52" s="720"/>
      <c r="N52" s="415">
        <f>+L52*K52</f>
        <v>73757.888000000006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719">
        <v>0.8</v>
      </c>
      <c r="M53" s="720"/>
      <c r="N53" s="415">
        <f>+L53*K53</f>
        <v>55318.416000000005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129076.304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770408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177193.84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7704.08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53928.560000000005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238826.47999999998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1009234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 ht="15" customHeight="1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500.01</v>
      </c>
      <c r="C19" s="735" t="s">
        <v>305</v>
      </c>
      <c r="D19" s="745"/>
      <c r="E19" s="745"/>
      <c r="F19" s="745"/>
      <c r="G19" s="745"/>
      <c r="H19" s="745"/>
      <c r="I19" s="745"/>
      <c r="J19" s="745"/>
      <c r="K19" s="736"/>
      <c r="L19" s="735" t="s">
        <v>12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5762.3350000000009</v>
      </c>
    </row>
    <row r="25" spans="2:14">
      <c r="B25" s="716"/>
      <c r="C25" s="717"/>
      <c r="D25" s="717"/>
      <c r="E25" s="717"/>
      <c r="F25" s="718"/>
      <c r="G25" s="729"/>
      <c r="H25" s="723"/>
      <c r="I25" s="730"/>
      <c r="J25" s="731"/>
      <c r="K25" s="388"/>
      <c r="L25" s="730"/>
      <c r="M25" s="731"/>
      <c r="N25" s="389">
        <f>+L25*K25</f>
        <v>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5762.3350000000009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440</v>
      </c>
      <c r="C33" s="674"/>
      <c r="D33" s="674"/>
      <c r="E33" s="674"/>
      <c r="F33" s="674"/>
      <c r="G33" s="674"/>
      <c r="H33" s="674"/>
      <c r="I33" s="723"/>
      <c r="J33" s="395" t="s">
        <v>12</v>
      </c>
      <c r="K33" s="396">
        <v>1.03</v>
      </c>
      <c r="L33" s="724">
        <v>264281</v>
      </c>
      <c r="M33" s="725"/>
      <c r="N33" s="389">
        <f>+L33*K33</f>
        <v>272209.43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272209.43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407</v>
      </c>
      <c r="C52" s="717"/>
      <c r="D52" s="717"/>
      <c r="E52" s="717"/>
      <c r="F52" s="717"/>
      <c r="G52" s="717"/>
      <c r="H52" s="718"/>
      <c r="I52" s="412">
        <f>27604</f>
        <v>27604</v>
      </c>
      <c r="J52" s="413">
        <v>167</v>
      </c>
      <c r="K52" s="414">
        <f>+J52*I52/100</f>
        <v>46098.68</v>
      </c>
      <c r="L52" s="719">
        <v>1</v>
      </c>
      <c r="M52" s="720"/>
      <c r="N52" s="415">
        <f>+L52*K52</f>
        <v>46098.68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719">
        <v>1</v>
      </c>
      <c r="M53" s="720"/>
      <c r="N53" s="415">
        <f>+L53*K53</f>
        <v>69148.02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115246.70000000001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393218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90440.14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3932.1800000000003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27525.260000000002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121897.58000000002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515116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500.04</v>
      </c>
      <c r="C19" s="735" t="s">
        <v>306</v>
      </c>
      <c r="D19" s="745"/>
      <c r="E19" s="745"/>
      <c r="F19" s="745"/>
      <c r="G19" s="745"/>
      <c r="H19" s="745"/>
      <c r="I19" s="745"/>
      <c r="J19" s="745"/>
      <c r="K19" s="736"/>
      <c r="L19" s="735" t="s">
        <v>25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23.049340000000001</v>
      </c>
    </row>
    <row r="25" spans="2:14">
      <c r="B25" s="716"/>
      <c r="C25" s="717"/>
      <c r="D25" s="717"/>
      <c r="E25" s="717"/>
      <c r="F25" s="718"/>
      <c r="G25" s="729"/>
      <c r="H25" s="723"/>
      <c r="I25" s="730"/>
      <c r="J25" s="731"/>
      <c r="K25" s="388"/>
      <c r="L25" s="730"/>
      <c r="M25" s="731"/>
      <c r="N25" s="389">
        <f>+L25*K25</f>
        <v>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23.049340000000001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441</v>
      </c>
      <c r="C33" s="674"/>
      <c r="D33" s="674"/>
      <c r="E33" s="674"/>
      <c r="F33" s="674"/>
      <c r="G33" s="674"/>
      <c r="H33" s="674"/>
      <c r="I33" s="723"/>
      <c r="J33" s="395" t="s">
        <v>25</v>
      </c>
      <c r="K33" s="396">
        <v>1.03</v>
      </c>
      <c r="L33" s="724">
        <v>11308</v>
      </c>
      <c r="M33" s="725"/>
      <c r="N33" s="389">
        <f>+L33*K33</f>
        <v>11647.24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11647.24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407</v>
      </c>
      <c r="C52" s="717"/>
      <c r="D52" s="717"/>
      <c r="E52" s="717"/>
      <c r="F52" s="717"/>
      <c r="G52" s="717"/>
      <c r="H52" s="718"/>
      <c r="I52" s="412">
        <f>27604</f>
        <v>27604</v>
      </c>
      <c r="J52" s="413">
        <v>167</v>
      </c>
      <c r="K52" s="414">
        <f>+J52*I52/100</f>
        <v>46098.68</v>
      </c>
      <c r="L52" s="719">
        <v>0.01</v>
      </c>
      <c r="M52" s="720"/>
      <c r="N52" s="415">
        <f>+L52*K52</f>
        <v>460.98680000000002</v>
      </c>
    </row>
    <row r="53" spans="2:14">
      <c r="B53" s="716"/>
      <c r="C53" s="717"/>
      <c r="D53" s="717"/>
      <c r="E53" s="717"/>
      <c r="F53" s="717"/>
      <c r="G53" s="717"/>
      <c r="H53" s="718"/>
      <c r="I53" s="412"/>
      <c r="J53" s="413"/>
      <c r="K53" s="414"/>
      <c r="L53" s="719"/>
      <c r="M53" s="720"/>
      <c r="N53" s="415">
        <f>+L53*K53</f>
        <v>0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460.98680000000002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ROUND((N56+N47+N40+N56),0)</f>
        <v>12569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2890.8700000000003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125.69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879.83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3896.3900000000003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16465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500.04</v>
      </c>
      <c r="C19" s="735" t="s">
        <v>307</v>
      </c>
      <c r="D19" s="745"/>
      <c r="E19" s="745"/>
      <c r="F19" s="745"/>
      <c r="G19" s="745"/>
      <c r="H19" s="745"/>
      <c r="I19" s="745"/>
      <c r="J19" s="745"/>
      <c r="K19" s="736"/>
      <c r="L19" s="735" t="s">
        <v>25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>
        <f>+N56</f>
        <v>460.98680000000002</v>
      </c>
      <c r="L24" s="783">
        <v>0.05</v>
      </c>
      <c r="M24" s="731"/>
      <c r="N24" s="389">
        <f>+L24*N56</f>
        <v>23.049340000000001</v>
      </c>
    </row>
    <row r="25" spans="2:14">
      <c r="B25" s="716"/>
      <c r="C25" s="717"/>
      <c r="D25" s="717"/>
      <c r="E25" s="717"/>
      <c r="F25" s="718"/>
      <c r="G25" s="729"/>
      <c r="H25" s="723"/>
      <c r="I25" s="730"/>
      <c r="J25" s="731"/>
      <c r="K25" s="388"/>
      <c r="L25" s="730"/>
      <c r="M25" s="731"/>
      <c r="N25" s="389">
        <f>+L25*K25</f>
        <v>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23.049340000000001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442</v>
      </c>
      <c r="C33" s="674"/>
      <c r="D33" s="674"/>
      <c r="E33" s="674"/>
      <c r="F33" s="674"/>
      <c r="G33" s="674"/>
      <c r="H33" s="674"/>
      <c r="I33" s="723"/>
      <c r="J33" s="395" t="s">
        <v>25</v>
      </c>
      <c r="K33" s="396">
        <v>1.03</v>
      </c>
      <c r="L33" s="724">
        <v>7300</v>
      </c>
      <c r="M33" s="725"/>
      <c r="N33" s="389">
        <f>+L33*K33</f>
        <v>7519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7519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407</v>
      </c>
      <c r="C52" s="717"/>
      <c r="D52" s="717"/>
      <c r="E52" s="717"/>
      <c r="F52" s="717"/>
      <c r="G52" s="717"/>
      <c r="H52" s="718"/>
      <c r="I52" s="412">
        <f>27604</f>
        <v>27604</v>
      </c>
      <c r="J52" s="413">
        <v>167</v>
      </c>
      <c r="K52" s="414">
        <f>+J52*I52/100</f>
        <v>46098.68</v>
      </c>
      <c r="L52" s="719">
        <v>0.01</v>
      </c>
      <c r="M52" s="720"/>
      <c r="N52" s="415">
        <f>+L52*K52</f>
        <v>460.98680000000002</v>
      </c>
    </row>
    <row r="53" spans="2:14">
      <c r="B53" s="716"/>
      <c r="C53" s="717"/>
      <c r="D53" s="717"/>
      <c r="E53" s="717"/>
      <c r="F53" s="717"/>
      <c r="G53" s="717"/>
      <c r="H53" s="718"/>
      <c r="I53" s="412"/>
      <c r="J53" s="413"/>
      <c r="K53" s="414"/>
      <c r="L53" s="719"/>
      <c r="M53" s="720"/>
      <c r="N53" s="415">
        <f>+L53*K53</f>
        <v>0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460.98680000000002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8003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1840.69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80.03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560.21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2480.9300000000003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10484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1"/>
  <sheetViews>
    <sheetView topLeftCell="A37" zoomScaleNormal="100" workbookViewId="0">
      <selection activeCell="N67" sqref="N67"/>
    </sheetView>
  </sheetViews>
  <sheetFormatPr baseColWidth="10" defaultRowHeight="15"/>
  <cols>
    <col min="9" max="9" width="13.85546875" bestFit="1" customWidth="1"/>
    <col min="11" max="11" width="13.5703125" bestFit="1" customWidth="1"/>
    <col min="13" max="13" width="14.28515625" customWidth="1"/>
    <col min="14" max="14" width="13.85546875" bestFit="1" customWidth="1"/>
  </cols>
  <sheetData>
    <row r="1" spans="2:14" ht="15.75" thickBot="1"/>
    <row r="2" spans="2:14" ht="26.25" thickBot="1">
      <c r="B2" s="348" t="s">
        <v>45</v>
      </c>
      <c r="C2" s="787" t="s">
        <v>3</v>
      </c>
      <c r="D2" s="788"/>
      <c r="E2" s="788"/>
      <c r="F2" s="788"/>
      <c r="G2" s="788"/>
      <c r="H2" s="788"/>
      <c r="I2" s="788"/>
      <c r="J2" s="349"/>
      <c r="K2" s="350" t="s">
        <v>46</v>
      </c>
      <c r="L2" s="789" t="s">
        <v>47</v>
      </c>
      <c r="M2" s="790"/>
      <c r="N2" s="348" t="s">
        <v>5</v>
      </c>
    </row>
    <row r="3" spans="2:14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</row>
    <row r="4" spans="2:14" ht="30.75" customHeight="1" thickBot="1">
      <c r="B4" s="204">
        <v>500.06</v>
      </c>
      <c r="C4" s="604" t="s">
        <v>294</v>
      </c>
      <c r="D4" s="605"/>
      <c r="E4" s="605"/>
      <c r="F4" s="605"/>
      <c r="G4" s="605"/>
      <c r="H4" s="605"/>
      <c r="I4" s="605"/>
      <c r="J4" s="605"/>
      <c r="K4" s="206"/>
      <c r="L4" s="606" t="s">
        <v>27</v>
      </c>
      <c r="M4" s="607"/>
      <c r="N4" s="204"/>
    </row>
    <row r="5" spans="2:14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</row>
    <row r="6" spans="2:14">
      <c r="B6" s="215" t="s">
        <v>50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4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2:14" ht="15.75" thickBot="1">
      <c r="B8" s="221" t="s">
        <v>3</v>
      </c>
      <c r="C8" s="216"/>
      <c r="D8" s="216"/>
      <c r="E8" s="216"/>
      <c r="F8" s="216"/>
      <c r="G8" s="216"/>
      <c r="H8" s="216"/>
      <c r="I8" s="222" t="s">
        <v>51</v>
      </c>
      <c r="J8" s="222"/>
      <c r="K8" s="216" t="s">
        <v>52</v>
      </c>
      <c r="L8" s="216" t="s">
        <v>53</v>
      </c>
      <c r="M8" s="216"/>
      <c r="N8" s="217" t="s">
        <v>54</v>
      </c>
    </row>
    <row r="9" spans="2:14">
      <c r="B9" s="608" t="s">
        <v>295</v>
      </c>
      <c r="C9" s="609"/>
      <c r="D9" s="609"/>
      <c r="E9" s="609"/>
      <c r="F9" s="609"/>
      <c r="G9" s="609"/>
      <c r="H9" s="610"/>
      <c r="I9" s="611"/>
      <c r="J9" s="612"/>
      <c r="K9" s="286">
        <v>35000</v>
      </c>
      <c r="L9" s="613"/>
      <c r="M9" s="610">
        <v>0.5</v>
      </c>
      <c r="N9" s="287">
        <f>+M9*K9</f>
        <v>17500</v>
      </c>
    </row>
    <row r="10" spans="2:14">
      <c r="B10" s="600" t="s">
        <v>301</v>
      </c>
      <c r="C10" s="601"/>
      <c r="D10" s="601"/>
      <c r="E10" s="601"/>
      <c r="F10" s="601"/>
      <c r="G10" s="601"/>
      <c r="H10" s="603"/>
      <c r="I10" s="227"/>
      <c r="J10" s="228"/>
      <c r="K10" s="229">
        <v>11400</v>
      </c>
      <c r="L10" s="230"/>
      <c r="M10" s="231">
        <v>1</v>
      </c>
      <c r="N10" s="232">
        <f>+M10*K10</f>
        <v>11400</v>
      </c>
    </row>
    <row r="11" spans="2:14">
      <c r="B11" s="600" t="s">
        <v>331</v>
      </c>
      <c r="C11" s="601"/>
      <c r="D11" s="601"/>
      <c r="E11" s="601"/>
      <c r="F11" s="601"/>
      <c r="G11" s="601"/>
      <c r="H11" s="603"/>
      <c r="I11" s="227"/>
      <c r="J11" s="228"/>
      <c r="K11" s="229">
        <v>45000</v>
      </c>
      <c r="L11" s="230"/>
      <c r="M11" s="231">
        <v>1</v>
      </c>
      <c r="N11" s="232">
        <f>+M11*K11</f>
        <v>45000</v>
      </c>
    </row>
    <row r="12" spans="2:14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3"/>
    </row>
    <row r="13" spans="2:14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</row>
    <row r="14" spans="2:14" ht="15.75" thickBot="1">
      <c r="B14" s="600" t="s">
        <v>57</v>
      </c>
      <c r="C14" s="601"/>
      <c r="D14" s="601"/>
      <c r="E14" s="601"/>
      <c r="F14" s="601"/>
      <c r="G14" s="601"/>
      <c r="H14" s="603"/>
      <c r="I14" s="622"/>
      <c r="J14" s="623"/>
      <c r="K14" s="245"/>
      <c r="L14" s="624"/>
      <c r="M14" s="625">
        <v>0.05</v>
      </c>
      <c r="N14" s="246">
        <f>+N49*0.05</f>
        <v>12677.137000000001</v>
      </c>
    </row>
    <row r="15" spans="2:14" ht="15.75" thickBot="1">
      <c r="B15" s="626" t="s">
        <v>58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8"/>
      <c r="N15" s="247">
        <f>SUM(N9:N14)</f>
        <v>86577.137000000002</v>
      </c>
    </row>
    <row r="16" spans="2:14">
      <c r="B16" s="784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6"/>
      <c r="N16" s="355"/>
    </row>
    <row r="17" spans="2:17">
      <c r="B17" s="352" t="s">
        <v>59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4"/>
    </row>
    <row r="18" spans="2:17" ht="15.75" thickBot="1">
      <c r="B18" s="250"/>
      <c r="C18" s="222"/>
      <c r="D18" s="222"/>
      <c r="E18" s="222"/>
      <c r="F18" s="222"/>
      <c r="G18" s="222"/>
      <c r="H18" s="222"/>
      <c r="I18" s="222"/>
      <c r="J18" s="216"/>
      <c r="K18" s="216"/>
      <c r="L18" s="216"/>
      <c r="M18" s="216"/>
      <c r="N18" s="217"/>
    </row>
    <row r="19" spans="2:17">
      <c r="B19" s="608" t="s">
        <v>3</v>
      </c>
      <c r="C19" s="609"/>
      <c r="D19" s="609"/>
      <c r="E19" s="609"/>
      <c r="F19" s="609"/>
      <c r="G19" s="609"/>
      <c r="H19" s="609"/>
      <c r="I19" s="610"/>
      <c r="J19" s="332" t="s">
        <v>47</v>
      </c>
      <c r="K19" s="286" t="s">
        <v>5</v>
      </c>
      <c r="L19" s="613" t="s">
        <v>60</v>
      </c>
      <c r="M19" s="610"/>
      <c r="N19" s="287" t="s">
        <v>54</v>
      </c>
    </row>
    <row r="20" spans="2:17">
      <c r="B20" s="600" t="s">
        <v>296</v>
      </c>
      <c r="C20" s="682"/>
      <c r="D20" s="682"/>
      <c r="E20" s="682"/>
      <c r="F20" s="682"/>
      <c r="G20" s="682"/>
      <c r="H20" s="682"/>
      <c r="I20" s="603"/>
      <c r="J20" s="254" t="s">
        <v>12</v>
      </c>
      <c r="K20" s="255">
        <f>0.36*1.05</f>
        <v>0.378</v>
      </c>
      <c r="L20" s="346"/>
      <c r="M20" s="343">
        <v>430760</v>
      </c>
      <c r="N20" s="232">
        <f>+M20*K20</f>
        <v>162827.28</v>
      </c>
    </row>
    <row r="21" spans="2:17">
      <c r="B21" s="600" t="s">
        <v>297</v>
      </c>
      <c r="C21" s="682"/>
      <c r="D21" s="682"/>
      <c r="E21" s="682"/>
      <c r="F21" s="682"/>
      <c r="G21" s="682"/>
      <c r="H21" s="682"/>
      <c r="I21" s="603"/>
      <c r="J21" s="254" t="s">
        <v>25</v>
      </c>
      <c r="K21" s="255">
        <v>0.32</v>
      </c>
      <c r="L21" s="227"/>
      <c r="M21" s="256">
        <v>3157</v>
      </c>
      <c r="N21" s="257">
        <f t="shared" ref="N21:N22" si="0">+M21*K21</f>
        <v>1010.24</v>
      </c>
    </row>
    <row r="22" spans="2:17">
      <c r="B22" s="600" t="s">
        <v>298</v>
      </c>
      <c r="C22" s="682"/>
      <c r="D22" s="682"/>
      <c r="E22" s="682"/>
      <c r="F22" s="682"/>
      <c r="G22" s="682"/>
      <c r="H22" s="682"/>
      <c r="I22" s="603"/>
      <c r="J22" s="254" t="s">
        <v>25</v>
      </c>
      <c r="K22" s="255">
        <v>21</v>
      </c>
      <c r="L22" s="227"/>
      <c r="M22" s="256">
        <v>2832</v>
      </c>
      <c r="N22" s="257">
        <f t="shared" si="0"/>
        <v>59472</v>
      </c>
      <c r="Q22">
        <v>8</v>
      </c>
    </row>
    <row r="23" spans="2:17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7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7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7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2:17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SUM(N20:N26)</f>
        <v>223309.52</v>
      </c>
    </row>
    <row r="28" spans="2:17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7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7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7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2:17">
      <c r="B32" s="34"/>
      <c r="C32" s="266"/>
      <c r="D32" s="266"/>
      <c r="E32" s="266"/>
      <c r="F32" s="266"/>
      <c r="G32" s="266"/>
      <c r="H32" s="267"/>
      <c r="I32" s="244"/>
      <c r="J32" s="268"/>
      <c r="K32" s="244"/>
      <c r="L32" s="635"/>
      <c r="M32" s="636"/>
      <c r="N32" s="269"/>
    </row>
    <row r="33" spans="2:14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2:14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2:14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2:14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4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14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2:14">
      <c r="B43" s="280" t="s">
        <v>299</v>
      </c>
      <c r="C43" s="270"/>
      <c r="D43" s="270"/>
      <c r="E43" s="270"/>
      <c r="F43" s="270"/>
      <c r="G43" s="270"/>
      <c r="H43" s="270"/>
      <c r="I43" s="281">
        <f>27604*4</f>
        <v>110416</v>
      </c>
      <c r="J43" s="35">
        <v>167</v>
      </c>
      <c r="K43" s="36">
        <f>+J43*I43/100</f>
        <v>184394.72</v>
      </c>
      <c r="L43" s="282"/>
      <c r="M43" s="37">
        <v>1</v>
      </c>
      <c r="N43" s="38">
        <f>+M43*K43</f>
        <v>184394.72</v>
      </c>
    </row>
    <row r="44" spans="2:14">
      <c r="B44" s="280" t="s">
        <v>285</v>
      </c>
      <c r="C44" s="270"/>
      <c r="D44" s="270"/>
      <c r="E44" s="270"/>
      <c r="F44" s="270"/>
      <c r="G44" s="270"/>
      <c r="H44" s="270"/>
      <c r="I44" s="281">
        <v>41406</v>
      </c>
      <c r="J44" s="35">
        <v>167</v>
      </c>
      <c r="K44" s="36">
        <f>+J44*I44/100</f>
        <v>69148.02</v>
      </c>
      <c r="L44" s="282"/>
      <c r="M44" s="283">
        <v>1</v>
      </c>
      <c r="N44" s="38">
        <f>+M44*K44</f>
        <v>69148.02</v>
      </c>
    </row>
    <row r="45" spans="2:14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253542.74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ROUND((N49+N38+N27+N15),0)</f>
        <v>563429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129588.67000000001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5634.29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39440.030000000006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174662.99000000002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738092</v>
      </c>
    </row>
  </sheetData>
  <mergeCells count="47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15:M15"/>
    <mergeCell ref="B21:I21"/>
    <mergeCell ref="B22:I22"/>
    <mergeCell ref="B12:H12"/>
    <mergeCell ref="C2:I2"/>
    <mergeCell ref="L2:M2"/>
    <mergeCell ref="C3:I3"/>
    <mergeCell ref="L3:M3"/>
    <mergeCell ref="B9:H9"/>
    <mergeCell ref="B10:H10"/>
    <mergeCell ref="B11:H11"/>
    <mergeCell ref="L4:M4"/>
    <mergeCell ref="I9:J9"/>
    <mergeCell ref="L9:M9"/>
    <mergeCell ref="C4:J4"/>
    <mergeCell ref="B13:H13"/>
    <mergeCell ref="B27:M27"/>
    <mergeCell ref="L31:M31"/>
    <mergeCell ref="L32:M32"/>
    <mergeCell ref="B16:M16"/>
    <mergeCell ref="B20:I20"/>
    <mergeCell ref="B26:I26"/>
    <mergeCell ref="L26:M26"/>
    <mergeCell ref="B19:I19"/>
    <mergeCell ref="L19:M19"/>
    <mergeCell ref="B49:M49"/>
    <mergeCell ref="B51:M51"/>
    <mergeCell ref="L37:M37"/>
    <mergeCell ref="B38:M38"/>
    <mergeCell ref="B42:H42"/>
    <mergeCell ref="L42:M42"/>
    <mergeCell ref="B48:H48"/>
    <mergeCell ref="L48:M48"/>
    <mergeCell ref="I13:J13"/>
    <mergeCell ref="L13:M13"/>
    <mergeCell ref="B14:H14"/>
    <mergeCell ref="I14:J14"/>
    <mergeCell ref="L14:M1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N63"/>
  <sheetViews>
    <sheetView topLeftCell="A40" workbookViewId="0">
      <selection activeCell="O72" sqref="O72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2.85546875" bestFit="1" customWidth="1"/>
    <col min="14" max="14" width="13" bestFit="1" customWidth="1"/>
  </cols>
  <sheetData>
    <row r="2" spans="2:14" ht="15.75" thickBot="1"/>
    <row r="3" spans="2:14" ht="26.25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 t="s">
        <v>46</v>
      </c>
      <c r="L3" s="598" t="s">
        <v>47</v>
      </c>
      <c r="M3" s="599"/>
      <c r="N3" s="288" t="s">
        <v>5</v>
      </c>
    </row>
    <row r="4" spans="2:14" ht="15.75" customHeight="1" thickBot="1">
      <c r="B4" s="204" t="s">
        <v>45</v>
      </c>
      <c r="C4" s="604" t="s">
        <v>3</v>
      </c>
      <c r="D4" s="605"/>
      <c r="E4" s="605"/>
      <c r="F4" s="605"/>
      <c r="G4" s="605"/>
      <c r="H4" s="605"/>
      <c r="I4" s="605"/>
      <c r="J4" s="205"/>
      <c r="K4" s="206"/>
      <c r="L4" s="606" t="s">
        <v>47</v>
      </c>
      <c r="M4" s="607"/>
      <c r="N4" s="204" t="s">
        <v>5</v>
      </c>
    </row>
    <row r="5" spans="2:14" ht="15.75" thickBot="1">
      <c r="B5" s="324">
        <v>500.07</v>
      </c>
      <c r="C5" s="208" t="s">
        <v>300</v>
      </c>
      <c r="D5" s="209"/>
      <c r="E5" s="209"/>
      <c r="F5" s="209"/>
      <c r="G5" s="209"/>
      <c r="H5" s="209"/>
      <c r="I5" s="209"/>
      <c r="J5" s="210"/>
      <c r="K5" s="211"/>
      <c r="L5" s="707" t="s">
        <v>12</v>
      </c>
      <c r="M5" s="708"/>
      <c r="N5" s="214"/>
    </row>
    <row r="6" spans="2:14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4">
      <c r="B7" s="218" t="s">
        <v>50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2:14" ht="15.75" thickBot="1">
      <c r="B8" s="221"/>
      <c r="C8" s="216"/>
      <c r="D8" s="216"/>
      <c r="E8" s="216"/>
      <c r="F8" s="216"/>
      <c r="G8" s="216"/>
      <c r="H8" s="216"/>
      <c r="I8" s="222"/>
      <c r="J8" s="222"/>
      <c r="K8" s="216"/>
      <c r="L8" s="216"/>
      <c r="M8" s="216"/>
      <c r="N8" s="217"/>
    </row>
    <row r="9" spans="2:14">
      <c r="B9" s="608" t="s">
        <v>3</v>
      </c>
      <c r="C9" s="609"/>
      <c r="D9" s="609"/>
      <c r="E9" s="609"/>
      <c r="F9" s="609"/>
      <c r="G9" s="609"/>
      <c r="H9" s="610"/>
      <c r="I9" s="611" t="s">
        <v>51</v>
      </c>
      <c r="J9" s="612"/>
      <c r="K9" s="286" t="s">
        <v>52</v>
      </c>
      <c r="L9" s="613" t="s">
        <v>53</v>
      </c>
      <c r="M9" s="610"/>
      <c r="N9" s="287" t="s">
        <v>54</v>
      </c>
    </row>
    <row r="10" spans="2:14">
      <c r="B10" s="600" t="s">
        <v>295</v>
      </c>
      <c r="C10" s="601"/>
      <c r="D10" s="601"/>
      <c r="E10" s="601"/>
      <c r="F10" s="601"/>
      <c r="G10" s="601"/>
      <c r="H10" s="603"/>
      <c r="I10" s="227"/>
      <c r="J10" s="228"/>
      <c r="K10" s="229">
        <v>35000</v>
      </c>
      <c r="L10" s="230"/>
      <c r="M10" s="231">
        <v>0.1</v>
      </c>
      <c r="N10" s="232">
        <f>+M10*K10</f>
        <v>3500</v>
      </c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/>
    </row>
    <row r="12" spans="2:14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2"/>
    </row>
    <row r="13" spans="2:14">
      <c r="B13" s="600"/>
      <c r="C13" s="601"/>
      <c r="D13" s="601"/>
      <c r="E13" s="601"/>
      <c r="F13" s="601"/>
      <c r="G13" s="601"/>
      <c r="H13" s="603"/>
      <c r="I13" s="227"/>
      <c r="J13" s="228"/>
      <c r="K13" s="229"/>
      <c r="L13" s="230"/>
      <c r="M13" s="231"/>
      <c r="N13" s="233"/>
    </row>
    <row r="14" spans="2:14">
      <c r="B14" s="600"/>
      <c r="C14" s="601"/>
      <c r="D14" s="601"/>
      <c r="E14" s="601"/>
      <c r="F14" s="601"/>
      <c r="G14" s="601"/>
      <c r="H14" s="603"/>
      <c r="I14" s="614"/>
      <c r="J14" s="615"/>
      <c r="K14" s="234"/>
      <c r="L14" s="616"/>
      <c r="M14" s="617"/>
      <c r="N14" s="235"/>
    </row>
    <row r="15" spans="2:14">
      <c r="B15" s="600" t="s">
        <v>57</v>
      </c>
      <c r="C15" s="601"/>
      <c r="D15" s="601"/>
      <c r="E15" s="602"/>
      <c r="F15" s="601"/>
      <c r="G15" s="601"/>
      <c r="H15" s="603"/>
      <c r="I15" s="236"/>
      <c r="J15" s="237"/>
      <c r="K15" s="234"/>
      <c r="L15" s="238"/>
      <c r="M15" s="239">
        <v>0.2</v>
      </c>
      <c r="N15" s="240">
        <f>+N51*M15</f>
        <v>22818.846600000004</v>
      </c>
    </row>
    <row r="16" spans="2:14" ht="15.75" thickBot="1">
      <c r="B16" s="620"/>
      <c r="C16" s="621"/>
      <c r="D16" s="621"/>
      <c r="E16" s="241"/>
      <c r="F16" s="242"/>
      <c r="G16" s="242"/>
      <c r="H16" s="243"/>
      <c r="I16" s="236"/>
      <c r="J16" s="237"/>
      <c r="K16" s="244"/>
      <c r="L16" s="238"/>
      <c r="M16" s="239"/>
      <c r="N16" s="38"/>
    </row>
    <row r="17" spans="2:14" ht="15.75" thickBot="1">
      <c r="B17" s="626" t="s">
        <v>58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>
        <f>SUM(N10:N16)</f>
        <v>26318.846600000004</v>
      </c>
    </row>
    <row r="18" spans="2:14">
      <c r="B18" s="703"/>
      <c r="C18" s="704"/>
      <c r="D18" s="704"/>
      <c r="E18" s="704"/>
      <c r="F18" s="704"/>
      <c r="G18" s="704"/>
      <c r="H18" s="704"/>
      <c r="I18" s="705"/>
      <c r="J18" s="251"/>
      <c r="K18" s="223"/>
      <c r="L18" s="706"/>
      <c r="M18" s="705"/>
      <c r="N18" s="224"/>
    </row>
    <row r="19" spans="2:14">
      <c r="B19" s="248" t="s">
        <v>59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49"/>
    </row>
    <row r="20" spans="2:14" ht="15.75" thickBot="1">
      <c r="B20" s="250"/>
      <c r="C20" s="222"/>
      <c r="D20" s="222"/>
      <c r="E20" s="222"/>
      <c r="F20" s="222"/>
      <c r="G20" s="222"/>
      <c r="H20" s="222"/>
      <c r="I20" s="222"/>
      <c r="J20" s="216"/>
      <c r="K20" s="216"/>
      <c r="L20" s="216"/>
      <c r="M20" s="216"/>
      <c r="N20" s="217"/>
    </row>
    <row r="21" spans="2:14">
      <c r="B21" s="608" t="s">
        <v>3</v>
      </c>
      <c r="C21" s="609"/>
      <c r="D21" s="609"/>
      <c r="E21" s="609"/>
      <c r="F21" s="609"/>
      <c r="G21" s="609"/>
      <c r="H21" s="609"/>
      <c r="I21" s="610"/>
      <c r="J21" s="291" t="s">
        <v>47</v>
      </c>
      <c r="K21" s="286" t="s">
        <v>5</v>
      </c>
      <c r="L21" s="613" t="s">
        <v>60</v>
      </c>
      <c r="M21" s="610"/>
      <c r="N21" s="287" t="s">
        <v>54</v>
      </c>
    </row>
    <row r="22" spans="2:14">
      <c r="B22" s="600" t="s">
        <v>302</v>
      </c>
      <c r="C22" s="682"/>
      <c r="D22" s="682"/>
      <c r="E22" s="682"/>
      <c r="F22" s="682"/>
      <c r="G22" s="682"/>
      <c r="H22" s="682"/>
      <c r="I22" s="603"/>
      <c r="J22" s="254" t="s">
        <v>12</v>
      </c>
      <c r="K22" s="255">
        <v>1.05</v>
      </c>
      <c r="L22" s="346"/>
      <c r="M22" s="343">
        <v>465981</v>
      </c>
      <c r="N22" s="232">
        <f>+M22*K22</f>
        <v>489280.05000000005</v>
      </c>
    </row>
    <row r="23" spans="2:14">
      <c r="B23" s="600"/>
      <c r="C23" s="682"/>
      <c r="D23" s="682"/>
      <c r="E23" s="682"/>
      <c r="F23" s="682"/>
      <c r="G23" s="682"/>
      <c r="H23" s="682"/>
      <c r="I23" s="603"/>
      <c r="J23" s="254"/>
      <c r="K23" s="255"/>
      <c r="L23" s="227"/>
      <c r="M23" s="256"/>
      <c r="N23" s="232">
        <f t="shared" ref="N23:N28" si="0">+M23*K23</f>
        <v>0</v>
      </c>
    </row>
    <row r="24" spans="2:14">
      <c r="B24" s="600"/>
      <c r="C24" s="682"/>
      <c r="D24" s="682"/>
      <c r="E24" s="682"/>
      <c r="F24" s="682"/>
      <c r="G24" s="682"/>
      <c r="H24" s="682"/>
      <c r="I24" s="603"/>
      <c r="J24" s="254"/>
      <c r="K24" s="255"/>
      <c r="L24" s="227"/>
      <c r="M24" s="256"/>
      <c r="N24" s="232">
        <f t="shared" si="0"/>
        <v>0</v>
      </c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32">
        <f t="shared" si="0"/>
        <v>0</v>
      </c>
    </row>
    <row r="26" spans="2:14">
      <c r="B26" s="252"/>
      <c r="C26" s="253"/>
      <c r="D26" s="253"/>
      <c r="E26" s="253"/>
      <c r="F26" s="253"/>
      <c r="G26" s="253"/>
      <c r="H26" s="253"/>
      <c r="I26" s="228"/>
      <c r="J26" s="254"/>
      <c r="K26" s="255"/>
      <c r="L26" s="227"/>
      <c r="M26" s="256"/>
      <c r="N26" s="232">
        <f t="shared" si="0"/>
        <v>0</v>
      </c>
    </row>
    <row r="27" spans="2:14">
      <c r="B27" s="252"/>
      <c r="C27" s="253"/>
      <c r="D27" s="253"/>
      <c r="E27" s="253"/>
      <c r="F27" s="253"/>
      <c r="G27" s="253"/>
      <c r="H27" s="253"/>
      <c r="I27" s="228"/>
      <c r="J27" s="254"/>
      <c r="K27" s="255"/>
      <c r="L27" s="227"/>
      <c r="M27" s="256"/>
      <c r="N27" s="232">
        <f t="shared" si="0"/>
        <v>0</v>
      </c>
    </row>
    <row r="28" spans="2:14" ht="15.75" thickBot="1">
      <c r="B28" s="629"/>
      <c r="C28" s="630"/>
      <c r="D28" s="630"/>
      <c r="E28" s="630"/>
      <c r="F28" s="630"/>
      <c r="G28" s="630"/>
      <c r="H28" s="630"/>
      <c r="I28" s="615"/>
      <c r="J28" s="199"/>
      <c r="K28" s="258"/>
      <c r="L28" s="631"/>
      <c r="M28" s="632"/>
      <c r="N28" s="232">
        <f t="shared" si="0"/>
        <v>0</v>
      </c>
    </row>
    <row r="29" spans="2:14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SUM(N22:N28)</f>
        <v>489280.05000000005</v>
      </c>
    </row>
    <row r="30" spans="2:14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>
      <c r="B31" s="248" t="s">
        <v>61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249"/>
    </row>
    <row r="32" spans="2:14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4" ht="25.5">
      <c r="B33" s="292" t="s">
        <v>62</v>
      </c>
      <c r="C33" s="293"/>
      <c r="D33" s="293"/>
      <c r="E33" s="293"/>
      <c r="F33" s="293"/>
      <c r="G33" s="293"/>
      <c r="H33" s="294" t="s">
        <v>47</v>
      </c>
      <c r="I33" s="295" t="s">
        <v>63</v>
      </c>
      <c r="J33" s="289" t="s">
        <v>64</v>
      </c>
      <c r="K33" s="294" t="s">
        <v>65</v>
      </c>
      <c r="L33" s="633" t="s">
        <v>66</v>
      </c>
      <c r="M33" s="634"/>
      <c r="N33" s="298" t="s">
        <v>54</v>
      </c>
    </row>
    <row r="34" spans="2:14">
      <c r="B34" s="34"/>
      <c r="C34" s="266"/>
      <c r="D34" s="266"/>
      <c r="E34" s="266"/>
      <c r="F34" s="266"/>
      <c r="G34" s="266"/>
      <c r="H34" s="267"/>
      <c r="I34" s="244"/>
      <c r="J34" s="268"/>
      <c r="K34" s="244"/>
      <c r="L34" s="635"/>
      <c r="M34" s="636"/>
      <c r="N34" s="269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>
      <c r="B38" s="34"/>
      <c r="C38" s="270"/>
      <c r="D38" s="270"/>
      <c r="E38" s="270"/>
      <c r="F38" s="270"/>
      <c r="G38" s="270"/>
      <c r="H38" s="271"/>
      <c r="I38" s="244"/>
      <c r="J38" s="244"/>
      <c r="K38" s="244"/>
      <c r="L38" s="272"/>
      <c r="M38" s="273"/>
      <c r="N38" s="274"/>
    </row>
    <row r="39" spans="2:14" ht="15.75" thickBot="1">
      <c r="B39" s="275"/>
      <c r="C39" s="276"/>
      <c r="D39" s="276"/>
      <c r="E39" s="276"/>
      <c r="F39" s="276"/>
      <c r="G39" s="276"/>
      <c r="H39" s="277"/>
      <c r="I39" s="278"/>
      <c r="J39" s="278"/>
      <c r="K39" s="278"/>
      <c r="L39" s="618"/>
      <c r="M39" s="619"/>
      <c r="N39" s="259"/>
    </row>
    <row r="40" spans="2:14" ht="15.75" thickBot="1">
      <c r="B40" s="646" t="s">
        <v>58</v>
      </c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8"/>
      <c r="N40" s="279"/>
    </row>
    <row r="41" spans="2:14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14">
      <c r="B42" s="248" t="s">
        <v>68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49"/>
    </row>
    <row r="43" spans="2:14" ht="15.75" thickBo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</row>
    <row r="44" spans="2:14" ht="25.5">
      <c r="B44" s="640" t="s">
        <v>69</v>
      </c>
      <c r="C44" s="598"/>
      <c r="D44" s="598"/>
      <c r="E44" s="598"/>
      <c r="F44" s="598"/>
      <c r="G44" s="598"/>
      <c r="H44" s="598"/>
      <c r="I44" s="294" t="s">
        <v>70</v>
      </c>
      <c r="J44" s="289" t="s">
        <v>71</v>
      </c>
      <c r="K44" s="295" t="s">
        <v>72</v>
      </c>
      <c r="L44" s="641" t="s">
        <v>53</v>
      </c>
      <c r="M44" s="642"/>
      <c r="N44" s="299" t="s">
        <v>54</v>
      </c>
    </row>
    <row r="45" spans="2:14">
      <c r="B45" s="280" t="s">
        <v>299</v>
      </c>
      <c r="C45" s="270"/>
      <c r="D45" s="270"/>
      <c r="E45" s="270"/>
      <c r="F45" s="270"/>
      <c r="G45" s="270"/>
      <c r="H45" s="270"/>
      <c r="I45" s="281">
        <f>27604*4</f>
        <v>110416</v>
      </c>
      <c r="J45" s="35">
        <v>167</v>
      </c>
      <c r="K45" s="36">
        <f>+J45*I45/100</f>
        <v>184394.72</v>
      </c>
      <c r="L45" s="282"/>
      <c r="M45" s="37">
        <v>0.45</v>
      </c>
      <c r="N45" s="38">
        <f>+M45*K45</f>
        <v>82977.623999999996</v>
      </c>
    </row>
    <row r="46" spans="2:14">
      <c r="B46" s="280" t="s">
        <v>285</v>
      </c>
      <c r="C46" s="270"/>
      <c r="D46" s="270"/>
      <c r="E46" s="270"/>
      <c r="F46" s="270"/>
      <c r="G46" s="270"/>
      <c r="H46" s="270"/>
      <c r="I46" s="281">
        <v>41406</v>
      </c>
      <c r="J46" s="35">
        <v>167</v>
      </c>
      <c r="K46" s="36">
        <f>+J46*I46/100</f>
        <v>69148.02</v>
      </c>
      <c r="L46" s="282"/>
      <c r="M46" s="283">
        <v>0.45</v>
      </c>
      <c r="N46" s="38">
        <f>+M46*K46</f>
        <v>31116.609000000004</v>
      </c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2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>
      <c r="B49" s="280"/>
      <c r="C49" s="270"/>
      <c r="D49" s="270"/>
      <c r="E49" s="270"/>
      <c r="F49" s="270"/>
      <c r="G49" s="270"/>
      <c r="H49" s="270"/>
      <c r="I49" s="244"/>
      <c r="J49" s="40"/>
      <c r="K49" s="41"/>
      <c r="L49" s="285"/>
      <c r="M49" s="284"/>
      <c r="N49" s="38"/>
    </row>
    <row r="50" spans="2:14" ht="15.75" thickBot="1">
      <c r="B50" s="643"/>
      <c r="C50" s="644"/>
      <c r="D50" s="644"/>
      <c r="E50" s="644"/>
      <c r="F50" s="644"/>
      <c r="G50" s="644"/>
      <c r="H50" s="644"/>
      <c r="I50" s="278"/>
      <c r="J50" s="278"/>
      <c r="K50" s="278"/>
      <c r="L50" s="645"/>
      <c r="M50" s="645"/>
      <c r="N50" s="259"/>
    </row>
    <row r="51" spans="2:14" ht="15.75" thickBot="1">
      <c r="B51" s="646" t="s">
        <v>58</v>
      </c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8"/>
      <c r="N51" s="42">
        <f>SUM(N45:N50)</f>
        <v>114094.23300000001</v>
      </c>
    </row>
    <row r="52" spans="2:14" ht="15.75" thickBot="1"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</row>
    <row r="53" spans="2:14" ht="15.75" thickBot="1">
      <c r="B53" s="637" t="s">
        <v>74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9"/>
      <c r="N53" s="300">
        <f>ROUND((N51+N40+N29+N17),0)</f>
        <v>629693</v>
      </c>
    </row>
    <row r="54" spans="2:14">
      <c r="B54" s="660" t="s">
        <v>432</v>
      </c>
      <c r="C54" s="661"/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2"/>
    </row>
    <row r="55" spans="2:14">
      <c r="B55" s="663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5"/>
    </row>
    <row r="56" spans="2:14" ht="15.75" thickBot="1">
      <c r="B56" s="666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8"/>
    </row>
    <row r="57" spans="2:14">
      <c r="B57" s="669" t="s">
        <v>433</v>
      </c>
      <c r="C57" s="670"/>
      <c r="D57" s="670"/>
      <c r="E57" s="670"/>
      <c r="F57" s="670"/>
      <c r="G57" s="670"/>
      <c r="H57" s="670"/>
      <c r="I57" s="402"/>
      <c r="J57" s="417"/>
      <c r="K57" s="410" t="s">
        <v>434</v>
      </c>
      <c r="L57" s="671" t="s">
        <v>156</v>
      </c>
      <c r="M57" s="672"/>
      <c r="N57" s="411"/>
    </row>
    <row r="58" spans="2:14">
      <c r="B58" s="673" t="s">
        <v>75</v>
      </c>
      <c r="C58" s="674"/>
      <c r="D58" s="674"/>
      <c r="E58" s="674"/>
      <c r="F58" s="674"/>
      <c r="G58" s="674"/>
      <c r="H58" s="674"/>
      <c r="I58" s="418"/>
      <c r="J58" s="419"/>
      <c r="K58" s="420">
        <v>0.23</v>
      </c>
      <c r="L58" s="650"/>
      <c r="M58" s="651"/>
      <c r="N58" s="421">
        <f>+N53*K58</f>
        <v>144829.39000000001</v>
      </c>
    </row>
    <row r="59" spans="2:14">
      <c r="B59" s="422" t="s">
        <v>435</v>
      </c>
      <c r="C59" s="399"/>
      <c r="D59" s="399"/>
      <c r="E59" s="399"/>
      <c r="F59" s="399"/>
      <c r="G59" s="399"/>
      <c r="H59" s="399"/>
      <c r="I59" s="418"/>
      <c r="J59" s="419"/>
      <c r="K59" s="420">
        <v>0.01</v>
      </c>
      <c r="L59" s="650"/>
      <c r="M59" s="651"/>
      <c r="N59" s="421">
        <f>+N53*K59</f>
        <v>6296.93</v>
      </c>
    </row>
    <row r="60" spans="2:14" ht="15.75" thickBot="1">
      <c r="B60" s="390" t="s">
        <v>76</v>
      </c>
      <c r="C60" s="391"/>
      <c r="D60" s="391"/>
      <c r="E60" s="391"/>
      <c r="F60" s="391"/>
      <c r="G60" s="391"/>
      <c r="H60" s="391"/>
      <c r="I60" s="423"/>
      <c r="J60" s="424"/>
      <c r="K60" s="420">
        <v>7.0000000000000007E-2</v>
      </c>
      <c r="L60" s="652"/>
      <c r="M60" s="653"/>
      <c r="N60" s="421">
        <f>+N53*K60</f>
        <v>44078.51</v>
      </c>
    </row>
    <row r="61" spans="2:14" ht="15.75" thickBot="1">
      <c r="B61" s="654" t="s">
        <v>58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6"/>
      <c r="N61" s="425">
        <f>N58+N59+N60</f>
        <v>195204.83000000002</v>
      </c>
    </row>
    <row r="62" spans="2:14" ht="15.75" thickBot="1">
      <c r="B62" s="381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82"/>
    </row>
    <row r="63" spans="2:14" ht="15.75" thickBot="1">
      <c r="B63" s="657" t="s">
        <v>436</v>
      </c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9"/>
      <c r="N63" s="426">
        <f>ROUND((N61+N53),0)</f>
        <v>824898</v>
      </c>
    </row>
  </sheetData>
  <mergeCells count="47"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  <mergeCell ref="B9:H9"/>
    <mergeCell ref="I9:J9"/>
    <mergeCell ref="L9:M9"/>
    <mergeCell ref="B17:M17"/>
    <mergeCell ref="B18:I18"/>
    <mergeCell ref="L18:M18"/>
    <mergeCell ref="B15:H15"/>
    <mergeCell ref="B14:H14"/>
    <mergeCell ref="I14:J14"/>
    <mergeCell ref="L14:M14"/>
    <mergeCell ref="B10:H10"/>
    <mergeCell ref="B11:H11"/>
    <mergeCell ref="B12:H12"/>
    <mergeCell ref="B13:H13"/>
    <mergeCell ref="C3:I3"/>
    <mergeCell ref="L3:M3"/>
    <mergeCell ref="C4:I4"/>
    <mergeCell ref="L4:M4"/>
    <mergeCell ref="L5:M5"/>
    <mergeCell ref="L39:M39"/>
    <mergeCell ref="B29:M29"/>
    <mergeCell ref="L33:M33"/>
    <mergeCell ref="L34:M34"/>
    <mergeCell ref="B16:D16"/>
    <mergeCell ref="B23:I23"/>
    <mergeCell ref="B24:I24"/>
    <mergeCell ref="B21:I21"/>
    <mergeCell ref="L21:M21"/>
    <mergeCell ref="B22:I22"/>
    <mergeCell ref="B28:I28"/>
    <mergeCell ref="L28:M28"/>
    <mergeCell ref="B53:M53"/>
    <mergeCell ref="B40:M40"/>
    <mergeCell ref="B44:H44"/>
    <mergeCell ref="L44:M44"/>
    <mergeCell ref="B50:H50"/>
    <mergeCell ref="L50:M50"/>
    <mergeCell ref="B51:M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L73"/>
  <sheetViews>
    <sheetView showGridLines="0" view="pageBreakPreview" topLeftCell="D5" zoomScale="80" zoomScaleNormal="55" zoomScaleSheetLayoutView="80" workbookViewId="0">
      <pane ySplit="4" topLeftCell="A9" activePane="bottomLeft" state="frozen"/>
      <selection activeCell="A5" sqref="A5"/>
      <selection pane="bottomLeft" activeCell="N63" sqref="N63"/>
    </sheetView>
  </sheetViews>
  <sheetFormatPr baseColWidth="10" defaultColWidth="11.42578125" defaultRowHeight="15"/>
  <cols>
    <col min="1" max="1" width="5.5703125" style="4" customWidth="1"/>
    <col min="2" max="2" width="3.42578125" style="4" customWidth="1"/>
    <col min="3" max="3" width="9.42578125" style="4" customWidth="1"/>
    <col min="4" max="4" width="92.42578125" style="4" bestFit="1" customWidth="1"/>
    <col min="5" max="5" width="8.42578125" style="4" bestFit="1" customWidth="1"/>
    <col min="6" max="6" width="14.5703125" style="4" bestFit="1" customWidth="1"/>
    <col min="7" max="13" width="14.5703125" style="4" customWidth="1"/>
    <col min="14" max="14" width="14.5703125" style="157" customWidth="1"/>
    <col min="15" max="20" width="14.5703125" style="4" customWidth="1"/>
    <col min="21" max="21" width="3.28515625" style="4" customWidth="1"/>
    <col min="22" max="22" width="2.28515625" style="4" customWidth="1"/>
    <col min="23" max="23" width="21.140625" style="4" bestFit="1" customWidth="1"/>
    <col min="24" max="24" width="20" style="4" bestFit="1" customWidth="1"/>
    <col min="25" max="25" width="14" style="4" bestFit="1" customWidth="1"/>
    <col min="26" max="28" width="11.42578125" style="4"/>
    <col min="29" max="29" width="16.42578125" style="4" bestFit="1" customWidth="1"/>
    <col min="30" max="30" width="13.28515625" style="4" bestFit="1" customWidth="1"/>
    <col min="31" max="31" width="12.85546875" style="4" bestFit="1" customWidth="1"/>
    <col min="32" max="32" width="14" style="4" bestFit="1" customWidth="1"/>
    <col min="33" max="33" width="11.42578125" style="4"/>
    <col min="34" max="34" width="14" style="4" bestFit="1" customWidth="1"/>
    <col min="35" max="36" width="11.42578125" style="4"/>
    <col min="37" max="37" width="17.28515625" style="124" bestFit="1" customWidth="1"/>
    <col min="38" max="38" width="23.42578125" style="4" bestFit="1" customWidth="1"/>
    <col min="39" max="16384" width="11.42578125" style="4"/>
  </cols>
  <sheetData>
    <row r="1" spans="1:38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9"/>
      <c r="O1" s="2"/>
      <c r="P1" s="2"/>
      <c r="Q1" s="2"/>
      <c r="R1" s="2"/>
      <c r="S1" s="2"/>
      <c r="T1" s="2"/>
      <c r="U1" s="3"/>
    </row>
    <row r="2" spans="1:38" ht="15.75" thickBot="1">
      <c r="A2" s="5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9"/>
      <c r="O2" s="2"/>
      <c r="P2" s="2"/>
      <c r="Q2" s="2"/>
      <c r="R2" s="2"/>
      <c r="S2" s="2"/>
      <c r="T2" s="2"/>
      <c r="U2" s="3"/>
    </row>
    <row r="3" spans="1:38" ht="15.75">
      <c r="A3" s="5"/>
      <c r="B3" s="5"/>
      <c r="C3" s="527" t="s">
        <v>38</v>
      </c>
      <c r="D3" s="528"/>
      <c r="E3" s="528"/>
      <c r="F3" s="528"/>
      <c r="G3" s="133"/>
      <c r="H3" s="133"/>
      <c r="I3" s="133"/>
      <c r="J3" s="133"/>
      <c r="K3" s="133"/>
      <c r="L3" s="133"/>
      <c r="M3" s="480"/>
      <c r="O3" s="133"/>
      <c r="P3" s="133"/>
      <c r="Q3" s="133"/>
      <c r="R3" s="133"/>
      <c r="S3" s="133"/>
      <c r="T3" s="133"/>
      <c r="U3" s="6"/>
    </row>
    <row r="4" spans="1:38" ht="29.45" customHeight="1">
      <c r="A4" s="5"/>
      <c r="B4" s="5"/>
      <c r="C4" s="5"/>
      <c r="D4" s="541"/>
      <c r="E4" s="541"/>
      <c r="F4" s="541"/>
      <c r="G4" s="129"/>
      <c r="H4" s="129"/>
      <c r="I4" s="129"/>
      <c r="J4" s="129"/>
      <c r="K4" s="129"/>
      <c r="L4" s="129"/>
      <c r="M4" s="479"/>
      <c r="N4" s="151"/>
      <c r="O4" s="198"/>
      <c r="P4" s="198"/>
      <c r="Q4" s="198"/>
      <c r="R4" s="198"/>
      <c r="S4" s="198"/>
      <c r="T4" s="129"/>
      <c r="U4" s="6"/>
    </row>
    <row r="5" spans="1:38" ht="16.5" thickBot="1">
      <c r="A5" s="5"/>
      <c r="B5" s="5"/>
      <c r="C5" s="539"/>
      <c r="D5" s="540"/>
      <c r="E5" s="540"/>
      <c r="F5" s="540"/>
      <c r="G5" s="134"/>
      <c r="H5" s="134"/>
      <c r="I5" s="134"/>
      <c r="J5" s="134"/>
      <c r="K5" s="134"/>
      <c r="L5" s="134"/>
      <c r="M5" s="134"/>
      <c r="N5" s="152"/>
      <c r="O5" s="593" t="s">
        <v>349</v>
      </c>
      <c r="P5" s="594"/>
      <c r="Q5" s="594"/>
      <c r="R5" s="594"/>
      <c r="S5" s="594"/>
      <c r="T5" s="595"/>
      <c r="U5" s="6"/>
    </row>
    <row r="6" spans="1:38" ht="25.15" customHeight="1" thickBot="1">
      <c r="A6" s="5"/>
      <c r="B6" s="5"/>
      <c r="C6" s="530"/>
      <c r="D6" s="531"/>
      <c r="E6" s="531"/>
      <c r="F6" s="531"/>
      <c r="G6" s="135"/>
      <c r="H6" s="135"/>
      <c r="I6" s="135"/>
      <c r="J6" s="135"/>
      <c r="K6" s="135"/>
      <c r="L6" s="135"/>
      <c r="M6" s="135"/>
      <c r="N6" s="150" t="s">
        <v>281</v>
      </c>
      <c r="O6" s="201" t="s">
        <v>370</v>
      </c>
      <c r="P6" s="201" t="s">
        <v>369</v>
      </c>
      <c r="Q6" s="201" t="s">
        <v>368</v>
      </c>
      <c r="R6" s="201" t="s">
        <v>367</v>
      </c>
      <c r="S6" s="139" t="s">
        <v>366</v>
      </c>
      <c r="T6" s="139" t="s">
        <v>348</v>
      </c>
      <c r="U6" s="6"/>
    </row>
    <row r="7" spans="1:38" ht="15" customHeight="1">
      <c r="A7" s="5"/>
      <c r="B7" s="5"/>
      <c r="C7" s="533" t="s">
        <v>0</v>
      </c>
      <c r="D7" s="533" t="s">
        <v>3</v>
      </c>
      <c r="E7" s="537" t="s">
        <v>4</v>
      </c>
      <c r="F7" s="537" t="s">
        <v>5</v>
      </c>
      <c r="G7" s="136" t="s">
        <v>274</v>
      </c>
      <c r="H7" s="136" t="s">
        <v>275</v>
      </c>
      <c r="I7" s="136" t="s">
        <v>276</v>
      </c>
      <c r="J7" s="136"/>
      <c r="K7" s="136"/>
      <c r="L7" s="136"/>
      <c r="M7" s="136" t="s">
        <v>490</v>
      </c>
      <c r="N7" s="152"/>
      <c r="O7" s="134"/>
      <c r="P7" s="134"/>
      <c r="Q7" s="134"/>
      <c r="R7" s="134"/>
      <c r="S7" s="134"/>
      <c r="T7" s="136"/>
      <c r="U7" s="6"/>
    </row>
    <row r="8" spans="1:38" ht="15.75" customHeight="1" thickBot="1">
      <c r="A8" s="5"/>
      <c r="B8" s="5"/>
      <c r="C8" s="534"/>
      <c r="D8" s="534"/>
      <c r="E8" s="538"/>
      <c r="F8" s="538"/>
      <c r="G8" s="136" t="s">
        <v>257</v>
      </c>
      <c r="H8" s="136"/>
      <c r="I8" s="136"/>
      <c r="J8" s="136"/>
      <c r="K8" s="136"/>
      <c r="L8" s="136"/>
      <c r="M8" s="136"/>
      <c r="N8" s="152"/>
      <c r="O8" s="134"/>
      <c r="P8" s="134"/>
      <c r="Q8" s="134"/>
      <c r="R8" s="134"/>
      <c r="S8" s="134"/>
      <c r="T8" s="136"/>
      <c r="U8" s="6"/>
      <c r="AC8" s="4" t="s">
        <v>474</v>
      </c>
      <c r="AD8" s="4" t="s">
        <v>471</v>
      </c>
      <c r="AE8" s="4" t="s">
        <v>472</v>
      </c>
      <c r="AF8" s="477" t="s">
        <v>473</v>
      </c>
    </row>
    <row r="9" spans="1:38" ht="16.5" thickBot="1">
      <c r="A9" s="5"/>
      <c r="B9" s="5"/>
      <c r="C9" s="7" t="s">
        <v>9</v>
      </c>
      <c r="D9" s="8"/>
      <c r="E9" s="8"/>
      <c r="F9" s="8"/>
      <c r="G9" s="137"/>
      <c r="H9" s="137"/>
      <c r="I9" s="137"/>
      <c r="J9" s="137"/>
      <c r="K9" s="137"/>
      <c r="L9" s="137"/>
      <c r="M9" s="137"/>
      <c r="N9" s="153"/>
      <c r="O9" s="202"/>
      <c r="P9" s="202"/>
      <c r="Q9" s="202"/>
      <c r="R9" s="202"/>
      <c r="S9" s="202"/>
      <c r="T9" s="137"/>
      <c r="U9" s="6"/>
    </row>
    <row r="10" spans="1:38">
      <c r="A10" s="5"/>
      <c r="B10" s="5"/>
      <c r="C10" s="9">
        <v>1</v>
      </c>
      <c r="D10" s="11" t="s">
        <v>258</v>
      </c>
      <c r="E10" s="13" t="s">
        <v>20</v>
      </c>
      <c r="F10" s="12">
        <f t="shared" ref="F10:F16" si="0">SUM(G10:T10)</f>
        <v>80596.549400000004</v>
      </c>
      <c r="G10" s="138">
        <f>13200*3*2</f>
        <v>79200</v>
      </c>
      <c r="H10" s="138"/>
      <c r="I10" s="138"/>
      <c r="J10" s="138"/>
      <c r="K10" s="138"/>
      <c r="L10" s="138"/>
      <c r="M10" s="138">
        <v>-80.450599999999994</v>
      </c>
      <c r="N10" s="154">
        <v>637</v>
      </c>
      <c r="O10" s="138">
        <f>14*10</f>
        <v>140</v>
      </c>
      <c r="P10" s="138">
        <v>140</v>
      </c>
      <c r="Q10" s="138">
        <v>140</v>
      </c>
      <c r="R10" s="138">
        <v>140</v>
      </c>
      <c r="S10" s="138">
        <v>140</v>
      </c>
      <c r="T10" s="138">
        <v>140</v>
      </c>
      <c r="U10" s="6"/>
      <c r="AC10" s="117">
        <f>+O10+P10+Q10+R10+S10+T10</f>
        <v>840</v>
      </c>
      <c r="AD10" s="117">
        <f>+N10</f>
        <v>637</v>
      </c>
      <c r="AE10" s="117">
        <f>+H10</f>
        <v>0</v>
      </c>
      <c r="AF10" s="117">
        <f t="shared" ref="AF10:AF41" si="1">+F10-AC10-AD10-AE10</f>
        <v>79119.549400000004</v>
      </c>
      <c r="AH10" s="117">
        <f>+AF10+AE10+AD10+AC10</f>
        <v>80596.549400000004</v>
      </c>
      <c r="AI10" s="117">
        <f t="shared" ref="AI10:AI20" si="2">+AH10-F10</f>
        <v>0</v>
      </c>
      <c r="AK10" s="124">
        <v>1153</v>
      </c>
      <c r="AL10" s="124">
        <f t="shared" ref="AL10:AL20" si="3">+ROUND(AK10*F10,0)</f>
        <v>92927821</v>
      </c>
    </row>
    <row r="11" spans="1:38">
      <c r="A11" s="5"/>
      <c r="B11" s="5"/>
      <c r="C11" s="111">
        <v>2</v>
      </c>
      <c r="D11" s="113" t="s">
        <v>250</v>
      </c>
      <c r="E11" s="114" t="s">
        <v>224</v>
      </c>
      <c r="F11" s="12">
        <f t="shared" si="0"/>
        <v>13.259999999999998</v>
      </c>
      <c r="G11" s="138">
        <v>13.2</v>
      </c>
      <c r="H11" s="138"/>
      <c r="I11" s="138"/>
      <c r="J11" s="138"/>
      <c r="K11" s="138"/>
      <c r="L11" s="138"/>
      <c r="M11" s="138"/>
      <c r="N11" s="154"/>
      <c r="O11" s="138">
        <v>0.01</v>
      </c>
      <c r="P11" s="138">
        <v>0.01</v>
      </c>
      <c r="Q11" s="138">
        <v>0.01</v>
      </c>
      <c r="R11" s="138">
        <v>0.01</v>
      </c>
      <c r="S11" s="138">
        <v>0.01</v>
      </c>
      <c r="T11" s="138">
        <v>0.01</v>
      </c>
      <c r="U11" s="6"/>
      <c r="AC11" s="117">
        <f t="shared" ref="AC11:AC67" si="4">+O11+P11+Q11+R11+S11+T11</f>
        <v>6.0000000000000005E-2</v>
      </c>
      <c r="AD11" s="117">
        <f t="shared" ref="AD11:AD67" si="5">+N11</f>
        <v>0</v>
      </c>
      <c r="AF11" s="117">
        <f t="shared" si="1"/>
        <v>13.199999999999998</v>
      </c>
      <c r="AH11" s="117">
        <f t="shared" ref="AH11:AH67" si="6">+AF11+AE11+AD11+AC11</f>
        <v>13.259999999999998</v>
      </c>
      <c r="AI11" s="117">
        <f t="shared" si="2"/>
        <v>0</v>
      </c>
      <c r="AK11" s="124">
        <v>3524003</v>
      </c>
      <c r="AL11" s="124">
        <f t="shared" si="3"/>
        <v>46728280</v>
      </c>
    </row>
    <row r="12" spans="1:38">
      <c r="A12" s="5"/>
      <c r="B12" s="5"/>
      <c r="C12" s="9">
        <f>+C11+1</f>
        <v>3</v>
      </c>
      <c r="D12" s="11" t="s">
        <v>270</v>
      </c>
      <c r="E12" s="13" t="s">
        <v>12</v>
      </c>
      <c r="F12" s="12">
        <f t="shared" si="0"/>
        <v>1049.81</v>
      </c>
      <c r="G12" s="146">
        <f>107*3.83-16</f>
        <v>393.81</v>
      </c>
      <c r="H12" s="138">
        <f>6500*0.1</f>
        <v>650</v>
      </c>
      <c r="I12" s="138"/>
      <c r="J12" s="138"/>
      <c r="K12" s="142">
        <v>16</v>
      </c>
      <c r="L12" s="138"/>
      <c r="M12" s="138">
        <v>-10</v>
      </c>
      <c r="N12" s="154"/>
      <c r="O12" s="138"/>
      <c r="P12" s="138"/>
      <c r="Q12" s="138"/>
      <c r="R12" s="138"/>
      <c r="S12" s="138"/>
      <c r="T12" s="138"/>
      <c r="U12" s="6"/>
      <c r="AC12" s="117">
        <f t="shared" si="4"/>
        <v>0</v>
      </c>
      <c r="AD12" s="117">
        <f t="shared" si="5"/>
        <v>0</v>
      </c>
      <c r="AE12" s="117">
        <f>+K12</f>
        <v>16</v>
      </c>
      <c r="AF12" s="117">
        <f t="shared" si="1"/>
        <v>1033.81</v>
      </c>
      <c r="AH12" s="117">
        <f t="shared" si="6"/>
        <v>1049.81</v>
      </c>
      <c r="AI12" s="117">
        <f t="shared" si="2"/>
        <v>0</v>
      </c>
      <c r="AK12" s="124">
        <v>108720</v>
      </c>
      <c r="AL12" s="124">
        <f t="shared" si="3"/>
        <v>114135343</v>
      </c>
    </row>
    <row r="13" spans="1:38">
      <c r="A13" s="5"/>
      <c r="B13" s="5"/>
      <c r="C13" s="9">
        <f t="shared" ref="C13:C15" si="7">+C12+1</f>
        <v>4</v>
      </c>
      <c r="D13" s="113" t="s">
        <v>273</v>
      </c>
      <c r="E13" s="114" t="s">
        <v>221</v>
      </c>
      <c r="F13" s="12">
        <f t="shared" si="0"/>
        <v>749</v>
      </c>
      <c r="G13" s="146">
        <f>107*7-49</f>
        <v>700</v>
      </c>
      <c r="H13" s="138"/>
      <c r="I13" s="142">
        <v>12</v>
      </c>
      <c r="J13" s="142">
        <v>14</v>
      </c>
      <c r="K13" s="142">
        <v>23</v>
      </c>
      <c r="L13" s="138"/>
      <c r="M13" s="138"/>
      <c r="N13" s="154"/>
      <c r="O13" s="138"/>
      <c r="P13" s="138"/>
      <c r="Q13" s="138"/>
      <c r="R13" s="138"/>
      <c r="S13" s="138"/>
      <c r="T13" s="138"/>
      <c r="U13" s="6"/>
      <c r="AC13" s="117">
        <f t="shared" si="4"/>
        <v>0</v>
      </c>
      <c r="AD13" s="117">
        <f t="shared" si="5"/>
        <v>0</v>
      </c>
      <c r="AE13" s="117">
        <f>+K13+J13+I13</f>
        <v>49</v>
      </c>
      <c r="AF13" s="117">
        <f t="shared" si="1"/>
        <v>700</v>
      </c>
      <c r="AH13" s="117">
        <f t="shared" si="6"/>
        <v>749</v>
      </c>
      <c r="AI13" s="117">
        <f t="shared" si="2"/>
        <v>0</v>
      </c>
      <c r="AK13" s="124">
        <v>29547</v>
      </c>
      <c r="AL13" s="124">
        <f t="shared" si="3"/>
        <v>22130703</v>
      </c>
    </row>
    <row r="14" spans="1:38">
      <c r="A14" s="5"/>
      <c r="B14" s="5"/>
      <c r="C14" s="9">
        <f>+C13+1</f>
        <v>5</v>
      </c>
      <c r="D14" s="113" t="s">
        <v>282</v>
      </c>
      <c r="E14" s="114" t="s">
        <v>20</v>
      </c>
      <c r="F14" s="12">
        <f t="shared" si="0"/>
        <v>4600</v>
      </c>
      <c r="G14" s="138"/>
      <c r="H14" s="138"/>
      <c r="I14" s="138"/>
      <c r="J14" s="138"/>
      <c r="K14" s="138"/>
      <c r="L14" s="138"/>
      <c r="M14" s="138"/>
      <c r="N14" s="154">
        <f>3300+1300</f>
        <v>4600</v>
      </c>
      <c r="O14" s="138"/>
      <c r="P14" s="138"/>
      <c r="Q14" s="138"/>
      <c r="R14" s="138"/>
      <c r="S14" s="138"/>
      <c r="T14" s="138"/>
      <c r="U14" s="6"/>
      <c r="AC14" s="117">
        <f t="shared" si="4"/>
        <v>0</v>
      </c>
      <c r="AD14" s="117">
        <f t="shared" si="5"/>
        <v>4600</v>
      </c>
      <c r="AF14" s="117">
        <f t="shared" si="1"/>
        <v>0</v>
      </c>
      <c r="AH14" s="117">
        <f t="shared" si="6"/>
        <v>4600</v>
      </c>
      <c r="AI14" s="117">
        <f t="shared" si="2"/>
        <v>0</v>
      </c>
      <c r="AK14" s="124">
        <v>3487</v>
      </c>
      <c r="AL14" s="124">
        <f t="shared" si="3"/>
        <v>16040200</v>
      </c>
    </row>
    <row r="15" spans="1:38">
      <c r="A15" s="5"/>
      <c r="B15" s="5"/>
      <c r="C15" s="9">
        <f t="shared" si="7"/>
        <v>6</v>
      </c>
      <c r="D15" s="11" t="s">
        <v>14</v>
      </c>
      <c r="E15" s="13" t="s">
        <v>12</v>
      </c>
      <c r="F15" s="12">
        <f t="shared" si="0"/>
        <v>6010</v>
      </c>
      <c r="G15" s="138">
        <f>6500*0.5</f>
        <v>3250</v>
      </c>
      <c r="H15" s="138">
        <f>10*3*4+12*3*4+8*3*4+20*3*5</f>
        <v>660</v>
      </c>
      <c r="I15" s="146">
        <f>107*15-105</f>
        <v>1500</v>
      </c>
      <c r="J15" s="138"/>
      <c r="K15" s="142">
        <v>105</v>
      </c>
      <c r="L15" s="138"/>
      <c r="M15" s="138"/>
      <c r="N15" s="154">
        <f>246+166+83</f>
        <v>495</v>
      </c>
      <c r="O15" s="138"/>
      <c r="P15" s="138"/>
      <c r="Q15" s="138"/>
      <c r="R15" s="138"/>
      <c r="S15" s="138"/>
      <c r="T15" s="138"/>
      <c r="U15" s="6"/>
      <c r="W15" s="4">
        <f>24*0.0254+0.2</f>
        <v>0.80959999999999988</v>
      </c>
      <c r="X15" s="4">
        <f>36*0.0254+0.4</f>
        <v>1.3144</v>
      </c>
      <c r="Y15" s="4">
        <f>1.3*2.1*7</f>
        <v>19.110000000000003</v>
      </c>
      <c r="Z15" s="4">
        <f>0.45*0.45*3.1416*7</f>
        <v>4.4532179999999997</v>
      </c>
      <c r="AA15" s="4">
        <f>+Y15-Z15</f>
        <v>14.656782000000003</v>
      </c>
      <c r="AC15" s="117">
        <f t="shared" si="4"/>
        <v>0</v>
      </c>
      <c r="AD15" s="117">
        <f t="shared" si="5"/>
        <v>495</v>
      </c>
      <c r="AE15" s="117">
        <f>+K15</f>
        <v>105</v>
      </c>
      <c r="AF15" s="117">
        <f t="shared" si="1"/>
        <v>5410</v>
      </c>
      <c r="AH15" s="117">
        <f t="shared" si="6"/>
        <v>6010</v>
      </c>
      <c r="AI15" s="117">
        <f t="shared" si="2"/>
        <v>0</v>
      </c>
      <c r="AK15" s="124">
        <v>12233</v>
      </c>
      <c r="AL15" s="124">
        <f t="shared" si="3"/>
        <v>73520330</v>
      </c>
    </row>
    <row r="16" spans="1:38" ht="15.75" thickBot="1">
      <c r="A16" s="5"/>
      <c r="B16" s="5"/>
      <c r="C16" s="9">
        <f>+C15+1</f>
        <v>7</v>
      </c>
      <c r="D16" s="11" t="s">
        <v>365</v>
      </c>
      <c r="E16" s="13" t="s">
        <v>12</v>
      </c>
      <c r="F16" s="12">
        <f t="shared" si="0"/>
        <v>416</v>
      </c>
      <c r="G16" s="146">
        <f>250-60</f>
        <v>190</v>
      </c>
      <c r="H16" s="138"/>
      <c r="I16" s="138"/>
      <c r="J16" s="138"/>
      <c r="K16" s="142">
        <v>60</v>
      </c>
      <c r="L16" s="138"/>
      <c r="M16" s="138"/>
      <c r="N16" s="154">
        <v>166</v>
      </c>
      <c r="O16" s="138"/>
      <c r="P16" s="138"/>
      <c r="Q16" s="138"/>
      <c r="R16" s="138"/>
      <c r="S16" s="138"/>
      <c r="T16" s="138"/>
      <c r="U16" s="6"/>
      <c r="AC16" s="117">
        <f t="shared" si="4"/>
        <v>0</v>
      </c>
      <c r="AD16" s="117">
        <f t="shared" si="5"/>
        <v>166</v>
      </c>
      <c r="AE16" s="117">
        <f>+K16</f>
        <v>60</v>
      </c>
      <c r="AF16" s="117">
        <f t="shared" si="1"/>
        <v>190</v>
      </c>
      <c r="AH16" s="117">
        <f t="shared" si="6"/>
        <v>416</v>
      </c>
      <c r="AI16" s="117">
        <f t="shared" si="2"/>
        <v>0</v>
      </c>
      <c r="AK16" s="124">
        <v>50152</v>
      </c>
      <c r="AL16" s="124">
        <f t="shared" si="3"/>
        <v>20863232</v>
      </c>
    </row>
    <row r="17" spans="1:38" ht="16.5" thickBot="1">
      <c r="A17" s="5"/>
      <c r="B17" s="5"/>
      <c r="C17" s="7" t="s">
        <v>15</v>
      </c>
      <c r="D17" s="8"/>
      <c r="E17" s="8"/>
      <c r="F17" s="118"/>
      <c r="G17" s="139"/>
      <c r="H17" s="139"/>
      <c r="I17" s="139"/>
      <c r="J17" s="139"/>
      <c r="K17" s="139"/>
      <c r="L17" s="139"/>
      <c r="M17" s="139"/>
      <c r="N17" s="155"/>
      <c r="O17" s="139"/>
      <c r="P17" s="139"/>
      <c r="Q17" s="139"/>
      <c r="R17" s="139"/>
      <c r="S17" s="139"/>
      <c r="T17" s="139"/>
      <c r="U17" s="6"/>
      <c r="AC17" s="117">
        <f t="shared" si="4"/>
        <v>0</v>
      </c>
      <c r="AD17" s="117">
        <f t="shared" si="5"/>
        <v>0</v>
      </c>
      <c r="AF17" s="117">
        <f t="shared" si="1"/>
        <v>0</v>
      </c>
      <c r="AH17" s="117">
        <f t="shared" si="6"/>
        <v>0</v>
      </c>
      <c r="AI17" s="117">
        <f t="shared" si="2"/>
        <v>0</v>
      </c>
      <c r="AL17" s="124">
        <f t="shared" si="3"/>
        <v>0</v>
      </c>
    </row>
    <row r="18" spans="1:38">
      <c r="A18" s="5"/>
      <c r="B18" s="5"/>
      <c r="C18" s="15">
        <f>+C16+1</f>
        <v>8</v>
      </c>
      <c r="D18" s="28" t="s">
        <v>39</v>
      </c>
      <c r="E18" s="17" t="s">
        <v>12</v>
      </c>
      <c r="F18" s="12">
        <f>SUM(G18:T18)</f>
        <v>911</v>
      </c>
      <c r="G18" s="138">
        <f>60*3*0.35</f>
        <v>62.999999999999993</v>
      </c>
      <c r="H18" s="138">
        <f>3200*1.5*0.15</f>
        <v>720</v>
      </c>
      <c r="I18" s="138"/>
      <c r="J18" s="138"/>
      <c r="K18" s="138"/>
      <c r="L18" s="138"/>
      <c r="M18" s="138">
        <v>-14</v>
      </c>
      <c r="N18" s="154">
        <v>120</v>
      </c>
      <c r="O18" s="138">
        <f>14*0.25</f>
        <v>3.5</v>
      </c>
      <c r="P18" s="138">
        <f>+P30*0.25</f>
        <v>4.5</v>
      </c>
      <c r="Q18" s="138">
        <f t="shared" ref="Q18:T18" si="8">+Q30*0.25</f>
        <v>3.5</v>
      </c>
      <c r="R18" s="138">
        <f t="shared" si="8"/>
        <v>3.5</v>
      </c>
      <c r="S18" s="138">
        <f t="shared" si="8"/>
        <v>3.5</v>
      </c>
      <c r="T18" s="138">
        <f t="shared" si="8"/>
        <v>3.5</v>
      </c>
      <c r="U18" s="6"/>
      <c r="X18" s="116"/>
      <c r="Y18" s="117"/>
      <c r="AC18" s="117">
        <f t="shared" si="4"/>
        <v>22</v>
      </c>
      <c r="AD18" s="117">
        <f t="shared" si="5"/>
        <v>120</v>
      </c>
      <c r="AE18" s="117">
        <f>+G18</f>
        <v>62.999999999999993</v>
      </c>
      <c r="AF18" s="117">
        <f t="shared" si="1"/>
        <v>706</v>
      </c>
      <c r="AH18" s="117">
        <f t="shared" si="6"/>
        <v>911</v>
      </c>
      <c r="AI18" s="117">
        <f t="shared" si="2"/>
        <v>0</v>
      </c>
      <c r="AK18" s="124">
        <v>158942</v>
      </c>
      <c r="AL18" s="124">
        <f t="shared" si="3"/>
        <v>144796162</v>
      </c>
    </row>
    <row r="19" spans="1:38">
      <c r="A19" s="5"/>
      <c r="B19" s="5"/>
      <c r="C19" s="15">
        <f>+C18+1</f>
        <v>9</v>
      </c>
      <c r="D19" s="28" t="s">
        <v>40</v>
      </c>
      <c r="E19" s="17" t="s">
        <v>12</v>
      </c>
      <c r="F19" s="12">
        <f>SUM(G19:T19)</f>
        <v>158.5</v>
      </c>
      <c r="G19" s="138">
        <f>(10+8+10+20)*3*0.25</f>
        <v>36</v>
      </c>
      <c r="H19" s="138">
        <f>186*0.25</f>
        <v>46.5</v>
      </c>
      <c r="I19" s="138"/>
      <c r="J19" s="138"/>
      <c r="K19" s="138"/>
      <c r="L19" s="138"/>
      <c r="M19" s="138">
        <v>-4</v>
      </c>
      <c r="N19" s="154">
        <v>80</v>
      </c>
      <c r="O19" s="138"/>
      <c r="P19" s="138"/>
      <c r="Q19" s="138"/>
      <c r="R19" s="138"/>
      <c r="S19" s="138"/>
      <c r="T19" s="138"/>
      <c r="U19" s="6"/>
      <c r="AC19" s="117">
        <f t="shared" si="4"/>
        <v>0</v>
      </c>
      <c r="AD19" s="117">
        <f t="shared" si="5"/>
        <v>80</v>
      </c>
      <c r="AE19" s="117">
        <f>+G19</f>
        <v>36</v>
      </c>
      <c r="AF19" s="117">
        <f t="shared" si="1"/>
        <v>42.5</v>
      </c>
      <c r="AH19" s="117">
        <f t="shared" si="6"/>
        <v>158.5</v>
      </c>
      <c r="AI19" s="117">
        <f t="shared" si="2"/>
        <v>0</v>
      </c>
      <c r="AK19" s="124">
        <v>169160</v>
      </c>
      <c r="AL19" s="124">
        <f t="shared" si="3"/>
        <v>26811860</v>
      </c>
    </row>
    <row r="20" spans="1:38">
      <c r="A20" s="5"/>
      <c r="B20" s="5"/>
      <c r="C20" s="15">
        <f>+C19+1</f>
        <v>10</v>
      </c>
      <c r="D20" s="28" t="s">
        <v>222</v>
      </c>
      <c r="E20" s="17" t="s">
        <v>12</v>
      </c>
      <c r="F20" s="12">
        <f>SUM(G20:T20)</f>
        <v>445.34000000000003</v>
      </c>
      <c r="G20" s="146">
        <f>451.04-26</f>
        <v>425.04</v>
      </c>
      <c r="H20" s="138"/>
      <c r="I20" s="138"/>
      <c r="J20" s="138"/>
      <c r="K20" s="142">
        <v>26</v>
      </c>
      <c r="L20" s="138"/>
      <c r="M20" s="138">
        <v>-5.7</v>
      </c>
      <c r="N20" s="154"/>
      <c r="O20" s="138"/>
      <c r="P20" s="138"/>
      <c r="Q20" s="138"/>
      <c r="R20" s="138"/>
      <c r="S20" s="138"/>
      <c r="T20" s="138"/>
      <c r="U20" s="6"/>
      <c r="AC20" s="117">
        <f t="shared" si="4"/>
        <v>0</v>
      </c>
      <c r="AD20" s="117">
        <f t="shared" si="5"/>
        <v>0</v>
      </c>
      <c r="AE20" s="117">
        <f>+H20+I20+J20+K20</f>
        <v>26</v>
      </c>
      <c r="AF20" s="117">
        <f t="shared" si="1"/>
        <v>419.34000000000003</v>
      </c>
      <c r="AH20" s="117">
        <f t="shared" si="6"/>
        <v>445.34000000000003</v>
      </c>
      <c r="AI20" s="117">
        <f t="shared" si="2"/>
        <v>0</v>
      </c>
      <c r="AK20" s="124">
        <v>149926</v>
      </c>
      <c r="AL20" s="124">
        <f t="shared" si="3"/>
        <v>66768045</v>
      </c>
    </row>
    <row r="21" spans="1:38" ht="15.75" thickBot="1">
      <c r="A21" s="5"/>
      <c r="B21" s="5"/>
      <c r="C21" s="15">
        <f>+C20+1</f>
        <v>11</v>
      </c>
      <c r="D21" s="28" t="s">
        <v>491</v>
      </c>
      <c r="E21" s="17" t="s">
        <v>12</v>
      </c>
      <c r="F21" s="12">
        <f>SUM(G21:T21)</f>
        <v>2</v>
      </c>
      <c r="G21" s="146"/>
      <c r="H21" s="138"/>
      <c r="I21" s="138"/>
      <c r="J21" s="138"/>
      <c r="K21" s="142"/>
      <c r="L21" s="138"/>
      <c r="M21" s="138">
        <v>2</v>
      </c>
      <c r="N21" s="154"/>
      <c r="O21" s="138"/>
      <c r="P21" s="138"/>
      <c r="Q21" s="138"/>
      <c r="R21" s="138"/>
      <c r="S21" s="138"/>
      <c r="T21" s="138"/>
      <c r="U21" s="6"/>
      <c r="AC21" s="117"/>
      <c r="AD21" s="117"/>
      <c r="AE21" s="117"/>
      <c r="AF21" s="117">
        <f t="shared" si="1"/>
        <v>2</v>
      </c>
      <c r="AH21" s="117"/>
      <c r="AI21" s="117"/>
      <c r="AL21" s="124"/>
    </row>
    <row r="22" spans="1:38" ht="16.5" thickBot="1">
      <c r="A22" s="5"/>
      <c r="B22" s="5"/>
      <c r="C22" s="7" t="s">
        <v>267</v>
      </c>
      <c r="D22" s="8"/>
      <c r="E22" s="8"/>
      <c r="F22" s="118"/>
      <c r="G22" s="139"/>
      <c r="H22" s="139"/>
      <c r="I22" s="139"/>
      <c r="J22" s="139"/>
      <c r="K22" s="139"/>
      <c r="L22" s="139"/>
      <c r="M22" s="139"/>
      <c r="N22" s="155"/>
      <c r="O22" s="139"/>
      <c r="P22" s="139"/>
      <c r="Q22" s="139"/>
      <c r="R22" s="139"/>
      <c r="S22" s="139"/>
      <c r="T22" s="139"/>
      <c r="U22" s="6"/>
      <c r="AC22" s="117">
        <f t="shared" si="4"/>
        <v>0</v>
      </c>
      <c r="AD22" s="117">
        <f t="shared" si="5"/>
        <v>0</v>
      </c>
      <c r="AE22" s="117">
        <f>+H22+I22+J22+K22</f>
        <v>0</v>
      </c>
      <c r="AF22" s="117">
        <f t="shared" si="1"/>
        <v>0</v>
      </c>
      <c r="AH22" s="117">
        <f t="shared" si="6"/>
        <v>0</v>
      </c>
      <c r="AI22" s="117">
        <f t="shared" ref="AI22:AI64" si="9">+AH22-F22</f>
        <v>0</v>
      </c>
      <c r="AL22" s="124">
        <f t="shared" ref="AL22:AL64" si="10">+ROUND(AK22*F22,0)</f>
        <v>0</v>
      </c>
    </row>
    <row r="23" spans="1:38">
      <c r="A23" s="5"/>
      <c r="B23" s="5"/>
      <c r="C23" s="18">
        <f>+C21+1</f>
        <v>12</v>
      </c>
      <c r="D23" s="20" t="s">
        <v>19</v>
      </c>
      <c r="E23" s="19" t="s">
        <v>20</v>
      </c>
      <c r="F23" s="12">
        <f>SUM(G23:T23)</f>
        <v>156000</v>
      </c>
      <c r="G23" s="138">
        <f>13000*6</f>
        <v>78000</v>
      </c>
      <c r="H23" s="138">
        <f>13000*6</f>
        <v>78000</v>
      </c>
      <c r="I23" s="138"/>
      <c r="J23" s="138"/>
      <c r="K23" s="138"/>
      <c r="L23" s="138"/>
      <c r="M23" s="138"/>
      <c r="N23" s="154"/>
      <c r="O23" s="138"/>
      <c r="P23" s="138"/>
      <c r="Q23" s="138"/>
      <c r="R23" s="138"/>
      <c r="S23" s="138"/>
      <c r="T23" s="138"/>
      <c r="U23" s="6"/>
      <c r="AC23" s="117">
        <f t="shared" si="4"/>
        <v>0</v>
      </c>
      <c r="AD23" s="117">
        <f t="shared" si="5"/>
        <v>0</v>
      </c>
      <c r="AE23" s="117"/>
      <c r="AF23" s="117">
        <f t="shared" si="1"/>
        <v>156000</v>
      </c>
      <c r="AH23" s="117">
        <f t="shared" si="6"/>
        <v>156000</v>
      </c>
      <c r="AI23" s="117">
        <f t="shared" si="9"/>
        <v>0</v>
      </c>
      <c r="AK23" s="124">
        <v>2671</v>
      </c>
      <c r="AL23" s="124">
        <f t="shared" si="10"/>
        <v>416676000</v>
      </c>
    </row>
    <row r="24" spans="1:38">
      <c r="A24" s="5"/>
      <c r="B24" s="5"/>
      <c r="C24" s="15">
        <f>+C23+1</f>
        <v>13</v>
      </c>
      <c r="D24" s="132" t="s">
        <v>252</v>
      </c>
      <c r="E24" s="131" t="s">
        <v>12</v>
      </c>
      <c r="F24" s="115">
        <f>SUM(G24:T24)</f>
        <v>1170</v>
      </c>
      <c r="G24" s="138">
        <f>13000*6*15%*0.1</f>
        <v>1170</v>
      </c>
      <c r="H24" s="138"/>
      <c r="I24" s="138"/>
      <c r="J24" s="138"/>
      <c r="K24" s="138"/>
      <c r="L24" s="138"/>
      <c r="M24" s="138"/>
      <c r="N24" s="154"/>
      <c r="O24" s="138"/>
      <c r="P24" s="138"/>
      <c r="Q24" s="138"/>
      <c r="R24" s="138"/>
      <c r="S24" s="138"/>
      <c r="T24" s="138"/>
      <c r="U24" s="6"/>
      <c r="AC24" s="117">
        <f t="shared" si="4"/>
        <v>0</v>
      </c>
      <c r="AD24" s="117">
        <f t="shared" si="5"/>
        <v>0</v>
      </c>
      <c r="AE24" s="117">
        <f t="shared" ref="AE24:AE31" si="11">+H24+I24+J24+K24</f>
        <v>0</v>
      </c>
      <c r="AF24" s="117">
        <f t="shared" si="1"/>
        <v>1170</v>
      </c>
      <c r="AH24" s="117">
        <f t="shared" si="6"/>
        <v>1170</v>
      </c>
      <c r="AI24" s="117">
        <f t="shared" si="9"/>
        <v>0</v>
      </c>
      <c r="AK24" s="124">
        <v>921656</v>
      </c>
      <c r="AL24" s="124">
        <f t="shared" si="10"/>
        <v>1078337520</v>
      </c>
    </row>
    <row r="25" spans="1:38">
      <c r="A25" s="5"/>
      <c r="B25" s="5"/>
      <c r="C25" s="15">
        <f t="shared" ref="C25:C26" si="12">+C24+1</f>
        <v>14</v>
      </c>
      <c r="D25" s="132" t="s">
        <v>259</v>
      </c>
      <c r="E25" s="131" t="s">
        <v>20</v>
      </c>
      <c r="F25" s="115">
        <f>SUM(G25:T25)</f>
        <v>78000</v>
      </c>
      <c r="G25" s="138">
        <f>+G23</f>
        <v>78000</v>
      </c>
      <c r="H25" s="138"/>
      <c r="I25" s="138"/>
      <c r="J25" s="138"/>
      <c r="K25" s="138"/>
      <c r="L25" s="138"/>
      <c r="M25" s="138"/>
      <c r="N25" s="154"/>
      <c r="O25" s="138"/>
      <c r="P25" s="138"/>
      <c r="Q25" s="138"/>
      <c r="R25" s="138"/>
      <c r="S25" s="138"/>
      <c r="T25" s="138"/>
      <c r="U25" s="6"/>
      <c r="AC25" s="117">
        <f t="shared" si="4"/>
        <v>0</v>
      </c>
      <c r="AD25" s="117">
        <f t="shared" si="5"/>
        <v>0</v>
      </c>
      <c r="AE25" s="117">
        <f t="shared" si="11"/>
        <v>0</v>
      </c>
      <c r="AF25" s="117">
        <f t="shared" si="1"/>
        <v>78000</v>
      </c>
      <c r="AH25" s="117">
        <f t="shared" si="6"/>
        <v>78000</v>
      </c>
      <c r="AI25" s="117">
        <f t="shared" si="9"/>
        <v>0</v>
      </c>
      <c r="AK25" s="124">
        <v>6500</v>
      </c>
      <c r="AL25" s="124">
        <f t="shared" si="10"/>
        <v>507000000</v>
      </c>
    </row>
    <row r="26" spans="1:38" ht="15.75" thickBot="1">
      <c r="A26" s="5"/>
      <c r="B26" s="5"/>
      <c r="C26" s="15">
        <f t="shared" si="12"/>
        <v>15</v>
      </c>
      <c r="D26" s="20" t="s">
        <v>21</v>
      </c>
      <c r="E26" s="19" t="s">
        <v>12</v>
      </c>
      <c r="F26" s="12">
        <f>SUM(G26:T26)</f>
        <v>7800</v>
      </c>
      <c r="G26" s="138">
        <f>13000*6*0.1</f>
        <v>7800</v>
      </c>
      <c r="H26" s="138"/>
      <c r="J26" s="138"/>
      <c r="K26" s="138"/>
      <c r="L26" s="138"/>
      <c r="M26" s="138"/>
      <c r="N26" s="154"/>
      <c r="O26" s="138"/>
      <c r="P26" s="138"/>
      <c r="Q26" s="138"/>
      <c r="R26" s="138"/>
      <c r="S26" s="138"/>
      <c r="T26" s="138"/>
      <c r="U26" s="6"/>
      <c r="AC26" s="117">
        <f t="shared" si="4"/>
        <v>0</v>
      </c>
      <c r="AD26" s="117">
        <f t="shared" si="5"/>
        <v>0</v>
      </c>
      <c r="AE26" s="117">
        <f t="shared" si="11"/>
        <v>0</v>
      </c>
      <c r="AF26" s="117">
        <f t="shared" si="1"/>
        <v>7800</v>
      </c>
      <c r="AH26" s="117">
        <f t="shared" si="6"/>
        <v>7800</v>
      </c>
      <c r="AI26" s="117">
        <f t="shared" si="9"/>
        <v>0</v>
      </c>
      <c r="AK26" s="124">
        <v>888569</v>
      </c>
      <c r="AL26" s="124">
        <f t="shared" si="10"/>
        <v>6930838200</v>
      </c>
    </row>
    <row r="27" spans="1:38" ht="16.5" thickBot="1">
      <c r="A27" s="5"/>
      <c r="B27" s="5"/>
      <c r="C27" s="7" t="s">
        <v>268</v>
      </c>
      <c r="D27" s="8"/>
      <c r="E27" s="8"/>
      <c r="F27" s="118"/>
      <c r="G27" s="138"/>
      <c r="H27" s="138"/>
      <c r="J27" s="138"/>
      <c r="K27" s="138"/>
      <c r="L27" s="138"/>
      <c r="M27" s="138"/>
      <c r="N27" s="154"/>
      <c r="O27" s="138"/>
      <c r="P27" s="138"/>
      <c r="Q27" s="138"/>
      <c r="R27" s="138"/>
      <c r="S27" s="138"/>
      <c r="T27" s="138"/>
      <c r="U27" s="6"/>
      <c r="AC27" s="117">
        <f t="shared" si="4"/>
        <v>0</v>
      </c>
      <c r="AD27" s="117">
        <f t="shared" si="5"/>
        <v>0</v>
      </c>
      <c r="AE27" s="117">
        <f t="shared" si="11"/>
        <v>0</v>
      </c>
      <c r="AF27" s="117">
        <f t="shared" si="1"/>
        <v>0</v>
      </c>
      <c r="AH27" s="117">
        <f t="shared" si="6"/>
        <v>0</v>
      </c>
      <c r="AI27" s="117">
        <f t="shared" si="9"/>
        <v>0</v>
      </c>
      <c r="AL27" s="124">
        <f t="shared" si="10"/>
        <v>0</v>
      </c>
    </row>
    <row r="28" spans="1:38">
      <c r="A28" s="5"/>
      <c r="B28" s="5"/>
      <c r="C28" s="18">
        <f>+C26+1</f>
        <v>16</v>
      </c>
      <c r="D28" s="20" t="s">
        <v>269</v>
      </c>
      <c r="E28" s="19" t="s">
        <v>20</v>
      </c>
      <c r="F28" s="12">
        <f>SUM(G28:T28)</f>
        <v>182.01</v>
      </c>
      <c r="G28" s="138">
        <f>186</f>
        <v>186</v>
      </c>
      <c r="H28" s="138"/>
      <c r="J28" s="138"/>
      <c r="K28" s="138"/>
      <c r="L28" s="138"/>
      <c r="M28" s="138">
        <v>-3.99</v>
      </c>
      <c r="N28" s="154"/>
      <c r="O28" s="138"/>
      <c r="P28" s="138"/>
      <c r="Q28" s="138"/>
      <c r="R28" s="138"/>
      <c r="S28" s="138"/>
      <c r="T28" s="138"/>
      <c r="U28" s="6"/>
      <c r="AC28" s="117">
        <f t="shared" si="4"/>
        <v>0</v>
      </c>
      <c r="AD28" s="117">
        <f t="shared" si="5"/>
        <v>0</v>
      </c>
      <c r="AE28" s="117">
        <f t="shared" si="11"/>
        <v>0</v>
      </c>
      <c r="AF28" s="117">
        <f t="shared" si="1"/>
        <v>182.01</v>
      </c>
      <c r="AH28" s="117">
        <f t="shared" si="6"/>
        <v>182.01</v>
      </c>
      <c r="AI28" s="117">
        <f t="shared" si="9"/>
        <v>0</v>
      </c>
      <c r="AK28" s="124">
        <v>45215</v>
      </c>
      <c r="AL28" s="124">
        <f t="shared" si="10"/>
        <v>8229582</v>
      </c>
    </row>
    <row r="29" spans="1:38">
      <c r="A29" s="5"/>
      <c r="B29" s="5"/>
      <c r="C29" s="15">
        <f>+C28+1</f>
        <v>17</v>
      </c>
      <c r="D29" s="132" t="s">
        <v>280</v>
      </c>
      <c r="E29" s="131" t="s">
        <v>20</v>
      </c>
      <c r="F29" s="115">
        <f>SUM(G29:T29)</f>
        <v>4330</v>
      </c>
      <c r="G29" s="138">
        <f>3200*1.4</f>
        <v>4480</v>
      </c>
      <c r="H29" s="138"/>
      <c r="J29" s="138"/>
      <c r="K29" s="138"/>
      <c r="L29" s="138"/>
      <c r="M29" s="138">
        <v>-150</v>
      </c>
      <c r="N29" s="154"/>
      <c r="O29" s="138"/>
      <c r="P29" s="138"/>
      <c r="Q29" s="138"/>
      <c r="R29" s="138"/>
      <c r="S29" s="138"/>
      <c r="T29" s="138"/>
      <c r="U29" s="6"/>
      <c r="AC29" s="117">
        <f t="shared" si="4"/>
        <v>0</v>
      </c>
      <c r="AD29" s="117">
        <f t="shared" si="5"/>
        <v>0</v>
      </c>
      <c r="AE29" s="117">
        <f t="shared" si="11"/>
        <v>0</v>
      </c>
      <c r="AF29" s="117">
        <f t="shared" si="1"/>
        <v>4330</v>
      </c>
      <c r="AH29" s="117">
        <f t="shared" si="6"/>
        <v>4330</v>
      </c>
      <c r="AI29" s="117">
        <f t="shared" si="9"/>
        <v>0</v>
      </c>
      <c r="AK29" s="124">
        <v>90662</v>
      </c>
      <c r="AL29" s="124">
        <f t="shared" si="10"/>
        <v>392566460</v>
      </c>
    </row>
    <row r="30" spans="1:38">
      <c r="A30" s="5"/>
      <c r="B30" s="5"/>
      <c r="C30" s="15">
        <f>+C29+1</f>
        <v>18</v>
      </c>
      <c r="D30" s="132" t="s">
        <v>271</v>
      </c>
      <c r="E30" s="131" t="s">
        <v>20</v>
      </c>
      <c r="F30" s="115">
        <f>SUM(G30:T30)</f>
        <v>255.33</v>
      </c>
      <c r="G30" s="138">
        <f>146-6.7</f>
        <v>139.30000000000001</v>
      </c>
      <c r="H30" s="138">
        <v>10</v>
      </c>
      <c r="I30" s="4">
        <v>10</v>
      </c>
      <c r="J30" s="138">
        <v>10</v>
      </c>
      <c r="K30" s="138">
        <v>10</v>
      </c>
      <c r="L30" s="138"/>
      <c r="M30" s="138">
        <v>-11.97</v>
      </c>
      <c r="N30" s="154"/>
      <c r="O30" s="138">
        <v>14</v>
      </c>
      <c r="P30" s="138">
        <v>18</v>
      </c>
      <c r="Q30" s="138">
        <v>14</v>
      </c>
      <c r="R30" s="138">
        <v>14</v>
      </c>
      <c r="S30" s="138">
        <v>14</v>
      </c>
      <c r="T30" s="138">
        <v>14</v>
      </c>
      <c r="U30" s="6"/>
      <c r="AC30" s="117">
        <v>86</v>
      </c>
      <c r="AD30" s="117">
        <f t="shared" si="5"/>
        <v>0</v>
      </c>
      <c r="AE30" s="117">
        <f t="shared" si="11"/>
        <v>40</v>
      </c>
      <c r="AF30" s="117">
        <f t="shared" si="1"/>
        <v>129.33000000000001</v>
      </c>
      <c r="AH30" s="117">
        <f t="shared" si="6"/>
        <v>255.33</v>
      </c>
      <c r="AI30" s="117">
        <f t="shared" si="9"/>
        <v>0</v>
      </c>
      <c r="AK30" s="124">
        <v>198849</v>
      </c>
      <c r="AL30" s="124">
        <f t="shared" si="10"/>
        <v>50772115</v>
      </c>
    </row>
    <row r="31" spans="1:38" ht="15.75" thickBot="1">
      <c r="A31" s="5"/>
      <c r="B31" s="5"/>
      <c r="C31" s="15">
        <f>+C30+1</f>
        <v>19</v>
      </c>
      <c r="D31" s="20" t="s">
        <v>272</v>
      </c>
      <c r="E31" s="19" t="s">
        <v>20</v>
      </c>
      <c r="F31" s="12">
        <f>SUM(G31:T31)</f>
        <v>182.09100000000001</v>
      </c>
      <c r="G31" s="138">
        <v>186</v>
      </c>
      <c r="H31" s="138"/>
      <c r="J31" s="138"/>
      <c r="K31" s="138"/>
      <c r="L31" s="138"/>
      <c r="M31" s="138">
        <v>-3.9089999999999998</v>
      </c>
      <c r="N31" s="154"/>
      <c r="O31" s="138"/>
      <c r="P31" s="138"/>
      <c r="Q31" s="138"/>
      <c r="R31" s="138"/>
      <c r="S31" s="138"/>
      <c r="U31" s="6"/>
      <c r="AC31" s="117">
        <f t="shared" si="4"/>
        <v>0</v>
      </c>
      <c r="AD31" s="117">
        <f t="shared" si="5"/>
        <v>0</v>
      </c>
      <c r="AE31" s="117">
        <f t="shared" si="11"/>
        <v>0</v>
      </c>
      <c r="AF31" s="117">
        <f t="shared" si="1"/>
        <v>182.09100000000001</v>
      </c>
      <c r="AH31" s="117">
        <f t="shared" si="6"/>
        <v>182.09100000000001</v>
      </c>
      <c r="AI31" s="117">
        <f t="shared" si="9"/>
        <v>0</v>
      </c>
      <c r="AK31" s="124">
        <v>1661</v>
      </c>
      <c r="AL31" s="124">
        <f t="shared" si="10"/>
        <v>302453</v>
      </c>
    </row>
    <row r="32" spans="1:38" ht="16.5" thickBot="1">
      <c r="A32" s="5"/>
      <c r="B32" s="5"/>
      <c r="C32" s="7" t="s">
        <v>22</v>
      </c>
      <c r="D32" s="8"/>
      <c r="E32" s="8"/>
      <c r="F32" s="118"/>
      <c r="G32" s="139"/>
      <c r="H32" s="141" t="s">
        <v>263</v>
      </c>
      <c r="I32" s="141" t="s">
        <v>266</v>
      </c>
      <c r="J32" s="144" t="s">
        <v>265</v>
      </c>
      <c r="K32" s="141" t="s">
        <v>264</v>
      </c>
      <c r="L32" s="139"/>
      <c r="M32" s="139"/>
      <c r="N32" s="155"/>
      <c r="O32" s="139"/>
      <c r="P32" s="139"/>
      <c r="Q32" s="139"/>
      <c r="R32" s="139"/>
      <c r="S32" s="139"/>
      <c r="U32" s="6"/>
      <c r="AC32" s="117">
        <f t="shared" si="4"/>
        <v>0</v>
      </c>
      <c r="AD32" s="117">
        <f t="shared" si="5"/>
        <v>0</v>
      </c>
      <c r="AE32" s="117"/>
      <c r="AF32" s="117">
        <f t="shared" si="1"/>
        <v>0</v>
      </c>
      <c r="AH32" s="117">
        <f t="shared" si="6"/>
        <v>0</v>
      </c>
      <c r="AI32" s="117">
        <f t="shared" si="9"/>
        <v>0</v>
      </c>
      <c r="AL32" s="124">
        <f t="shared" si="10"/>
        <v>0</v>
      </c>
    </row>
    <row r="33" spans="1:38">
      <c r="A33" s="5"/>
      <c r="B33" s="5"/>
      <c r="C33" s="15">
        <f>+C31+1</f>
        <v>20</v>
      </c>
      <c r="D33" s="11" t="s">
        <v>292</v>
      </c>
      <c r="E33" s="10" t="s">
        <v>12</v>
      </c>
      <c r="F33" s="12">
        <f t="shared" ref="F33:F39" si="13">SUM(G33:T33)</f>
        <v>1094</v>
      </c>
      <c r="G33" s="146">
        <f>107*5.8-5.8*3</f>
        <v>603.20000000000005</v>
      </c>
      <c r="H33" s="142">
        <f>13.6</f>
        <v>13.6</v>
      </c>
      <c r="I33" s="142">
        <f>17.2+5.8</f>
        <v>23</v>
      </c>
      <c r="J33" s="142">
        <f>13.6+5.8</f>
        <v>19.399999999999999</v>
      </c>
      <c r="K33" s="142">
        <f>49+5.8</f>
        <v>54.8</v>
      </c>
      <c r="L33" s="138">
        <f>10+15+12+25+24</f>
        <v>86</v>
      </c>
      <c r="M33" s="138"/>
      <c r="N33" s="154">
        <v>22.2</v>
      </c>
      <c r="O33" s="450">
        <v>47.6</v>
      </c>
      <c r="P33" s="450">
        <v>61.1</v>
      </c>
      <c r="Q33" s="450">
        <v>40.799999999999997</v>
      </c>
      <c r="R33" s="450">
        <v>27.1</v>
      </c>
      <c r="S33" s="450">
        <v>47.6</v>
      </c>
      <c r="T33" s="450">
        <f>26+21.6</f>
        <v>47.6</v>
      </c>
      <c r="U33" s="6"/>
      <c r="X33" s="117"/>
      <c r="AC33" s="117">
        <f>+O33+P33+Q33+R33+S33+T33</f>
        <v>271.8</v>
      </c>
      <c r="AD33" s="117">
        <f t="shared" si="5"/>
        <v>22.2</v>
      </c>
      <c r="AE33" s="117">
        <f t="shared" ref="AE33:AE54" si="14">+H33+I33+J33+K33</f>
        <v>110.8</v>
      </c>
      <c r="AF33" s="117">
        <f t="shared" si="1"/>
        <v>689.2</v>
      </c>
      <c r="AH33" s="117">
        <f t="shared" si="6"/>
        <v>1094</v>
      </c>
      <c r="AI33" s="117">
        <f t="shared" si="9"/>
        <v>0</v>
      </c>
      <c r="AK33" s="124">
        <v>927131</v>
      </c>
      <c r="AL33" s="124">
        <f t="shared" si="10"/>
        <v>1014281314</v>
      </c>
    </row>
    <row r="34" spans="1:38">
      <c r="A34" s="5"/>
      <c r="B34" s="5"/>
      <c r="C34" s="15">
        <f>+C33+1</f>
        <v>21</v>
      </c>
      <c r="D34" s="11" t="s">
        <v>293</v>
      </c>
      <c r="E34" s="10" t="s">
        <v>12</v>
      </c>
      <c r="F34" s="12">
        <f t="shared" si="13"/>
        <v>161</v>
      </c>
      <c r="G34" s="138"/>
      <c r="H34" s="142"/>
      <c r="I34" s="142"/>
      <c r="J34" s="142"/>
      <c r="K34" s="142"/>
      <c r="L34" s="138"/>
      <c r="M34" s="138"/>
      <c r="N34" s="154">
        <v>161</v>
      </c>
      <c r="O34" s="138"/>
      <c r="P34" s="138"/>
      <c r="Q34" s="138"/>
      <c r="R34" s="138"/>
      <c r="S34" s="138"/>
      <c r="T34" s="138"/>
      <c r="U34" s="6"/>
      <c r="X34" s="117"/>
      <c r="AC34" s="117">
        <f t="shared" si="4"/>
        <v>0</v>
      </c>
      <c r="AD34" s="117">
        <f t="shared" si="5"/>
        <v>161</v>
      </c>
      <c r="AE34" s="117">
        <f t="shared" si="14"/>
        <v>0</v>
      </c>
      <c r="AF34" s="117">
        <f t="shared" si="1"/>
        <v>0</v>
      </c>
      <c r="AH34" s="117">
        <f t="shared" si="6"/>
        <v>161</v>
      </c>
      <c r="AI34" s="117">
        <f t="shared" si="9"/>
        <v>0</v>
      </c>
      <c r="AK34" s="124">
        <v>1016939</v>
      </c>
      <c r="AL34" s="124">
        <f t="shared" si="10"/>
        <v>163727179</v>
      </c>
    </row>
    <row r="35" spans="1:38">
      <c r="A35" s="5"/>
      <c r="B35" s="5"/>
      <c r="C35" s="15">
        <f t="shared" ref="C35:C38" si="15">+C34+1</f>
        <v>22</v>
      </c>
      <c r="D35" s="113" t="s">
        <v>305</v>
      </c>
      <c r="E35" s="112" t="s">
        <v>12</v>
      </c>
      <c r="F35" s="12">
        <f t="shared" si="13"/>
        <v>5</v>
      </c>
      <c r="G35" s="138"/>
      <c r="H35" s="142"/>
      <c r="I35" s="142"/>
      <c r="J35" s="142"/>
      <c r="K35" s="142"/>
      <c r="L35" s="138"/>
      <c r="M35" s="138"/>
      <c r="N35" s="154">
        <v>5</v>
      </c>
      <c r="O35" s="138"/>
      <c r="P35" s="138"/>
      <c r="Q35" s="138"/>
      <c r="R35" s="138"/>
      <c r="S35" s="138"/>
      <c r="T35" s="138"/>
      <c r="U35" s="6"/>
      <c r="X35" s="117"/>
      <c r="AC35" s="117">
        <f>+O35+P35+Q35+R35+S35+T35</f>
        <v>0</v>
      </c>
      <c r="AD35" s="117">
        <f>+N35</f>
        <v>5</v>
      </c>
      <c r="AE35" s="117">
        <f t="shared" si="14"/>
        <v>0</v>
      </c>
      <c r="AF35" s="117">
        <f t="shared" si="1"/>
        <v>0</v>
      </c>
      <c r="AH35" s="117">
        <f>+AF35+AE35+AD35+AC35</f>
        <v>5</v>
      </c>
      <c r="AI35" s="117">
        <f t="shared" si="9"/>
        <v>0</v>
      </c>
      <c r="AK35" s="124">
        <v>519048</v>
      </c>
      <c r="AL35" s="124">
        <f t="shared" si="10"/>
        <v>2595240</v>
      </c>
    </row>
    <row r="36" spans="1:38">
      <c r="A36" s="5"/>
      <c r="B36" s="5"/>
      <c r="C36" s="15">
        <f t="shared" si="15"/>
        <v>23</v>
      </c>
      <c r="D36" s="113" t="s">
        <v>306</v>
      </c>
      <c r="E36" s="112" t="s">
        <v>25</v>
      </c>
      <c r="F36" s="12">
        <f t="shared" si="13"/>
        <v>2173.5</v>
      </c>
      <c r="G36" s="138"/>
      <c r="H36" s="142"/>
      <c r="I36" s="142"/>
      <c r="J36" s="142"/>
      <c r="K36" s="142"/>
      <c r="L36" s="138"/>
      <c r="M36" s="138"/>
      <c r="N36" s="154">
        <f>+N34*9*50*0.03</f>
        <v>2173.5</v>
      </c>
      <c r="O36" s="138"/>
      <c r="P36" s="138"/>
      <c r="Q36" s="138"/>
      <c r="R36" s="138"/>
      <c r="S36" s="138"/>
      <c r="T36" s="138"/>
      <c r="U36" s="6"/>
      <c r="X36" s="117"/>
      <c r="AC36" s="117">
        <f t="shared" si="4"/>
        <v>0</v>
      </c>
      <c r="AD36" s="117">
        <f t="shared" si="5"/>
        <v>2173.5</v>
      </c>
      <c r="AE36" s="117">
        <f t="shared" si="14"/>
        <v>0</v>
      </c>
      <c r="AF36" s="117">
        <f t="shared" si="1"/>
        <v>0</v>
      </c>
      <c r="AH36" s="117">
        <f t="shared" si="6"/>
        <v>2173.5</v>
      </c>
      <c r="AI36" s="117">
        <f t="shared" si="9"/>
        <v>0</v>
      </c>
      <c r="AK36" s="124">
        <v>16591</v>
      </c>
      <c r="AL36" s="124">
        <f t="shared" si="10"/>
        <v>36060539</v>
      </c>
    </row>
    <row r="37" spans="1:38">
      <c r="A37" s="5"/>
      <c r="B37" s="5"/>
      <c r="C37" s="15">
        <f t="shared" si="15"/>
        <v>24</v>
      </c>
      <c r="D37" s="113" t="s">
        <v>307</v>
      </c>
      <c r="E37" s="112" t="s">
        <v>25</v>
      </c>
      <c r="F37" s="12">
        <f t="shared" si="13"/>
        <v>362.25</v>
      </c>
      <c r="G37" s="138"/>
      <c r="H37" s="142"/>
      <c r="I37" s="142"/>
      <c r="J37" s="142"/>
      <c r="K37" s="142"/>
      <c r="L37" s="138"/>
      <c r="M37" s="138"/>
      <c r="N37" s="154">
        <f>+N34*9*0.25</f>
        <v>362.25</v>
      </c>
      <c r="O37" s="138"/>
      <c r="P37" s="138"/>
      <c r="Q37" s="138"/>
      <c r="R37" s="138"/>
      <c r="S37" s="138"/>
      <c r="T37" s="138"/>
      <c r="U37" s="6"/>
      <c r="X37" s="117"/>
      <c r="AC37" s="117">
        <f t="shared" si="4"/>
        <v>0</v>
      </c>
      <c r="AD37" s="117">
        <f t="shared" si="5"/>
        <v>362.25</v>
      </c>
      <c r="AE37" s="117">
        <f t="shared" si="14"/>
        <v>0</v>
      </c>
      <c r="AF37" s="117">
        <f t="shared" si="1"/>
        <v>0</v>
      </c>
      <c r="AH37" s="117">
        <f t="shared" si="6"/>
        <v>362.25</v>
      </c>
      <c r="AI37" s="117">
        <f t="shared" si="9"/>
        <v>0</v>
      </c>
      <c r="AK37" s="124">
        <v>10564</v>
      </c>
      <c r="AL37" s="124">
        <f t="shared" si="10"/>
        <v>3826809</v>
      </c>
    </row>
    <row r="38" spans="1:38">
      <c r="A38" s="5"/>
      <c r="B38" s="5"/>
      <c r="C38" s="15">
        <f t="shared" si="15"/>
        <v>25</v>
      </c>
      <c r="D38" s="113" t="s">
        <v>253</v>
      </c>
      <c r="E38" s="112" t="s">
        <v>221</v>
      </c>
      <c r="F38" s="115">
        <f t="shared" si="13"/>
        <v>217.6</v>
      </c>
      <c r="G38" s="138">
        <v>0</v>
      </c>
      <c r="H38" s="142">
        <f>7.6*3</f>
        <v>22.799999999999997</v>
      </c>
      <c r="I38" s="142">
        <f t="shared" ref="I38:I39" si="16">+K38*0.35</f>
        <v>0</v>
      </c>
      <c r="J38" s="142">
        <v>22.799999999999997</v>
      </c>
      <c r="K38" s="142">
        <v>0</v>
      </c>
      <c r="L38" s="138"/>
      <c r="M38" s="138"/>
      <c r="N38" s="154">
        <f>9*4+8*17</f>
        <v>172</v>
      </c>
      <c r="O38" s="138"/>
      <c r="P38" s="138"/>
      <c r="Q38" s="138"/>
      <c r="R38" s="138"/>
      <c r="S38" s="138"/>
      <c r="T38" s="138"/>
      <c r="U38" s="6"/>
      <c r="W38" s="4">
        <f>+W40-W39</f>
        <v>0.34557599999999999</v>
      </c>
      <c r="X38" s="117">
        <f>+X40-X39</f>
        <v>0.37699199999999988</v>
      </c>
      <c r="Y38" s="4">
        <f>+(W38+X38)/2*1</f>
        <v>0.36128399999999994</v>
      </c>
      <c r="AA38" s="4">
        <f>+Y38*N38</f>
        <v>62.140847999999991</v>
      </c>
      <c r="AB38" s="4">
        <f>+Y38*N38+AA40</f>
        <v>211.413972</v>
      </c>
      <c r="AC38" s="117">
        <f t="shared" si="4"/>
        <v>0</v>
      </c>
      <c r="AD38" s="117">
        <f t="shared" si="5"/>
        <v>172</v>
      </c>
      <c r="AE38" s="117">
        <f t="shared" si="14"/>
        <v>45.599999999999994</v>
      </c>
      <c r="AF38" s="117">
        <f t="shared" si="1"/>
        <v>0</v>
      </c>
      <c r="AH38" s="117">
        <f t="shared" si="6"/>
        <v>217.6</v>
      </c>
      <c r="AI38" s="117">
        <f t="shared" si="9"/>
        <v>0</v>
      </c>
      <c r="AK38" s="124">
        <v>738092</v>
      </c>
      <c r="AL38" s="124">
        <f t="shared" si="10"/>
        <v>160608819</v>
      </c>
    </row>
    <row r="39" spans="1:38">
      <c r="A39" s="5"/>
      <c r="B39" s="5"/>
      <c r="C39" s="15">
        <f t="shared" ref="C39:C54" si="17">+C38+1</f>
        <v>26</v>
      </c>
      <c r="D39" s="113" t="s">
        <v>303</v>
      </c>
      <c r="E39" s="112" t="s">
        <v>12</v>
      </c>
      <c r="F39" s="115">
        <f t="shared" si="13"/>
        <v>192.6083544</v>
      </c>
      <c r="G39" s="138">
        <v>0</v>
      </c>
      <c r="H39" s="142">
        <f>0.55*0.55*3.1416*7.6*3</f>
        <v>21.6676152</v>
      </c>
      <c r="I39" s="142">
        <f t="shared" si="16"/>
        <v>0</v>
      </c>
      <c r="J39" s="142">
        <v>21.6676152</v>
      </c>
      <c r="K39" s="142">
        <v>0</v>
      </c>
      <c r="L39" s="138"/>
      <c r="M39" s="138"/>
      <c r="N39" s="161">
        <f>+Y39*N38</f>
        <v>149.273124</v>
      </c>
      <c r="O39" s="203"/>
      <c r="P39" s="203"/>
      <c r="Q39" s="203"/>
      <c r="R39" s="203"/>
      <c r="S39" s="203"/>
      <c r="T39" s="138"/>
      <c r="U39" s="6"/>
      <c r="W39" s="4">
        <f>0.5*0.5*3.1416</f>
        <v>0.78539999999999999</v>
      </c>
      <c r="X39" s="117">
        <f>0.55*0.55*3.1416</f>
        <v>0.95033400000000012</v>
      </c>
      <c r="Y39" s="4">
        <f>+(W39+X39)/2*1</f>
        <v>0.86786700000000006</v>
      </c>
      <c r="AC39" s="117">
        <f t="shared" si="4"/>
        <v>0</v>
      </c>
      <c r="AD39" s="117">
        <f t="shared" si="5"/>
        <v>149.273124</v>
      </c>
      <c r="AE39" s="117">
        <f t="shared" si="14"/>
        <v>43.3352304</v>
      </c>
      <c r="AF39" s="117">
        <f t="shared" si="1"/>
        <v>0</v>
      </c>
      <c r="AH39" s="117">
        <f t="shared" si="6"/>
        <v>192.6083544</v>
      </c>
      <c r="AI39" s="117">
        <f t="shared" si="9"/>
        <v>0</v>
      </c>
      <c r="AK39" s="124">
        <v>824898</v>
      </c>
      <c r="AL39" s="124">
        <f t="shared" si="10"/>
        <v>158882246</v>
      </c>
    </row>
    <row r="40" spans="1:38">
      <c r="A40" s="5"/>
      <c r="B40" s="5"/>
      <c r="C40" s="15">
        <f t="shared" si="17"/>
        <v>27</v>
      </c>
      <c r="D40" s="113" t="s">
        <v>260</v>
      </c>
      <c r="E40" s="112" t="s">
        <v>221</v>
      </c>
      <c r="F40" s="115">
        <f t="shared" ref="F40:F45" si="18">SUM(H40:T40)</f>
        <v>85</v>
      </c>
      <c r="H40" s="142"/>
      <c r="I40" s="142">
        <f>5*5</f>
        <v>25</v>
      </c>
      <c r="J40" s="145"/>
      <c r="K40" s="142">
        <f>3*5*4</f>
        <v>60</v>
      </c>
      <c r="L40" s="138"/>
      <c r="M40" s="138"/>
      <c r="N40" s="154"/>
      <c r="O40" s="138"/>
      <c r="P40" s="138"/>
      <c r="Q40" s="138"/>
      <c r="R40" s="138"/>
      <c r="S40" s="138"/>
      <c r="T40" s="138"/>
      <c r="U40" s="6"/>
      <c r="W40" s="4">
        <f>0.6*0.6*3.1416</f>
        <v>1.130976</v>
      </c>
      <c r="X40" s="117">
        <f>0.65*0.65*3.1416</f>
        <v>1.327326</v>
      </c>
      <c r="Y40" s="4">
        <f>+(W40+X40)/2*1</f>
        <v>1.2291509999999999</v>
      </c>
      <c r="AA40" s="4">
        <f>+Y39*N38</f>
        <v>149.273124</v>
      </c>
      <c r="AC40" s="117">
        <f t="shared" si="4"/>
        <v>0</v>
      </c>
      <c r="AD40" s="117">
        <f t="shared" si="5"/>
        <v>0</v>
      </c>
      <c r="AE40" s="117">
        <f t="shared" si="14"/>
        <v>85</v>
      </c>
      <c r="AF40" s="117">
        <f t="shared" si="1"/>
        <v>0</v>
      </c>
      <c r="AH40" s="117">
        <f t="shared" si="6"/>
        <v>85</v>
      </c>
      <c r="AI40" s="117">
        <f t="shared" si="9"/>
        <v>0</v>
      </c>
      <c r="AK40" s="124">
        <v>332804</v>
      </c>
      <c r="AL40" s="124">
        <f t="shared" si="10"/>
        <v>28288340</v>
      </c>
    </row>
    <row r="41" spans="1:38">
      <c r="A41" s="5"/>
      <c r="B41" s="5"/>
      <c r="C41" s="15">
        <f t="shared" si="17"/>
        <v>28</v>
      </c>
      <c r="D41" s="113" t="s">
        <v>355</v>
      </c>
      <c r="E41" s="112" t="s">
        <v>221</v>
      </c>
      <c r="F41" s="115">
        <f t="shared" si="18"/>
        <v>1294.5</v>
      </c>
      <c r="H41" s="142"/>
      <c r="I41" s="142"/>
      <c r="J41" s="145"/>
      <c r="K41" s="142"/>
      <c r="L41" s="138"/>
      <c r="M41" s="138"/>
      <c r="N41" s="154"/>
      <c r="O41" s="450">
        <v>226</v>
      </c>
      <c r="P41" s="450">
        <v>291</v>
      </c>
      <c r="Q41" s="450">
        <v>194</v>
      </c>
      <c r="R41" s="450">
        <v>129.5</v>
      </c>
      <c r="S41" s="450">
        <v>227</v>
      </c>
      <c r="T41" s="450">
        <v>227</v>
      </c>
      <c r="U41" s="6"/>
      <c r="X41" s="117"/>
      <c r="AC41" s="117">
        <f>+O41+P41+Q41+R41+S41+T41</f>
        <v>1294.5</v>
      </c>
      <c r="AD41" s="117">
        <f t="shared" si="5"/>
        <v>0</v>
      </c>
      <c r="AE41" s="117">
        <f t="shared" si="14"/>
        <v>0</v>
      </c>
      <c r="AF41" s="117">
        <f t="shared" si="1"/>
        <v>0</v>
      </c>
      <c r="AH41" s="117">
        <f t="shared" si="6"/>
        <v>1294.5</v>
      </c>
      <c r="AI41" s="117">
        <f t="shared" si="9"/>
        <v>0</v>
      </c>
      <c r="AK41" s="124">
        <v>301228</v>
      </c>
      <c r="AL41" s="124">
        <f t="shared" si="10"/>
        <v>389939646</v>
      </c>
    </row>
    <row r="42" spans="1:38">
      <c r="A42" s="5"/>
      <c r="B42" s="5"/>
      <c r="C42" s="15">
        <f t="shared" si="17"/>
        <v>29</v>
      </c>
      <c r="D42" s="113" t="s">
        <v>261</v>
      </c>
      <c r="E42" s="112" t="s">
        <v>221</v>
      </c>
      <c r="F42" s="115">
        <f t="shared" si="18"/>
        <v>464</v>
      </c>
      <c r="H42" s="142"/>
      <c r="I42" s="142">
        <f>+(12+10+7)*4</f>
        <v>116</v>
      </c>
      <c r="J42" s="145"/>
      <c r="K42" s="142">
        <f>+(12+10+7)*3*4</f>
        <v>348</v>
      </c>
      <c r="L42" s="138"/>
      <c r="M42" s="138"/>
      <c r="N42" s="154"/>
      <c r="O42" s="138"/>
      <c r="P42" s="138"/>
      <c r="Q42" s="138"/>
      <c r="R42" s="138"/>
      <c r="S42" s="138"/>
      <c r="T42" s="138"/>
      <c r="U42" s="6"/>
      <c r="X42" s="117"/>
      <c r="AC42" s="117">
        <f t="shared" si="4"/>
        <v>0</v>
      </c>
      <c r="AD42" s="117">
        <f t="shared" si="5"/>
        <v>0</v>
      </c>
      <c r="AE42" s="117">
        <f t="shared" si="14"/>
        <v>464</v>
      </c>
      <c r="AF42" s="117">
        <f t="shared" ref="AF42:AF67" si="19">+F42-AC42-AD42-AE42</f>
        <v>0</v>
      </c>
      <c r="AH42" s="117">
        <f t="shared" si="6"/>
        <v>464</v>
      </c>
      <c r="AI42" s="117">
        <f t="shared" si="9"/>
        <v>0</v>
      </c>
      <c r="AK42" s="124">
        <v>166942</v>
      </c>
      <c r="AL42" s="124">
        <f t="shared" si="10"/>
        <v>77461088</v>
      </c>
    </row>
    <row r="43" spans="1:38">
      <c r="A43" s="5"/>
      <c r="B43" s="5"/>
      <c r="C43" s="15">
        <f t="shared" si="17"/>
        <v>30</v>
      </c>
      <c r="D43" s="113" t="s">
        <v>311</v>
      </c>
      <c r="E43" s="112" t="s">
        <v>221</v>
      </c>
      <c r="F43" s="115">
        <f t="shared" si="18"/>
        <v>459</v>
      </c>
      <c r="H43" s="142"/>
      <c r="I43" s="142"/>
      <c r="J43" s="145"/>
      <c r="K43" s="142"/>
      <c r="L43" s="138"/>
      <c r="M43" s="138"/>
      <c r="N43" s="154">
        <v>459</v>
      </c>
      <c r="O43" s="138"/>
      <c r="P43" s="138"/>
      <c r="Q43" s="138"/>
      <c r="R43" s="138"/>
      <c r="S43" s="138"/>
      <c r="T43" s="138"/>
      <c r="U43" s="6"/>
      <c r="X43" s="117"/>
      <c r="AC43" s="117">
        <f t="shared" si="4"/>
        <v>0</v>
      </c>
      <c r="AD43" s="117">
        <f t="shared" si="5"/>
        <v>459</v>
      </c>
      <c r="AE43" s="117">
        <f t="shared" si="14"/>
        <v>0</v>
      </c>
      <c r="AF43" s="117">
        <f t="shared" si="19"/>
        <v>0</v>
      </c>
      <c r="AH43" s="117">
        <f t="shared" si="6"/>
        <v>459</v>
      </c>
      <c r="AI43" s="117">
        <f t="shared" si="9"/>
        <v>0</v>
      </c>
      <c r="AK43" s="124">
        <v>494807</v>
      </c>
      <c r="AL43" s="124">
        <f t="shared" si="10"/>
        <v>227116413</v>
      </c>
    </row>
    <row r="44" spans="1:38">
      <c r="A44" s="5"/>
      <c r="B44" s="5"/>
      <c r="C44" s="15">
        <f t="shared" si="17"/>
        <v>31</v>
      </c>
      <c r="D44" s="113" t="s">
        <v>312</v>
      </c>
      <c r="E44" s="112" t="s">
        <v>221</v>
      </c>
      <c r="F44" s="115">
        <f t="shared" si="18"/>
        <v>112</v>
      </c>
      <c r="H44" s="142"/>
      <c r="I44" s="142"/>
      <c r="J44" s="145"/>
      <c r="K44" s="142"/>
      <c r="L44" s="138"/>
      <c r="M44" s="138"/>
      <c r="N44" s="154">
        <v>112</v>
      </c>
      <c r="O44" s="138"/>
      <c r="P44" s="138"/>
      <c r="Q44" s="138"/>
      <c r="R44" s="138"/>
      <c r="S44" s="138"/>
      <c r="T44" s="138"/>
      <c r="U44" s="6"/>
      <c r="X44" s="117"/>
      <c r="AC44" s="117">
        <f t="shared" si="4"/>
        <v>0</v>
      </c>
      <c r="AD44" s="117">
        <f t="shared" si="5"/>
        <v>112</v>
      </c>
      <c r="AE44" s="117">
        <f t="shared" si="14"/>
        <v>0</v>
      </c>
      <c r="AF44" s="117">
        <f t="shared" si="19"/>
        <v>0</v>
      </c>
      <c r="AH44" s="117">
        <f t="shared" si="6"/>
        <v>112</v>
      </c>
      <c r="AI44" s="117">
        <f t="shared" si="9"/>
        <v>0</v>
      </c>
      <c r="AK44" s="124">
        <v>538595</v>
      </c>
      <c r="AL44" s="124">
        <f t="shared" si="10"/>
        <v>60322640</v>
      </c>
    </row>
    <row r="45" spans="1:38">
      <c r="A45" s="5"/>
      <c r="B45" s="5"/>
      <c r="C45" s="15">
        <f t="shared" si="17"/>
        <v>32</v>
      </c>
      <c r="D45" s="113" t="s">
        <v>313</v>
      </c>
      <c r="E45" s="112" t="s">
        <v>12</v>
      </c>
      <c r="F45" s="115">
        <f t="shared" si="18"/>
        <v>3</v>
      </c>
      <c r="H45" s="142"/>
      <c r="I45" s="142"/>
      <c r="J45" s="145"/>
      <c r="K45" s="142"/>
      <c r="L45" s="138"/>
      <c r="M45" s="138"/>
      <c r="N45" s="154">
        <v>3</v>
      </c>
      <c r="O45" s="138"/>
      <c r="P45" s="138"/>
      <c r="Q45" s="138"/>
      <c r="R45" s="138"/>
      <c r="S45" s="138"/>
      <c r="T45" s="138"/>
      <c r="U45" s="6"/>
      <c r="X45" s="117"/>
      <c r="AC45" s="117">
        <f t="shared" si="4"/>
        <v>0</v>
      </c>
      <c r="AD45" s="117">
        <f t="shared" si="5"/>
        <v>3</v>
      </c>
      <c r="AE45" s="117">
        <f t="shared" si="14"/>
        <v>0</v>
      </c>
      <c r="AF45" s="117">
        <f t="shared" si="19"/>
        <v>0</v>
      </c>
      <c r="AH45" s="117">
        <f t="shared" si="6"/>
        <v>3</v>
      </c>
      <c r="AI45" s="117">
        <f t="shared" si="9"/>
        <v>0</v>
      </c>
      <c r="AK45" s="124">
        <v>877698</v>
      </c>
      <c r="AL45" s="124">
        <f t="shared" si="10"/>
        <v>2633094</v>
      </c>
    </row>
    <row r="46" spans="1:38">
      <c r="A46" s="5"/>
      <c r="B46" s="5"/>
      <c r="C46" s="15">
        <f t="shared" si="17"/>
        <v>33</v>
      </c>
      <c r="D46" s="11" t="s">
        <v>24</v>
      </c>
      <c r="E46" s="10" t="s">
        <v>25</v>
      </c>
      <c r="F46" s="12">
        <f t="shared" ref="F46:F54" si="20">SUM(G46:T46)</f>
        <v>126493.26000000001</v>
      </c>
      <c r="G46" s="146">
        <f>5.8*70*107-3*5.8*70</f>
        <v>42224</v>
      </c>
      <c r="H46" s="142">
        <f>1942+1662</f>
        <v>3604</v>
      </c>
      <c r="I46" s="142">
        <f>1060+5.8*70</f>
        <v>1466</v>
      </c>
      <c r="J46" s="142">
        <f>3604+5.8*70</f>
        <v>4010</v>
      </c>
      <c r="K46" s="142">
        <f>3022+5.8*70</f>
        <v>3428</v>
      </c>
      <c r="L46" s="146">
        <f>+L33*70</f>
        <v>6020</v>
      </c>
      <c r="M46" s="146">
        <v>93.26</v>
      </c>
      <c r="N46" s="154">
        <v>24014</v>
      </c>
      <c r="O46" s="450">
        <v>7282</v>
      </c>
      <c r="P46" s="450">
        <v>9350</v>
      </c>
      <c r="Q46" s="450">
        <v>6249</v>
      </c>
      <c r="R46" s="450">
        <v>4185</v>
      </c>
      <c r="S46" s="450">
        <v>7282</v>
      </c>
      <c r="T46" s="450">
        <v>7286</v>
      </c>
      <c r="U46" s="6"/>
      <c r="W46" s="4">
        <f>(30*1.55*(6.8+3))*4</f>
        <v>1822.8000000000002</v>
      </c>
      <c r="X46" s="4">
        <f>2*3.1416*0.5*61*4</f>
        <v>766.55039999999997</v>
      </c>
      <c r="Y46" s="4">
        <f>+X46+W46</f>
        <v>2589.3504000000003</v>
      </c>
      <c r="AC46" s="117">
        <f>+O46+P46+Q46+R46+S46+T46</f>
        <v>41634</v>
      </c>
      <c r="AD46" s="117">
        <f t="shared" si="5"/>
        <v>24014</v>
      </c>
      <c r="AE46" s="117">
        <f t="shared" si="14"/>
        <v>12508</v>
      </c>
      <c r="AF46" s="117">
        <f t="shared" si="19"/>
        <v>48337.260000000009</v>
      </c>
      <c r="AH46" s="117">
        <f t="shared" si="6"/>
        <v>126493.26000000001</v>
      </c>
      <c r="AI46" s="117">
        <f t="shared" si="9"/>
        <v>0</v>
      </c>
      <c r="AK46" s="124">
        <v>4564</v>
      </c>
      <c r="AL46" s="124">
        <f t="shared" si="10"/>
        <v>577315239</v>
      </c>
    </row>
    <row r="47" spans="1:38">
      <c r="A47" s="5"/>
      <c r="B47" s="5"/>
      <c r="C47" s="15">
        <f t="shared" si="17"/>
        <v>34</v>
      </c>
      <c r="D47" s="113" t="s">
        <v>262</v>
      </c>
      <c r="E47" s="112" t="s">
        <v>20</v>
      </c>
      <c r="F47" s="12">
        <f t="shared" si="20"/>
        <v>188.15</v>
      </c>
      <c r="G47" s="138"/>
      <c r="H47" s="138"/>
      <c r="I47" s="142">
        <f>3.55*6.5*2</f>
        <v>46.15</v>
      </c>
      <c r="J47" s="138"/>
      <c r="K47" s="142">
        <f>3.55*5*2*4</f>
        <v>142</v>
      </c>
      <c r="L47" s="138"/>
      <c r="M47" s="138"/>
      <c r="N47" s="154"/>
      <c r="O47" s="138"/>
      <c r="P47" s="138"/>
      <c r="Q47" s="138"/>
      <c r="R47" s="138"/>
      <c r="S47" s="138"/>
      <c r="T47" s="138"/>
      <c r="U47" s="6"/>
      <c r="AC47" s="117">
        <f t="shared" si="4"/>
        <v>0</v>
      </c>
      <c r="AD47" s="117">
        <f t="shared" si="5"/>
        <v>0</v>
      </c>
      <c r="AE47" s="117">
        <f t="shared" si="14"/>
        <v>188.15</v>
      </c>
      <c r="AF47" s="117">
        <f t="shared" si="19"/>
        <v>0</v>
      </c>
      <c r="AH47" s="117">
        <f t="shared" si="6"/>
        <v>188.15</v>
      </c>
      <c r="AI47" s="117">
        <f t="shared" si="9"/>
        <v>0</v>
      </c>
      <c r="AK47" s="124">
        <v>7623</v>
      </c>
      <c r="AL47" s="124">
        <f t="shared" si="10"/>
        <v>1434267</v>
      </c>
    </row>
    <row r="48" spans="1:38">
      <c r="A48" s="5"/>
      <c r="B48" s="5"/>
      <c r="C48" s="15">
        <f t="shared" si="17"/>
        <v>35</v>
      </c>
      <c r="D48" s="11" t="s">
        <v>254</v>
      </c>
      <c r="E48" s="10" t="s">
        <v>27</v>
      </c>
      <c r="F48" s="12">
        <f t="shared" si="20"/>
        <v>863</v>
      </c>
      <c r="G48" s="146">
        <f>107*8-49</f>
        <v>807</v>
      </c>
      <c r="H48" s="138"/>
      <c r="I48" s="142">
        <f>+I13</f>
        <v>12</v>
      </c>
      <c r="J48" s="142">
        <f t="shared" ref="J48:K48" si="21">+J13</f>
        <v>14</v>
      </c>
      <c r="K48" s="142">
        <f t="shared" si="21"/>
        <v>23</v>
      </c>
      <c r="L48" s="138"/>
      <c r="M48" s="138">
        <v>7</v>
      </c>
      <c r="N48" s="154"/>
      <c r="O48" s="138"/>
      <c r="P48" s="138"/>
      <c r="Q48" s="138"/>
      <c r="R48" s="138"/>
      <c r="S48" s="138"/>
      <c r="T48" s="138"/>
      <c r="U48" s="6"/>
      <c r="AC48" s="117">
        <f t="shared" si="4"/>
        <v>0</v>
      </c>
      <c r="AD48" s="117">
        <f t="shared" si="5"/>
        <v>0</v>
      </c>
      <c r="AE48" s="117">
        <f t="shared" si="14"/>
        <v>49</v>
      </c>
      <c r="AF48" s="117">
        <f t="shared" si="19"/>
        <v>814</v>
      </c>
      <c r="AH48" s="117">
        <f t="shared" si="6"/>
        <v>863</v>
      </c>
      <c r="AI48" s="117">
        <f t="shared" si="9"/>
        <v>0</v>
      </c>
      <c r="AK48" s="124">
        <v>560828</v>
      </c>
      <c r="AL48" s="124">
        <f t="shared" si="10"/>
        <v>483994564</v>
      </c>
    </row>
    <row r="49" spans="1:38">
      <c r="A49" s="5"/>
      <c r="B49" s="5"/>
      <c r="C49" s="15">
        <f t="shared" si="17"/>
        <v>36</v>
      </c>
      <c r="D49" s="113" t="s">
        <v>255</v>
      </c>
      <c r="E49" s="112" t="s">
        <v>27</v>
      </c>
      <c r="F49" s="115">
        <f t="shared" si="20"/>
        <v>6598.5900099999999</v>
      </c>
      <c r="G49" s="138">
        <v>6500</v>
      </c>
      <c r="H49" s="138"/>
      <c r="I49" s="138"/>
      <c r="J49" s="138"/>
      <c r="K49" s="138"/>
      <c r="L49" s="138"/>
      <c r="M49" s="138">
        <v>10.590009999999999</v>
      </c>
      <c r="N49" s="154"/>
      <c r="O49" s="450">
        <v>14</v>
      </c>
      <c r="P49" s="450">
        <v>18</v>
      </c>
      <c r="Q49" s="450">
        <v>12</v>
      </c>
      <c r="R49" s="450">
        <f>8+8</f>
        <v>16</v>
      </c>
      <c r="S49" s="450">
        <v>14</v>
      </c>
      <c r="T49" s="450">
        <v>14</v>
      </c>
      <c r="U49" s="6"/>
      <c r="AC49" s="117">
        <f>+O49+P49+Q49+R49+S49+T49</f>
        <v>88</v>
      </c>
      <c r="AD49" s="117">
        <f t="shared" si="5"/>
        <v>0</v>
      </c>
      <c r="AE49" s="117">
        <f t="shared" si="14"/>
        <v>0</v>
      </c>
      <c r="AF49" s="117">
        <f t="shared" si="19"/>
        <v>6510.5900099999999</v>
      </c>
      <c r="AH49" s="117">
        <f t="shared" si="6"/>
        <v>6598.5900099999999</v>
      </c>
      <c r="AI49" s="117">
        <f t="shared" si="9"/>
        <v>0</v>
      </c>
      <c r="AK49" s="124">
        <v>93687</v>
      </c>
      <c r="AL49" s="124">
        <f t="shared" si="10"/>
        <v>618202102</v>
      </c>
    </row>
    <row r="50" spans="1:38">
      <c r="A50" s="5"/>
      <c r="B50" s="5"/>
      <c r="C50" s="15">
        <f t="shared" si="17"/>
        <v>37</v>
      </c>
      <c r="D50" s="113" t="s">
        <v>256</v>
      </c>
      <c r="E50" s="112" t="s">
        <v>27</v>
      </c>
      <c r="F50" s="115">
        <f t="shared" si="20"/>
        <v>1305</v>
      </c>
      <c r="G50" s="138">
        <v>1260</v>
      </c>
      <c r="H50" s="138"/>
      <c r="I50" s="138"/>
      <c r="J50" s="138"/>
      <c r="K50" s="138"/>
      <c r="L50" s="138"/>
      <c r="M50" s="138">
        <v>45</v>
      </c>
      <c r="N50" s="154"/>
      <c r="O50" s="450"/>
      <c r="P50" s="450"/>
      <c r="Q50" s="450"/>
      <c r="R50" s="450"/>
      <c r="S50" s="450"/>
      <c r="T50" s="450"/>
      <c r="U50" s="6"/>
      <c r="AC50" s="117">
        <f t="shared" si="4"/>
        <v>0</v>
      </c>
      <c r="AD50" s="117">
        <f t="shared" si="5"/>
        <v>0</v>
      </c>
      <c r="AE50" s="117">
        <f t="shared" si="14"/>
        <v>0</v>
      </c>
      <c r="AF50" s="117">
        <f t="shared" si="19"/>
        <v>1305</v>
      </c>
      <c r="AH50" s="117">
        <f t="shared" si="6"/>
        <v>1305</v>
      </c>
      <c r="AI50" s="117">
        <f t="shared" si="9"/>
        <v>0</v>
      </c>
      <c r="AK50" s="124">
        <v>109127</v>
      </c>
      <c r="AL50" s="124">
        <f t="shared" si="10"/>
        <v>142410735</v>
      </c>
    </row>
    <row r="51" spans="1:38">
      <c r="A51" s="5"/>
      <c r="B51" s="5"/>
      <c r="C51" s="15">
        <f t="shared" si="17"/>
        <v>38</v>
      </c>
      <c r="D51" s="113" t="s">
        <v>291</v>
      </c>
      <c r="E51" s="112" t="s">
        <v>27</v>
      </c>
      <c r="F51" s="115">
        <f t="shared" si="20"/>
        <v>420</v>
      </c>
      <c r="G51" s="138"/>
      <c r="H51" s="138"/>
      <c r="I51" s="138"/>
      <c r="J51" s="138"/>
      <c r="K51" s="138"/>
      <c r="L51" s="138"/>
      <c r="M51" s="138"/>
      <c r="N51" s="154">
        <v>160</v>
      </c>
      <c r="O51" s="450">
        <v>45</v>
      </c>
      <c r="P51" s="450">
        <v>58</v>
      </c>
      <c r="Q51" s="450">
        <v>39</v>
      </c>
      <c r="R51" s="450">
        <v>26</v>
      </c>
      <c r="S51" s="450">
        <v>46</v>
      </c>
      <c r="T51" s="450">
        <v>46</v>
      </c>
      <c r="U51" s="6"/>
      <c r="AC51" s="117">
        <f>+O51+P51+Q51+R51+S51+T51</f>
        <v>260</v>
      </c>
      <c r="AD51" s="117">
        <f t="shared" si="5"/>
        <v>160</v>
      </c>
      <c r="AE51" s="117">
        <f t="shared" si="14"/>
        <v>0</v>
      </c>
      <c r="AF51" s="117">
        <f t="shared" si="19"/>
        <v>0</v>
      </c>
      <c r="AH51" s="117">
        <f t="shared" si="6"/>
        <v>420</v>
      </c>
      <c r="AI51" s="117">
        <f t="shared" si="9"/>
        <v>0</v>
      </c>
      <c r="AK51" s="124">
        <v>131194</v>
      </c>
      <c r="AL51" s="124">
        <f t="shared" si="10"/>
        <v>55101480</v>
      </c>
    </row>
    <row r="52" spans="1:38">
      <c r="A52" s="5"/>
      <c r="B52" s="5"/>
      <c r="C52" s="15">
        <f t="shared" si="17"/>
        <v>39</v>
      </c>
      <c r="D52" s="113" t="s">
        <v>308</v>
      </c>
      <c r="E52" s="112" t="s">
        <v>20</v>
      </c>
      <c r="F52" s="115">
        <f t="shared" si="20"/>
        <v>250</v>
      </c>
      <c r="G52" s="138"/>
      <c r="H52" s="138"/>
      <c r="I52" s="138"/>
      <c r="J52" s="138"/>
      <c r="K52" s="138"/>
      <c r="L52" s="138"/>
      <c r="M52" s="138"/>
      <c r="N52" s="154">
        <v>250</v>
      </c>
      <c r="O52" s="450"/>
      <c r="P52" s="450"/>
      <c r="Q52" s="450"/>
      <c r="R52" s="450"/>
      <c r="S52" s="450"/>
      <c r="T52" s="450"/>
      <c r="U52" s="6"/>
      <c r="AC52" s="117">
        <f t="shared" si="4"/>
        <v>0</v>
      </c>
      <c r="AD52" s="117">
        <f t="shared" si="5"/>
        <v>250</v>
      </c>
      <c r="AE52" s="117">
        <f t="shared" si="14"/>
        <v>0</v>
      </c>
      <c r="AF52" s="117">
        <f t="shared" si="19"/>
        <v>0</v>
      </c>
      <c r="AH52" s="117">
        <f t="shared" si="6"/>
        <v>250</v>
      </c>
      <c r="AI52" s="117">
        <f t="shared" si="9"/>
        <v>0</v>
      </c>
      <c r="AK52" s="124">
        <v>19253</v>
      </c>
      <c r="AL52" s="124">
        <f t="shared" si="10"/>
        <v>4813250</v>
      </c>
    </row>
    <row r="53" spans="1:38">
      <c r="A53" s="5"/>
      <c r="B53" s="5"/>
      <c r="C53" s="15">
        <f t="shared" si="17"/>
        <v>40</v>
      </c>
      <c r="D53" s="21" t="s">
        <v>42</v>
      </c>
      <c r="E53" s="10" t="s">
        <v>12</v>
      </c>
      <c r="F53" s="12">
        <f t="shared" si="20"/>
        <v>2609</v>
      </c>
      <c r="G53" s="138">
        <f>13000*1*0.1*2</f>
        <v>2600</v>
      </c>
      <c r="H53" s="138"/>
      <c r="I53" s="138"/>
      <c r="J53" s="138"/>
      <c r="K53" s="138"/>
      <c r="L53" s="138"/>
      <c r="M53" s="138">
        <v>9</v>
      </c>
      <c r="N53" s="154"/>
      <c r="O53" s="450"/>
      <c r="P53" s="450"/>
      <c r="Q53" s="450"/>
      <c r="R53" s="450"/>
      <c r="S53" s="450"/>
      <c r="T53" s="450"/>
      <c r="U53" s="6"/>
      <c r="AC53" s="117">
        <f t="shared" si="4"/>
        <v>0</v>
      </c>
      <c r="AD53" s="117">
        <f t="shared" si="5"/>
        <v>0</v>
      </c>
      <c r="AE53" s="117">
        <f t="shared" si="14"/>
        <v>0</v>
      </c>
      <c r="AF53" s="117">
        <f t="shared" si="19"/>
        <v>2609</v>
      </c>
      <c r="AH53" s="117">
        <f t="shared" si="6"/>
        <v>2609</v>
      </c>
      <c r="AI53" s="117">
        <f t="shared" si="9"/>
        <v>0</v>
      </c>
      <c r="AK53" s="124">
        <v>1009686</v>
      </c>
      <c r="AL53" s="124">
        <f t="shared" si="10"/>
        <v>2634270774</v>
      </c>
    </row>
    <row r="54" spans="1:38" ht="15.75" thickBot="1">
      <c r="A54" s="5"/>
      <c r="B54" s="5"/>
      <c r="C54" s="15">
        <f t="shared" si="17"/>
        <v>41</v>
      </c>
      <c r="D54" s="21" t="s">
        <v>223</v>
      </c>
      <c r="E54" s="10" t="s">
        <v>221</v>
      </c>
      <c r="F54" s="12">
        <f t="shared" si="20"/>
        <v>26000</v>
      </c>
      <c r="G54" s="138">
        <f>13000*2</f>
        <v>26000</v>
      </c>
      <c r="H54" s="138"/>
      <c r="I54" s="138"/>
      <c r="J54" s="138"/>
      <c r="K54" s="138"/>
      <c r="L54" s="138"/>
      <c r="M54" s="138"/>
      <c r="N54" s="154"/>
      <c r="O54" s="450"/>
      <c r="P54" s="450"/>
      <c r="Q54" s="450"/>
      <c r="R54" s="450"/>
      <c r="S54" s="450"/>
      <c r="T54" s="450"/>
      <c r="U54" s="6"/>
      <c r="AC54" s="117">
        <f t="shared" si="4"/>
        <v>0</v>
      </c>
      <c r="AD54" s="117">
        <f t="shared" si="5"/>
        <v>0</v>
      </c>
      <c r="AE54" s="117">
        <f t="shared" si="14"/>
        <v>0</v>
      </c>
      <c r="AF54" s="117">
        <f t="shared" si="19"/>
        <v>26000</v>
      </c>
      <c r="AH54" s="117">
        <f t="shared" si="6"/>
        <v>26000</v>
      </c>
      <c r="AI54" s="117">
        <f t="shared" si="9"/>
        <v>0</v>
      </c>
      <c r="AK54" s="124">
        <v>8355</v>
      </c>
      <c r="AL54" s="124">
        <f t="shared" si="10"/>
        <v>217230000</v>
      </c>
    </row>
    <row r="55" spans="1:38" ht="16.5" thickBot="1">
      <c r="A55" s="5"/>
      <c r="B55" s="5"/>
      <c r="C55" s="7" t="s">
        <v>29</v>
      </c>
      <c r="D55" s="8"/>
      <c r="E55" s="8"/>
      <c r="F55" s="118"/>
      <c r="G55" s="139"/>
      <c r="H55" s="139"/>
      <c r="I55" s="139"/>
      <c r="J55" s="139"/>
      <c r="K55" s="139"/>
      <c r="L55" s="139"/>
      <c r="M55" s="139"/>
      <c r="N55" s="155"/>
      <c r="O55" s="451"/>
      <c r="P55" s="451"/>
      <c r="Q55" s="451"/>
      <c r="R55" s="451"/>
      <c r="S55" s="451"/>
      <c r="T55" s="451"/>
      <c r="U55" s="6"/>
      <c r="AC55" s="117">
        <f t="shared" si="4"/>
        <v>0</v>
      </c>
      <c r="AD55" s="117">
        <f t="shared" si="5"/>
        <v>0</v>
      </c>
      <c r="AF55" s="117">
        <f t="shared" si="19"/>
        <v>0</v>
      </c>
      <c r="AH55" s="117">
        <f t="shared" si="6"/>
        <v>0</v>
      </c>
      <c r="AI55" s="117">
        <f t="shared" si="9"/>
        <v>0</v>
      </c>
      <c r="AL55" s="124">
        <f t="shared" si="10"/>
        <v>0</v>
      </c>
    </row>
    <row r="56" spans="1:38">
      <c r="A56" s="5"/>
      <c r="B56" s="5"/>
      <c r="C56" s="18">
        <f>+C54+1</f>
        <v>42</v>
      </c>
      <c r="D56" s="11" t="s">
        <v>43</v>
      </c>
      <c r="E56" s="10" t="s">
        <v>27</v>
      </c>
      <c r="F56" s="12">
        <f>SUM(G56:T56)</f>
        <v>39657.380100000002</v>
      </c>
      <c r="G56" s="138">
        <f>13200*3</f>
        <v>39600</v>
      </c>
      <c r="H56" s="138"/>
      <c r="I56" s="138"/>
      <c r="J56" s="138"/>
      <c r="K56" s="138"/>
      <c r="L56" s="138"/>
      <c r="M56" s="138">
        <v>57.380099999999999</v>
      </c>
      <c r="N56" s="154"/>
      <c r="O56" s="450"/>
      <c r="P56" s="450"/>
      <c r="Q56" s="450"/>
      <c r="R56" s="450"/>
      <c r="S56" s="450"/>
      <c r="T56" s="450"/>
      <c r="U56" s="6"/>
      <c r="AC56" s="117">
        <f t="shared" si="4"/>
        <v>0</v>
      </c>
      <c r="AD56" s="117">
        <f t="shared" si="5"/>
        <v>0</v>
      </c>
      <c r="AF56" s="117">
        <f t="shared" si="19"/>
        <v>39657.380100000002</v>
      </c>
      <c r="AH56" s="117">
        <f t="shared" si="6"/>
        <v>39657.380100000002</v>
      </c>
      <c r="AI56" s="117">
        <f t="shared" si="9"/>
        <v>0</v>
      </c>
      <c r="AK56" s="124">
        <v>2017</v>
      </c>
      <c r="AL56" s="124">
        <f t="shared" si="10"/>
        <v>79988936</v>
      </c>
    </row>
    <row r="57" spans="1:38">
      <c r="A57" s="5"/>
      <c r="B57" s="5"/>
      <c r="C57" s="15">
        <f>+C56+1</f>
        <v>43</v>
      </c>
      <c r="D57" s="11" t="s">
        <v>33</v>
      </c>
      <c r="E57" s="10" t="s">
        <v>31</v>
      </c>
      <c r="F57" s="12">
        <f>SUM(G57:T57)</f>
        <v>120</v>
      </c>
      <c r="G57" s="138">
        <v>120</v>
      </c>
      <c r="H57" s="138"/>
      <c r="I57" s="138"/>
      <c r="J57" s="138"/>
      <c r="K57" s="138"/>
      <c r="L57" s="138"/>
      <c r="M57" s="138"/>
      <c r="N57" s="154"/>
      <c r="O57" s="450"/>
      <c r="P57" s="450"/>
      <c r="Q57" s="450"/>
      <c r="R57" s="450"/>
      <c r="S57" s="450"/>
      <c r="T57" s="450"/>
      <c r="U57" s="6"/>
      <c r="AC57" s="117">
        <f t="shared" si="4"/>
        <v>0</v>
      </c>
      <c r="AD57" s="117">
        <f t="shared" si="5"/>
        <v>0</v>
      </c>
      <c r="AF57" s="117">
        <f t="shared" si="19"/>
        <v>120</v>
      </c>
      <c r="AH57" s="117">
        <f t="shared" si="6"/>
        <v>120</v>
      </c>
      <c r="AI57" s="117">
        <f t="shared" si="9"/>
        <v>0</v>
      </c>
      <c r="AK57" s="124">
        <v>583460</v>
      </c>
      <c r="AL57" s="124">
        <f t="shared" si="10"/>
        <v>70015200</v>
      </c>
    </row>
    <row r="58" spans="1:38">
      <c r="A58" s="5"/>
      <c r="B58" s="5"/>
      <c r="C58" s="15">
        <f t="shared" ref="C58:C59" si="22">+C57+1</f>
        <v>44</v>
      </c>
      <c r="D58" s="11" t="s">
        <v>213</v>
      </c>
      <c r="E58" s="10" t="s">
        <v>31</v>
      </c>
      <c r="F58" s="12">
        <f>SUM(G58:T58)</f>
        <v>3300</v>
      </c>
      <c r="G58" s="138">
        <f>+G56/12</f>
        <v>3300</v>
      </c>
      <c r="H58" s="138"/>
      <c r="I58" s="138"/>
      <c r="J58" s="138"/>
      <c r="K58" s="138"/>
      <c r="L58" s="138"/>
      <c r="M58" s="138"/>
      <c r="N58" s="154"/>
      <c r="O58" s="450"/>
      <c r="P58" s="450"/>
      <c r="Q58" s="450"/>
      <c r="R58" s="450"/>
      <c r="S58" s="450"/>
      <c r="T58" s="450"/>
      <c r="U58" s="6"/>
      <c r="AC58" s="117">
        <f t="shared" si="4"/>
        <v>0</v>
      </c>
      <c r="AD58" s="117">
        <f t="shared" si="5"/>
        <v>0</v>
      </c>
      <c r="AF58" s="117">
        <f t="shared" si="19"/>
        <v>3300</v>
      </c>
      <c r="AH58" s="117">
        <f t="shared" si="6"/>
        <v>3300</v>
      </c>
      <c r="AI58" s="117">
        <f t="shared" si="9"/>
        <v>0</v>
      </c>
      <c r="AK58" s="124">
        <v>9174</v>
      </c>
      <c r="AL58" s="124">
        <f t="shared" si="10"/>
        <v>30274200</v>
      </c>
    </row>
    <row r="59" spans="1:38" ht="15.75" thickBot="1">
      <c r="A59" s="5"/>
      <c r="B59" s="5"/>
      <c r="C59" s="15">
        <f t="shared" si="22"/>
        <v>45</v>
      </c>
      <c r="D59" s="11" t="s">
        <v>206</v>
      </c>
      <c r="E59" s="10" t="s">
        <v>20</v>
      </c>
      <c r="F59" s="12">
        <f>SUM(G59:T59)</f>
        <v>511.17</v>
      </c>
      <c r="G59" s="138">
        <v>500</v>
      </c>
      <c r="H59" s="138"/>
      <c r="I59" s="138"/>
      <c r="J59" s="138"/>
      <c r="K59" s="138"/>
      <c r="L59" s="138"/>
      <c r="M59" s="138">
        <v>11.17</v>
      </c>
      <c r="N59" s="154"/>
      <c r="O59" s="450"/>
      <c r="P59" s="450"/>
      <c r="Q59" s="450"/>
      <c r="R59" s="450"/>
      <c r="S59" s="450"/>
      <c r="T59" s="450"/>
      <c r="U59" s="6"/>
      <c r="AC59" s="117">
        <f t="shared" si="4"/>
        <v>0</v>
      </c>
      <c r="AD59" s="117">
        <f t="shared" si="5"/>
        <v>0</v>
      </c>
      <c r="AF59" s="117">
        <f t="shared" si="19"/>
        <v>511.17</v>
      </c>
      <c r="AH59" s="117">
        <f t="shared" si="6"/>
        <v>511.17</v>
      </c>
      <c r="AI59" s="117">
        <f t="shared" si="9"/>
        <v>0</v>
      </c>
      <c r="AK59" s="124">
        <v>37123</v>
      </c>
      <c r="AL59" s="124">
        <f t="shared" si="10"/>
        <v>18976164</v>
      </c>
    </row>
    <row r="60" spans="1:38" ht="16.5" thickBot="1">
      <c r="A60" s="5"/>
      <c r="B60" s="5"/>
      <c r="C60" s="7" t="s">
        <v>277</v>
      </c>
      <c r="D60" s="8"/>
      <c r="E60" s="8"/>
      <c r="F60" s="14"/>
      <c r="G60" s="140"/>
      <c r="H60" s="138"/>
      <c r="I60" s="138"/>
      <c r="J60" s="138"/>
      <c r="K60" s="138"/>
      <c r="L60" s="138"/>
      <c r="M60" s="138"/>
      <c r="N60" s="154"/>
      <c r="O60" s="450"/>
      <c r="P60" s="450"/>
      <c r="Q60" s="450"/>
      <c r="R60" s="450"/>
      <c r="S60" s="450"/>
      <c r="T60" s="450"/>
      <c r="U60" s="6"/>
      <c r="AC60" s="117">
        <f t="shared" si="4"/>
        <v>0</v>
      </c>
      <c r="AD60" s="117">
        <f t="shared" si="5"/>
        <v>0</v>
      </c>
      <c r="AF60" s="117">
        <f t="shared" si="19"/>
        <v>0</v>
      </c>
      <c r="AH60" s="117">
        <f t="shared" si="6"/>
        <v>0</v>
      </c>
      <c r="AI60" s="117">
        <f t="shared" si="9"/>
        <v>0</v>
      </c>
      <c r="AL60" s="124">
        <f t="shared" si="10"/>
        <v>0</v>
      </c>
    </row>
    <row r="61" spans="1:38">
      <c r="A61" s="5"/>
      <c r="B61" s="5"/>
      <c r="C61" s="15">
        <f>+C59+1</f>
        <v>46</v>
      </c>
      <c r="D61" s="21" t="s">
        <v>278</v>
      </c>
      <c r="E61" s="10" t="s">
        <v>27</v>
      </c>
      <c r="F61" s="12">
        <f>SUM(G61:T61)</f>
        <v>740</v>
      </c>
      <c r="G61" s="138"/>
      <c r="H61" s="138"/>
      <c r="I61" s="138"/>
      <c r="J61" s="138"/>
      <c r="K61" s="138"/>
      <c r="L61" s="138"/>
      <c r="M61" s="138"/>
      <c r="N61" s="154">
        <v>740</v>
      </c>
      <c r="O61" s="450"/>
      <c r="P61" s="450"/>
      <c r="Q61" s="450"/>
      <c r="R61" s="450"/>
      <c r="S61" s="450"/>
      <c r="T61" s="450"/>
      <c r="U61" s="6"/>
      <c r="AC61" s="117">
        <f t="shared" si="4"/>
        <v>0</v>
      </c>
      <c r="AD61" s="117">
        <f t="shared" si="5"/>
        <v>740</v>
      </c>
      <c r="AF61" s="117">
        <f t="shared" si="19"/>
        <v>0</v>
      </c>
      <c r="AH61" s="117">
        <f t="shared" si="6"/>
        <v>740</v>
      </c>
      <c r="AI61" s="117">
        <f t="shared" si="9"/>
        <v>0</v>
      </c>
      <c r="AK61" s="124">
        <v>80057</v>
      </c>
      <c r="AL61" s="124">
        <f t="shared" si="10"/>
        <v>59242180</v>
      </c>
    </row>
    <row r="62" spans="1:38">
      <c r="A62" s="5"/>
      <c r="B62" s="5"/>
      <c r="C62" s="15">
        <f>+C61+1</f>
        <v>47</v>
      </c>
      <c r="D62" s="148" t="s">
        <v>316</v>
      </c>
      <c r="E62" s="112" t="s">
        <v>20</v>
      </c>
      <c r="F62" s="12">
        <f>SUM(G62:T62)</f>
        <v>1300</v>
      </c>
      <c r="G62" s="138"/>
      <c r="H62" s="138"/>
      <c r="I62" s="138"/>
      <c r="J62" s="138"/>
      <c r="K62" s="138"/>
      <c r="L62" s="138"/>
      <c r="M62" s="138"/>
      <c r="N62" s="154">
        <v>1300</v>
      </c>
      <c r="O62" s="450"/>
      <c r="P62" s="450"/>
      <c r="Q62" s="450"/>
      <c r="R62" s="450"/>
      <c r="S62" s="450"/>
      <c r="T62" s="450"/>
      <c r="U62" s="6"/>
      <c r="AC62" s="117">
        <f t="shared" si="4"/>
        <v>0</v>
      </c>
      <c r="AD62" s="117">
        <f t="shared" si="5"/>
        <v>1300</v>
      </c>
      <c r="AF62" s="117">
        <f t="shared" si="19"/>
        <v>0</v>
      </c>
      <c r="AH62" s="117">
        <f t="shared" si="6"/>
        <v>1300</v>
      </c>
      <c r="AI62" s="117">
        <f t="shared" si="9"/>
        <v>0</v>
      </c>
      <c r="AK62" s="124">
        <v>9532</v>
      </c>
      <c r="AL62" s="124">
        <f t="shared" si="10"/>
        <v>12391600</v>
      </c>
    </row>
    <row r="63" spans="1:38">
      <c r="A63" s="5"/>
      <c r="B63" s="5"/>
      <c r="C63" s="15">
        <f>+C62+1</f>
        <v>48</v>
      </c>
      <c r="D63" s="148" t="s">
        <v>310</v>
      </c>
      <c r="E63" s="112" t="s">
        <v>27</v>
      </c>
      <c r="F63" s="12">
        <f>SUM(G63:T63)</f>
        <v>21.502061096797938</v>
      </c>
      <c r="G63" s="138"/>
      <c r="H63" s="138"/>
      <c r="I63" s="138"/>
      <c r="J63" s="138"/>
      <c r="K63" s="138"/>
      <c r="L63" s="138"/>
      <c r="M63" s="138"/>
      <c r="N63" s="154">
        <f>21.5+0.0020610967979389</f>
        <v>21.502061096797938</v>
      </c>
      <c r="O63" s="450"/>
      <c r="P63" s="450"/>
      <c r="Q63" s="450"/>
      <c r="R63" s="450"/>
      <c r="S63" s="450"/>
      <c r="T63" s="450"/>
      <c r="U63" s="6"/>
      <c r="AC63" s="117">
        <f t="shared" si="4"/>
        <v>0</v>
      </c>
      <c r="AD63" s="117">
        <f t="shared" si="5"/>
        <v>21.502061096797938</v>
      </c>
      <c r="AF63" s="117">
        <f t="shared" si="19"/>
        <v>0</v>
      </c>
      <c r="AH63" s="117">
        <f t="shared" si="6"/>
        <v>21.502061096797938</v>
      </c>
      <c r="AI63" s="117">
        <f t="shared" si="9"/>
        <v>0</v>
      </c>
      <c r="AK63" s="124">
        <v>41067</v>
      </c>
      <c r="AL63" s="124">
        <f t="shared" si="10"/>
        <v>883025</v>
      </c>
    </row>
    <row r="64" spans="1:38">
      <c r="A64" s="5"/>
      <c r="B64" s="5"/>
      <c r="C64" s="15">
        <f>+C63+1</f>
        <v>49</v>
      </c>
      <c r="D64" s="113" t="s">
        <v>309</v>
      </c>
      <c r="E64" s="112" t="s">
        <v>27</v>
      </c>
      <c r="F64" s="115">
        <f>SUM(G64:T64)</f>
        <v>1168</v>
      </c>
      <c r="G64" s="138">
        <v>850</v>
      </c>
      <c r="H64" s="138"/>
      <c r="I64" s="138"/>
      <c r="J64" s="138"/>
      <c r="K64" s="138"/>
      <c r="L64" s="138"/>
      <c r="M64" s="138">
        <v>16</v>
      </c>
      <c r="N64" s="154">
        <v>142</v>
      </c>
      <c r="O64" s="450">
        <f>14+14</f>
        <v>28</v>
      </c>
      <c r="P64" s="450">
        <f>18+18</f>
        <v>36</v>
      </c>
      <c r="Q64" s="450">
        <f>12+12</f>
        <v>24</v>
      </c>
      <c r="R64" s="450">
        <f>8+8</f>
        <v>16</v>
      </c>
      <c r="S64" s="450">
        <f>14+14</f>
        <v>28</v>
      </c>
      <c r="T64" s="450">
        <f>14+14</f>
        <v>28</v>
      </c>
      <c r="U64" s="6"/>
      <c r="AC64" s="117">
        <f>+O64+P64+Q64+R64+S64+T64</f>
        <v>160</v>
      </c>
      <c r="AD64" s="117">
        <f t="shared" si="5"/>
        <v>142</v>
      </c>
      <c r="AF64" s="117">
        <f t="shared" si="19"/>
        <v>866</v>
      </c>
      <c r="AH64" s="117">
        <f t="shared" si="6"/>
        <v>1168</v>
      </c>
      <c r="AI64" s="117">
        <f t="shared" si="9"/>
        <v>0</v>
      </c>
      <c r="AK64" s="124">
        <v>50687</v>
      </c>
      <c r="AL64" s="124">
        <f t="shared" si="10"/>
        <v>59202416</v>
      </c>
    </row>
    <row r="65" spans="1:38" ht="15.75" thickBot="1">
      <c r="A65" s="5"/>
      <c r="B65" s="5"/>
      <c r="C65" s="15">
        <f>+C64+1</f>
        <v>50</v>
      </c>
      <c r="D65" s="113" t="s">
        <v>488</v>
      </c>
      <c r="E65" s="112" t="s">
        <v>27</v>
      </c>
      <c r="F65" s="115">
        <f>SUM(G65:T65)</f>
        <v>63.17</v>
      </c>
      <c r="G65" s="138"/>
      <c r="H65" s="138"/>
      <c r="I65" s="138"/>
      <c r="J65" s="138"/>
      <c r="K65" s="138"/>
      <c r="L65" s="138"/>
      <c r="M65" s="138">
        <v>63.17</v>
      </c>
      <c r="N65" s="154"/>
      <c r="O65" s="450"/>
      <c r="P65" s="450"/>
      <c r="Q65" s="450"/>
      <c r="R65" s="450"/>
      <c r="S65" s="450"/>
      <c r="T65" s="450"/>
      <c r="U65" s="6"/>
      <c r="AC65" s="117"/>
      <c r="AD65" s="117"/>
      <c r="AF65" s="117">
        <f t="shared" si="19"/>
        <v>63.17</v>
      </c>
      <c r="AH65" s="117"/>
      <c r="AI65" s="117"/>
      <c r="AL65" s="124"/>
    </row>
    <row r="66" spans="1:38" ht="16.5" thickBot="1">
      <c r="A66" s="5"/>
      <c r="B66" s="5"/>
      <c r="C66" s="7" t="s">
        <v>34</v>
      </c>
      <c r="D66" s="8"/>
      <c r="E66" s="8"/>
      <c r="F66" s="14"/>
      <c r="G66" s="140"/>
      <c r="H66" s="140"/>
      <c r="I66" s="140"/>
      <c r="J66" s="140"/>
      <c r="K66" s="140"/>
      <c r="L66" s="140"/>
      <c r="M66" s="140"/>
      <c r="N66" s="155"/>
      <c r="O66" s="451"/>
      <c r="P66" s="451"/>
      <c r="Q66" s="451"/>
      <c r="R66" s="451"/>
      <c r="S66" s="451"/>
      <c r="T66" s="452"/>
      <c r="U66" s="6"/>
      <c r="AC66" s="117">
        <f t="shared" si="4"/>
        <v>0</v>
      </c>
      <c r="AD66" s="117">
        <f t="shared" si="5"/>
        <v>0</v>
      </c>
      <c r="AF66" s="117">
        <f t="shared" si="19"/>
        <v>0</v>
      </c>
      <c r="AH66" s="117">
        <f t="shared" si="6"/>
        <v>0</v>
      </c>
      <c r="AI66" s="117">
        <f>+AH66-F66</f>
        <v>0</v>
      </c>
      <c r="AL66" s="124">
        <f>+ROUND(AK66*F66,0)</f>
        <v>0</v>
      </c>
    </row>
    <row r="67" spans="1:38" ht="30">
      <c r="A67" s="5"/>
      <c r="B67" s="5"/>
      <c r="C67" s="15">
        <f>+C65+1</f>
        <v>51</v>
      </c>
      <c r="D67" s="21" t="s">
        <v>36</v>
      </c>
      <c r="E67" s="10" t="s">
        <v>37</v>
      </c>
      <c r="F67" s="12">
        <f>SUM(G67:T67)</f>
        <v>156478.3493</v>
      </c>
      <c r="G67" s="138">
        <f>+(F15+AB38)*25</f>
        <v>155535.3493</v>
      </c>
      <c r="H67" s="138"/>
      <c r="I67" s="138"/>
      <c r="J67" s="138"/>
      <c r="K67" s="138"/>
      <c r="L67" s="138"/>
      <c r="M67" s="138"/>
      <c r="N67" s="154"/>
      <c r="O67" s="450">
        <v>173</v>
      </c>
      <c r="P67" s="450">
        <v>216</v>
      </c>
      <c r="Q67" s="450">
        <v>151</v>
      </c>
      <c r="R67" s="450">
        <v>89</v>
      </c>
      <c r="S67" s="450">
        <v>142</v>
      </c>
      <c r="T67" s="450">
        <v>172</v>
      </c>
      <c r="U67" s="6"/>
      <c r="W67" s="116"/>
      <c r="X67" s="125"/>
      <c r="Y67" s="122"/>
      <c r="AC67" s="117">
        <f t="shared" si="4"/>
        <v>943</v>
      </c>
      <c r="AD67" s="117">
        <f t="shared" si="5"/>
        <v>0</v>
      </c>
      <c r="AF67" s="117">
        <f t="shared" si="19"/>
        <v>155535.3493</v>
      </c>
      <c r="AH67" s="117">
        <f t="shared" si="6"/>
        <v>156478.3493</v>
      </c>
      <c r="AI67" s="117">
        <f>+AH67-F67</f>
        <v>0</v>
      </c>
      <c r="AK67" s="124">
        <v>1497</v>
      </c>
      <c r="AL67" s="124">
        <f>+ROUND(AK67*F67,0)</f>
        <v>234248089</v>
      </c>
    </row>
    <row r="68" spans="1:38" s="26" customFormat="1" ht="18" customHeight="1">
      <c r="A68" s="22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156"/>
      <c r="O68" s="23"/>
      <c r="P68" s="23"/>
      <c r="Q68" s="23"/>
      <c r="R68" s="23"/>
      <c r="S68" s="23"/>
      <c r="T68" s="23"/>
      <c r="U68" s="25"/>
      <c r="W68" s="123"/>
      <c r="AC68" s="117"/>
      <c r="AK68" s="124"/>
      <c r="AL68" s="124">
        <f t="shared" ref="AL68" si="23">+ROUND(AK68*AH68,0)</f>
        <v>0</v>
      </c>
    </row>
    <row r="70" spans="1:38" ht="15.75">
      <c r="C70" s="128" t="s">
        <v>246</v>
      </c>
      <c r="U70" s="130"/>
      <c r="W70" s="121"/>
      <c r="AL70" s="127">
        <f>SUM(AL10:AL69)</f>
        <v>17635181894</v>
      </c>
    </row>
    <row r="71" spans="1:38">
      <c r="C71" s="4" t="s">
        <v>247</v>
      </c>
    </row>
    <row r="73" spans="1:38">
      <c r="W73" s="126"/>
      <c r="X73" s="127"/>
    </row>
  </sheetData>
  <mergeCells count="9">
    <mergeCell ref="C7:C8"/>
    <mergeCell ref="D7:D8"/>
    <mergeCell ref="E7:E8"/>
    <mergeCell ref="F7:F8"/>
    <mergeCell ref="O5:T5"/>
    <mergeCell ref="C3:F3"/>
    <mergeCell ref="D4:F4"/>
    <mergeCell ref="C5:F5"/>
    <mergeCell ref="C6:F6"/>
  </mergeCells>
  <printOptions horizontalCentered="1"/>
  <pageMargins left="0.70866141732283472" right="0.31496062992125984" top="0.70866141732283472" bottom="0.55118110236220474" header="0.31496062992125984" footer="0.31496062992125984"/>
  <pageSetup paperSize="5" scale="48" fitToHeight="0" orientation="landscape" r:id="rId1"/>
  <ignoredErrors>
    <ignoredError sqref="F29" formula="1"/>
  </ignoredError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7" workbookViewId="0">
      <selection activeCell="N69" sqref="N69"/>
    </sheetView>
  </sheetViews>
  <sheetFormatPr baseColWidth="10" defaultRowHeight="15"/>
  <cols>
    <col min="9" max="9" width="11.85546875" bestFit="1" customWidth="1"/>
    <col min="11" max="11" width="15.140625" bestFit="1" customWidth="1"/>
    <col min="13" max="13" width="12.85546875" bestFit="1" customWidth="1"/>
    <col min="14" max="14" width="13" bestFit="1" customWidth="1"/>
  </cols>
  <sheetData>
    <row r="1" spans="2:16" ht="15.75" thickBot="1"/>
    <row r="2" spans="2:16" ht="26.25" thickBot="1">
      <c r="B2" s="348" t="s">
        <v>45</v>
      </c>
      <c r="C2" s="787" t="s">
        <v>3</v>
      </c>
      <c r="D2" s="788"/>
      <c r="E2" s="788"/>
      <c r="F2" s="788"/>
      <c r="G2" s="788"/>
      <c r="H2" s="788"/>
      <c r="I2" s="788"/>
      <c r="J2" s="349"/>
      <c r="K2" s="350" t="s">
        <v>46</v>
      </c>
      <c r="L2" s="789" t="s">
        <v>47</v>
      </c>
      <c r="M2" s="790"/>
      <c r="N2" s="348" t="s">
        <v>5</v>
      </c>
    </row>
    <row r="3" spans="2:16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  <c r="P3" s="88"/>
    </row>
    <row r="4" spans="2:16" ht="15.75" thickBot="1">
      <c r="B4" s="204">
        <v>500.08</v>
      </c>
      <c r="C4" s="604" t="s">
        <v>260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  <c r="P4" s="88"/>
    </row>
    <row r="5" spans="2:16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  <c r="P5" s="88"/>
    </row>
    <row r="6" spans="2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P6" s="88"/>
    </row>
    <row r="7" spans="2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  <c r="P7" s="88"/>
    </row>
    <row r="8" spans="2:16">
      <c r="B8" s="608" t="s">
        <v>3</v>
      </c>
      <c r="C8" s="609"/>
      <c r="D8" s="609"/>
      <c r="E8" s="609"/>
      <c r="F8" s="609"/>
      <c r="G8" s="609"/>
      <c r="H8" s="610"/>
      <c r="I8" s="613" t="s">
        <v>51</v>
      </c>
      <c r="J8" s="610"/>
      <c r="K8" s="286" t="s">
        <v>52</v>
      </c>
      <c r="L8" s="613" t="s">
        <v>53</v>
      </c>
      <c r="M8" s="610"/>
      <c r="N8" s="287" t="s">
        <v>54</v>
      </c>
      <c r="P8" s="88"/>
    </row>
    <row r="9" spans="2:16">
      <c r="B9" s="600" t="s">
        <v>356</v>
      </c>
      <c r="C9" s="682"/>
      <c r="D9" s="682"/>
      <c r="E9" s="682"/>
      <c r="F9" s="682"/>
      <c r="G9" s="682"/>
      <c r="H9" s="603"/>
      <c r="I9" s="227"/>
      <c r="J9" s="228"/>
      <c r="K9" s="229">
        <v>134362</v>
      </c>
      <c r="L9" s="230"/>
      <c r="M9" s="231">
        <v>0.45</v>
      </c>
      <c r="N9" s="232">
        <f>+M9*K9</f>
        <v>60462.9</v>
      </c>
      <c r="P9" s="192">
        <v>0.4</v>
      </c>
    </row>
    <row r="10" spans="2:16">
      <c r="B10" s="600" t="s">
        <v>320</v>
      </c>
      <c r="C10" s="682"/>
      <c r="D10" s="682"/>
      <c r="E10" s="682"/>
      <c r="F10" s="682"/>
      <c r="G10" s="682"/>
      <c r="H10" s="603"/>
      <c r="I10" s="227"/>
      <c r="J10" s="228"/>
      <c r="K10" s="229">
        <v>115828</v>
      </c>
      <c r="L10" s="230"/>
      <c r="M10" s="231">
        <v>4.1000000000000002E-2</v>
      </c>
      <c r="N10" s="232">
        <f>+M10*K10</f>
        <v>4748.9480000000003</v>
      </c>
      <c r="P10" s="88"/>
    </row>
    <row r="11" spans="2:16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/>
      <c r="P11" s="88"/>
    </row>
    <row r="12" spans="2:16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3"/>
      <c r="P12" s="88"/>
    </row>
    <row r="13" spans="2:16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  <c r="P13" s="88"/>
    </row>
    <row r="14" spans="2:16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239">
        <v>0.1</v>
      </c>
      <c r="N14" s="240">
        <f>+N51*M14</f>
        <v>9334.9827000000023</v>
      </c>
      <c r="P14" s="88"/>
    </row>
    <row r="15" spans="2:16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  <c r="P15" s="88"/>
    </row>
    <row r="16" spans="2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60">
        <f>SUM(N9:N15)</f>
        <v>74546.830700000006</v>
      </c>
    </row>
    <row r="17" spans="2:16" ht="15.75" thickBot="1">
      <c r="B17" s="626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/>
    </row>
    <row r="18" spans="2:16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6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6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6" ht="15" customHeight="1">
      <c r="B21" s="600" t="s">
        <v>296</v>
      </c>
      <c r="C21" s="682"/>
      <c r="D21" s="682"/>
      <c r="E21" s="682"/>
      <c r="F21" s="682"/>
      <c r="G21" s="682"/>
      <c r="H21" s="682"/>
      <c r="I21" s="603"/>
      <c r="J21" s="254" t="s">
        <v>12</v>
      </c>
      <c r="K21" s="255">
        <v>0.2</v>
      </c>
      <c r="L21" s="346"/>
      <c r="M21" s="343">
        <v>430760</v>
      </c>
      <c r="N21" s="232">
        <f t="shared" ref="N21:N27" si="0">+M21*K21</f>
        <v>86152</v>
      </c>
      <c r="P21">
        <f>0.25*0.25*3.1416*1.05</f>
        <v>0.2061675</v>
      </c>
    </row>
    <row r="22" spans="2:16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>
        <f t="shared" si="0"/>
        <v>0</v>
      </c>
    </row>
    <row r="23" spans="2:16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>
        <f t="shared" si="0"/>
        <v>0</v>
      </c>
    </row>
    <row r="24" spans="2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>
        <f t="shared" si="0"/>
        <v>0</v>
      </c>
    </row>
    <row r="25" spans="2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>
        <f t="shared" si="0"/>
        <v>0</v>
      </c>
    </row>
    <row r="26" spans="2:16">
      <c r="B26" s="252"/>
      <c r="C26" s="253"/>
      <c r="D26" s="253"/>
      <c r="E26" s="253"/>
      <c r="F26" s="253"/>
      <c r="G26" s="253"/>
      <c r="H26" s="253"/>
      <c r="I26" s="228"/>
      <c r="J26" s="254"/>
      <c r="K26" s="255"/>
      <c r="L26" s="227"/>
      <c r="M26" s="256"/>
      <c r="N26" s="257">
        <f t="shared" si="0"/>
        <v>0</v>
      </c>
    </row>
    <row r="27" spans="2:16" ht="15.75" thickBot="1">
      <c r="B27" s="629"/>
      <c r="C27" s="630"/>
      <c r="D27" s="630"/>
      <c r="E27" s="630"/>
      <c r="F27" s="630"/>
      <c r="G27" s="630"/>
      <c r="H27" s="630"/>
      <c r="I27" s="615"/>
      <c r="J27" s="199"/>
      <c r="K27" s="258"/>
      <c r="L27" s="631"/>
      <c r="M27" s="632"/>
      <c r="N27" s="259">
        <f t="shared" si="0"/>
        <v>0</v>
      </c>
    </row>
    <row r="28" spans="2:16" ht="15.75" thickBot="1">
      <c r="B28" s="626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/>
    </row>
    <row r="29" spans="2:16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SUM(N21:N28)</f>
        <v>86152</v>
      </c>
    </row>
    <row r="30" spans="2:16">
      <c r="B30" s="24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6">
      <c r="B31" s="248" t="s">
        <v>61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249"/>
    </row>
    <row r="32" spans="2:16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4" ht="25.5">
      <c r="B33" s="330" t="s">
        <v>62</v>
      </c>
      <c r="C33" s="331"/>
      <c r="D33" s="331"/>
      <c r="E33" s="331"/>
      <c r="F33" s="331"/>
      <c r="G33" s="331"/>
      <c r="H33" s="294" t="s">
        <v>47</v>
      </c>
      <c r="I33" s="295" t="s">
        <v>63</v>
      </c>
      <c r="J33" s="326" t="s">
        <v>64</v>
      </c>
      <c r="K33" s="294" t="s">
        <v>65</v>
      </c>
      <c r="L33" s="633" t="s">
        <v>66</v>
      </c>
      <c r="M33" s="634"/>
      <c r="N33" s="298" t="s">
        <v>54</v>
      </c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4" ht="15.75" thickBot="1">
      <c r="B39" s="646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279"/>
    </row>
    <row r="40" spans="2:14" ht="15.75" thickBot="1">
      <c r="B40" s="626" t="s">
        <v>58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8"/>
      <c r="N40" s="260">
        <f>SUM(N34:N39)</f>
        <v>0</v>
      </c>
    </row>
    <row r="41" spans="2:14">
      <c r="B41" s="24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4">
      <c r="B42" s="248" t="s">
        <v>68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249"/>
    </row>
    <row r="43" spans="2:14" ht="15.75" thickBo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</row>
    <row r="44" spans="2:14" ht="25.5">
      <c r="B44" s="640" t="s">
        <v>69</v>
      </c>
      <c r="C44" s="598"/>
      <c r="D44" s="598"/>
      <c r="E44" s="598"/>
      <c r="F44" s="598"/>
      <c r="G44" s="598"/>
      <c r="H44" s="598"/>
      <c r="I44" s="294" t="s">
        <v>70</v>
      </c>
      <c r="J44" s="326" t="s">
        <v>71</v>
      </c>
      <c r="K44" s="295" t="s">
        <v>72</v>
      </c>
      <c r="L44" s="641" t="s">
        <v>53</v>
      </c>
      <c r="M44" s="642"/>
      <c r="N44" s="299" t="s">
        <v>54</v>
      </c>
    </row>
    <row r="45" spans="2:14">
      <c r="B45" s="280" t="s">
        <v>321</v>
      </c>
      <c r="C45" s="270"/>
      <c r="D45" s="270"/>
      <c r="E45" s="270"/>
      <c r="F45" s="270"/>
      <c r="G45" s="270"/>
      <c r="H45" s="270"/>
      <c r="I45" s="281">
        <f>27604*3</f>
        <v>82812</v>
      </c>
      <c r="J45" s="35">
        <v>167</v>
      </c>
      <c r="K45" s="36">
        <f>+J45*I45/100</f>
        <v>138296.04</v>
      </c>
      <c r="L45" s="282"/>
      <c r="M45" s="37">
        <v>0.45</v>
      </c>
      <c r="N45" s="38">
        <f>+M45*K45</f>
        <v>62233.218000000008</v>
      </c>
    </row>
    <row r="46" spans="2:14">
      <c r="B46" s="280" t="s">
        <v>285</v>
      </c>
      <c r="C46" s="270"/>
      <c r="D46" s="270"/>
      <c r="E46" s="270"/>
      <c r="F46" s="270"/>
      <c r="G46" s="270"/>
      <c r="H46" s="270"/>
      <c r="I46" s="433">
        <v>41406</v>
      </c>
      <c r="J46" s="35">
        <v>167</v>
      </c>
      <c r="K46" s="36">
        <f>+J46*I46/100</f>
        <v>69148.02</v>
      </c>
      <c r="L46" s="282"/>
      <c r="M46" s="284">
        <v>0.45</v>
      </c>
      <c r="N46" s="38">
        <f>+M46*K46</f>
        <v>31116.609000000004</v>
      </c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4" ht="15.75" thickBot="1"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/>
    </row>
    <row r="51" spans="2:14" ht="15.75" thickBot="1">
      <c r="B51" s="626" t="s">
        <v>58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60">
        <f>SUM(N45:N50)</f>
        <v>93349.827000000019</v>
      </c>
    </row>
    <row r="52" spans="2:14" ht="15.75" thickBot="1">
      <c r="B52" s="626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247"/>
    </row>
    <row r="53" spans="2:14" ht="15.75" thickBot="1">
      <c r="B53" s="675" t="s">
        <v>74</v>
      </c>
      <c r="C53" s="676"/>
      <c r="D53" s="676"/>
      <c r="E53" s="676"/>
      <c r="F53" s="676"/>
      <c r="G53" s="676"/>
      <c r="H53" s="676"/>
      <c r="I53" s="676"/>
      <c r="J53" s="676"/>
      <c r="K53" s="676"/>
      <c r="L53" s="676"/>
      <c r="M53" s="677"/>
      <c r="N53" s="311">
        <f>ROUND((N51+N40+N29+N16),0)</f>
        <v>254049</v>
      </c>
    </row>
    <row r="54" spans="2:14">
      <c r="B54" s="660" t="s">
        <v>432</v>
      </c>
      <c r="C54" s="661"/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2"/>
    </row>
    <row r="55" spans="2:14">
      <c r="B55" s="663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5"/>
    </row>
    <row r="56" spans="2:14" ht="15.75" thickBot="1">
      <c r="B56" s="666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8"/>
    </row>
    <row r="57" spans="2:14">
      <c r="B57" s="669" t="s">
        <v>433</v>
      </c>
      <c r="C57" s="670"/>
      <c r="D57" s="670"/>
      <c r="E57" s="670"/>
      <c r="F57" s="670"/>
      <c r="G57" s="670"/>
      <c r="H57" s="670"/>
      <c r="I57" s="402"/>
      <c r="J57" s="417"/>
      <c r="K57" s="410" t="s">
        <v>434</v>
      </c>
      <c r="L57" s="671" t="s">
        <v>156</v>
      </c>
      <c r="M57" s="672"/>
      <c r="N57" s="411"/>
    </row>
    <row r="58" spans="2:14">
      <c r="B58" s="673" t="s">
        <v>75</v>
      </c>
      <c r="C58" s="674"/>
      <c r="D58" s="674"/>
      <c r="E58" s="674"/>
      <c r="F58" s="674"/>
      <c r="G58" s="674"/>
      <c r="H58" s="674"/>
      <c r="I58" s="418"/>
      <c r="J58" s="419"/>
      <c r="K58" s="420">
        <v>0.23</v>
      </c>
      <c r="L58" s="650"/>
      <c r="M58" s="651"/>
      <c r="N58" s="421">
        <f>+N53*K58</f>
        <v>58431.270000000004</v>
      </c>
    </row>
    <row r="59" spans="2:14">
      <c r="B59" s="422" t="s">
        <v>435</v>
      </c>
      <c r="C59" s="399"/>
      <c r="D59" s="399"/>
      <c r="E59" s="399"/>
      <c r="F59" s="399"/>
      <c r="G59" s="399"/>
      <c r="H59" s="399"/>
      <c r="I59" s="418"/>
      <c r="J59" s="419"/>
      <c r="K59" s="420">
        <v>0.01</v>
      </c>
      <c r="L59" s="650"/>
      <c r="M59" s="651"/>
      <c r="N59" s="421">
        <f>+N53*K59</f>
        <v>2540.4900000000002</v>
      </c>
    </row>
    <row r="60" spans="2:14" ht="15.75" thickBot="1">
      <c r="B60" s="390" t="s">
        <v>76</v>
      </c>
      <c r="C60" s="391"/>
      <c r="D60" s="391"/>
      <c r="E60" s="391"/>
      <c r="F60" s="391"/>
      <c r="G60" s="391"/>
      <c r="H60" s="391"/>
      <c r="I60" s="423"/>
      <c r="J60" s="424"/>
      <c r="K60" s="420">
        <v>7.0000000000000007E-2</v>
      </c>
      <c r="L60" s="652"/>
      <c r="M60" s="653"/>
      <c r="N60" s="421">
        <f>+N53*K60</f>
        <v>17783.43</v>
      </c>
    </row>
    <row r="61" spans="2:14" ht="15.75" thickBot="1">
      <c r="B61" s="654" t="s">
        <v>58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6"/>
      <c r="N61" s="425">
        <f>N58+N59+N60</f>
        <v>78755.19</v>
      </c>
    </row>
    <row r="62" spans="2:14" ht="15.75" thickBot="1">
      <c r="B62" s="381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82"/>
    </row>
    <row r="63" spans="2:14" ht="15.75" thickBot="1">
      <c r="B63" s="657" t="s">
        <v>436</v>
      </c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9"/>
      <c r="N63" s="426">
        <f>ROUND((N61+N53),0)</f>
        <v>332804</v>
      </c>
    </row>
  </sheetData>
  <mergeCells count="48"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  <mergeCell ref="C2:I2"/>
    <mergeCell ref="L2:M2"/>
    <mergeCell ref="C3:I3"/>
    <mergeCell ref="L3:M3"/>
    <mergeCell ref="C4:I4"/>
    <mergeCell ref="L4:M4"/>
    <mergeCell ref="B53:M53"/>
    <mergeCell ref="L38:M38"/>
    <mergeCell ref="B39:M39"/>
    <mergeCell ref="B49:H49"/>
    <mergeCell ref="B9:H9"/>
    <mergeCell ref="B21:I21"/>
    <mergeCell ref="L33:M33"/>
    <mergeCell ref="B10:H10"/>
    <mergeCell ref="B11:H11"/>
    <mergeCell ref="B12:H12"/>
    <mergeCell ref="B13:H13"/>
    <mergeCell ref="I13:J13"/>
    <mergeCell ref="L13:M13"/>
    <mergeCell ref="B14:H14"/>
    <mergeCell ref="B15:D15"/>
    <mergeCell ref="L49:M49"/>
    <mergeCell ref="B50:M50"/>
    <mergeCell ref="B52:M52"/>
    <mergeCell ref="B27:I27"/>
    <mergeCell ref="L27:M27"/>
    <mergeCell ref="B28:M28"/>
    <mergeCell ref="B44:H44"/>
    <mergeCell ref="L44:M44"/>
    <mergeCell ref="B40:M40"/>
    <mergeCell ref="B51:M51"/>
    <mergeCell ref="B16:M16"/>
    <mergeCell ref="B8:H8"/>
    <mergeCell ref="I8:J8"/>
    <mergeCell ref="L8:M8"/>
    <mergeCell ref="B29:M29"/>
    <mergeCell ref="B17:M17"/>
    <mergeCell ref="B20:I20"/>
    <mergeCell ref="L20:M2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500.09</v>
      </c>
      <c r="C19" s="735" t="s">
        <v>355</v>
      </c>
      <c r="D19" s="745"/>
      <c r="E19" s="745"/>
      <c r="F19" s="745"/>
      <c r="G19" s="745"/>
      <c r="H19" s="745"/>
      <c r="I19" s="745"/>
      <c r="J19" s="745"/>
      <c r="K19" s="736"/>
      <c r="L19" s="735" t="s">
        <v>25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0.1</v>
      </c>
      <c r="M24" s="731"/>
      <c r="N24" s="389">
        <f>+L24*N56</f>
        <v>9334.9827000000023</v>
      </c>
    </row>
    <row r="25" spans="2:14">
      <c r="B25" s="716" t="s">
        <v>356</v>
      </c>
      <c r="C25" s="717"/>
      <c r="D25" s="717"/>
      <c r="E25" s="717"/>
      <c r="F25" s="718"/>
      <c r="G25" s="729"/>
      <c r="H25" s="723"/>
      <c r="I25" s="730"/>
      <c r="J25" s="731"/>
      <c r="K25" s="427">
        <v>134362</v>
      </c>
      <c r="L25" s="428"/>
      <c r="M25" s="429">
        <v>0.45</v>
      </c>
      <c r="N25" s="389">
        <f>+M25*K25</f>
        <v>60462.9</v>
      </c>
    </row>
    <row r="26" spans="2:14">
      <c r="B26" s="716" t="s">
        <v>320</v>
      </c>
      <c r="C26" s="717"/>
      <c r="D26" s="717"/>
      <c r="E26" s="717"/>
      <c r="F26" s="718"/>
      <c r="G26" s="729"/>
      <c r="H26" s="723"/>
      <c r="I26" s="730"/>
      <c r="J26" s="731"/>
      <c r="K26" s="427">
        <v>115828</v>
      </c>
      <c r="L26" s="428"/>
      <c r="M26" s="429">
        <v>4.1000000000000002E-2</v>
      </c>
      <c r="N26" s="389">
        <f>+M26*K26</f>
        <v>4748.9480000000003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74546.830700000006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6">
      <c r="B33" s="673" t="s">
        <v>296</v>
      </c>
      <c r="C33" s="674"/>
      <c r="D33" s="674"/>
      <c r="E33" s="674"/>
      <c r="F33" s="674"/>
      <c r="G33" s="674"/>
      <c r="H33" s="674"/>
      <c r="I33" s="723"/>
      <c r="J33" s="395" t="s">
        <v>12</v>
      </c>
      <c r="K33" s="396">
        <v>0.14000000000000001</v>
      </c>
      <c r="L33" s="430"/>
      <c r="M33" s="431">
        <v>430760</v>
      </c>
      <c r="N33" s="389">
        <f>+M33*K33</f>
        <v>60306.400000000009</v>
      </c>
      <c r="P33">
        <f>0.2*0.2*3.1416*1.05</f>
        <v>0.13194720000000004</v>
      </c>
    </row>
    <row r="34" spans="2:16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6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6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6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6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6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6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60306.400000000009</v>
      </c>
    </row>
    <row r="41" spans="2:16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6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6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6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6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6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6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6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321</v>
      </c>
      <c r="C52" s="717"/>
      <c r="D52" s="717"/>
      <c r="E52" s="717"/>
      <c r="F52" s="717"/>
      <c r="G52" s="717"/>
      <c r="H52" s="718"/>
      <c r="I52" s="432">
        <f>27604*3</f>
        <v>82812</v>
      </c>
      <c r="J52" s="413">
        <v>167</v>
      </c>
      <c r="K52" s="414">
        <f>+J52*I52/100</f>
        <v>138296.04</v>
      </c>
      <c r="L52" s="719">
        <v>0.45</v>
      </c>
      <c r="M52" s="720"/>
      <c r="N52" s="415">
        <f>+L52*K52</f>
        <v>62233.218000000008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32">
        <v>41406</v>
      </c>
      <c r="J53" s="413">
        <v>167</v>
      </c>
      <c r="K53" s="414">
        <f>+J53*I53/100</f>
        <v>69148.02</v>
      </c>
      <c r="L53" s="719">
        <v>0.45</v>
      </c>
      <c r="M53" s="720"/>
      <c r="N53" s="415">
        <f>+L53*K53</f>
        <v>31116.609000000004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93349.827000000019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228203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52486.69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2282.0300000000002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15974.210000000001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70742.930000000008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298946</v>
      </c>
    </row>
  </sheetData>
  <mergeCells count="87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L27:M27"/>
    <mergeCell ref="B24:F24"/>
    <mergeCell ref="G24:H24"/>
    <mergeCell ref="I24:J24"/>
    <mergeCell ref="L24:M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8:M28"/>
    <mergeCell ref="B29:N31"/>
    <mergeCell ref="B32:I32"/>
    <mergeCell ref="L32:M32"/>
    <mergeCell ref="B33:I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L67" sqref="L67"/>
    </sheetView>
  </sheetViews>
  <sheetFormatPr baseColWidth="10" defaultRowHeight="15"/>
  <cols>
    <col min="9" max="9" width="11.85546875" bestFit="1" customWidth="1"/>
    <col min="11" max="11" width="13.5703125" bestFit="1" customWidth="1"/>
    <col min="12" max="12" width="8.5703125" customWidth="1"/>
    <col min="13" max="13" width="11.140625" customWidth="1"/>
    <col min="14" max="14" width="13" bestFit="1" customWidth="1"/>
  </cols>
  <sheetData>
    <row r="1" spans="2:14" ht="26.25" thickBot="1">
      <c r="B1" s="348" t="s">
        <v>45</v>
      </c>
      <c r="C1" s="787" t="s">
        <v>3</v>
      </c>
      <c r="D1" s="788"/>
      <c r="E1" s="788"/>
      <c r="F1" s="788"/>
      <c r="G1" s="788"/>
      <c r="H1" s="788"/>
      <c r="I1" s="788"/>
      <c r="J1" s="349"/>
      <c r="K1" s="350" t="s">
        <v>46</v>
      </c>
      <c r="L1" s="789" t="s">
        <v>47</v>
      </c>
      <c r="M1" s="790"/>
      <c r="N1" s="348" t="s">
        <v>5</v>
      </c>
    </row>
    <row r="2" spans="2:14" ht="15.75" customHeight="1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/>
      <c r="L2" s="598" t="s">
        <v>47</v>
      </c>
      <c r="M2" s="599"/>
      <c r="N2" s="288" t="s">
        <v>5</v>
      </c>
    </row>
    <row r="3" spans="2:14" ht="15.75" thickBot="1">
      <c r="B3" s="434">
        <v>500.1</v>
      </c>
      <c r="C3" s="604" t="s">
        <v>357</v>
      </c>
      <c r="D3" s="605"/>
      <c r="E3" s="605"/>
      <c r="F3" s="605"/>
      <c r="G3" s="605"/>
      <c r="H3" s="605"/>
      <c r="I3" s="605"/>
      <c r="J3" s="205"/>
      <c r="K3" s="206"/>
      <c r="L3" s="606" t="s">
        <v>27</v>
      </c>
      <c r="M3" s="607"/>
      <c r="N3" s="204"/>
    </row>
    <row r="4" spans="2:14" ht="15.75" thickBot="1">
      <c r="B4" s="207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  <c r="N4" s="214"/>
    </row>
    <row r="5" spans="2:14">
      <c r="B5" s="218" t="s">
        <v>50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2:14" ht="15.75" thickBot="1">
      <c r="B6" s="221"/>
      <c r="C6" s="216"/>
      <c r="D6" s="216"/>
      <c r="E6" s="216"/>
      <c r="F6" s="216"/>
      <c r="G6" s="216"/>
      <c r="H6" s="216"/>
      <c r="I6" s="222"/>
      <c r="J6" s="222"/>
      <c r="K6" s="216"/>
      <c r="L6" s="216"/>
      <c r="M6" s="216"/>
      <c r="N6" s="217"/>
    </row>
    <row r="7" spans="2:14">
      <c r="B7" s="608" t="s">
        <v>3</v>
      </c>
      <c r="C7" s="609"/>
      <c r="D7" s="609"/>
      <c r="E7" s="609"/>
      <c r="F7" s="609"/>
      <c r="G7" s="609"/>
      <c r="H7" s="610"/>
      <c r="I7" s="613" t="s">
        <v>51</v>
      </c>
      <c r="J7" s="610"/>
      <c r="K7" s="286" t="s">
        <v>52</v>
      </c>
      <c r="L7" s="613" t="s">
        <v>53</v>
      </c>
      <c r="M7" s="610"/>
      <c r="N7" s="287" t="s">
        <v>54</v>
      </c>
    </row>
    <row r="8" spans="2:14">
      <c r="B8" s="600" t="s">
        <v>317</v>
      </c>
      <c r="C8" s="682"/>
      <c r="D8" s="682"/>
      <c r="E8" s="682"/>
      <c r="F8" s="682"/>
      <c r="G8" s="682"/>
      <c r="H8" s="603"/>
      <c r="I8" s="227"/>
      <c r="J8" s="228"/>
      <c r="K8" s="229">
        <v>134362</v>
      </c>
      <c r="L8" s="230"/>
      <c r="M8" s="231">
        <v>0.3</v>
      </c>
      <c r="N8" s="232">
        <f>+M8*K8</f>
        <v>40308.6</v>
      </c>
    </row>
    <row r="9" spans="2:14">
      <c r="B9" s="600" t="s">
        <v>320</v>
      </c>
      <c r="C9" s="601"/>
      <c r="D9" s="601"/>
      <c r="E9" s="601"/>
      <c r="F9" s="601"/>
      <c r="G9" s="601"/>
      <c r="H9" s="603"/>
      <c r="I9" s="227"/>
      <c r="J9" s="228"/>
      <c r="K9" s="229">
        <v>115828</v>
      </c>
      <c r="L9" s="230"/>
      <c r="M9" s="231">
        <v>2E-3</v>
      </c>
      <c r="N9" s="232">
        <f t="shared" ref="N9:N11" si="0">+M9*K9</f>
        <v>231.65600000000001</v>
      </c>
    </row>
    <row r="10" spans="2:14">
      <c r="B10" s="600" t="s">
        <v>359</v>
      </c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>
        <v>0.8</v>
      </c>
      <c r="N10" s="232">
        <f>+M10*N50</f>
        <v>28581.1816</v>
      </c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f t="shared" si="0"/>
        <v>0</v>
      </c>
    </row>
    <row r="12" spans="2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2:14">
      <c r="B13" s="600" t="s">
        <v>57</v>
      </c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>
        <v>0.1</v>
      </c>
      <c r="N13" s="240">
        <f>+M13*N50</f>
        <v>3572.6477</v>
      </c>
    </row>
    <row r="14" spans="2:14" ht="15.75" thickBot="1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4" ht="15.75" thickBot="1">
      <c r="B15" s="626" t="s">
        <v>58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8"/>
      <c r="N15" s="260">
        <f>SUM(N8:N14)</f>
        <v>72694.085300000006</v>
      </c>
    </row>
    <row r="16" spans="2:14" ht="15.75" thickBot="1">
      <c r="B16" s="626"/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/>
    </row>
    <row r="17" spans="2:16">
      <c r="B17" s="248" t="s">
        <v>59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249"/>
    </row>
    <row r="18" spans="2:16" ht="15.75" thickBot="1">
      <c r="B18" s="250"/>
      <c r="C18" s="222"/>
      <c r="D18" s="222"/>
      <c r="E18" s="222"/>
      <c r="F18" s="222"/>
      <c r="G18" s="222"/>
      <c r="H18" s="222"/>
      <c r="I18" s="222"/>
      <c r="J18" s="216"/>
      <c r="K18" s="216"/>
      <c r="L18" s="216"/>
      <c r="M18" s="216"/>
      <c r="N18" s="217"/>
    </row>
    <row r="19" spans="2:16">
      <c r="B19" s="608" t="s">
        <v>3</v>
      </c>
      <c r="C19" s="609"/>
      <c r="D19" s="609"/>
      <c r="E19" s="609"/>
      <c r="F19" s="609"/>
      <c r="G19" s="609"/>
      <c r="H19" s="609"/>
      <c r="I19" s="610"/>
      <c r="J19" s="332" t="s">
        <v>47</v>
      </c>
      <c r="K19" s="286" t="s">
        <v>5</v>
      </c>
      <c r="L19" s="613" t="s">
        <v>60</v>
      </c>
      <c r="M19" s="610"/>
      <c r="N19" s="287" t="s">
        <v>54</v>
      </c>
    </row>
    <row r="20" spans="2:16" ht="15" customHeight="1">
      <c r="B20" s="600" t="s">
        <v>358</v>
      </c>
      <c r="C20" s="682"/>
      <c r="D20" s="682"/>
      <c r="E20" s="682"/>
      <c r="F20" s="682"/>
      <c r="G20" s="682"/>
      <c r="H20" s="682"/>
      <c r="I20" s="603"/>
      <c r="J20" s="254" t="s">
        <v>25</v>
      </c>
      <c r="K20" s="255">
        <v>3.1</v>
      </c>
      <c r="L20" s="346"/>
      <c r="M20" s="343">
        <v>3633</v>
      </c>
      <c r="N20" s="232">
        <f>+M20*K20</f>
        <v>11262.300000000001</v>
      </c>
    </row>
    <row r="21" spans="2:16">
      <c r="B21" s="252" t="s">
        <v>296</v>
      </c>
      <c r="C21" s="253"/>
      <c r="D21" s="253"/>
      <c r="E21" s="253"/>
      <c r="F21" s="253"/>
      <c r="G21" s="253"/>
      <c r="H21" s="253"/>
      <c r="I21" s="228"/>
      <c r="J21" s="254" t="s">
        <v>12</v>
      </c>
      <c r="K21" s="255">
        <v>1.7999999999999999E-2</v>
      </c>
      <c r="L21" s="227"/>
      <c r="M21" s="343">
        <v>430760</v>
      </c>
      <c r="N21" s="257">
        <f>+M21*K21</f>
        <v>7753.6799999999994</v>
      </c>
      <c r="P21">
        <f>0.075*0.075*3.1416*1.01</f>
        <v>1.7848215000000001E-2</v>
      </c>
    </row>
    <row r="22" spans="2:16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>
        <f t="shared" ref="N22:N26" si="1">+M22*K22</f>
        <v>0</v>
      </c>
    </row>
    <row r="23" spans="2:16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>
        <f t="shared" si="1"/>
        <v>0</v>
      </c>
    </row>
    <row r="24" spans="2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>
        <f t="shared" si="1"/>
        <v>0</v>
      </c>
    </row>
    <row r="25" spans="2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>
        <f t="shared" si="1"/>
        <v>0</v>
      </c>
    </row>
    <row r="26" spans="2:16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>
        <f t="shared" si="1"/>
        <v>0</v>
      </c>
    </row>
    <row r="27" spans="2:16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2:16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>
        <f>SUM(N20:N27)</f>
        <v>19015.98</v>
      </c>
    </row>
    <row r="29" spans="2:16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6">
      <c r="B30" s="248" t="s">
        <v>61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249"/>
    </row>
    <row r="31" spans="2:16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2:16" ht="25.5">
      <c r="B32" s="330" t="s">
        <v>62</v>
      </c>
      <c r="C32" s="331"/>
      <c r="D32" s="331"/>
      <c r="E32" s="331"/>
      <c r="F32" s="331"/>
      <c r="G32" s="331"/>
      <c r="H32" s="294" t="s">
        <v>47</v>
      </c>
      <c r="I32" s="295" t="s">
        <v>63</v>
      </c>
      <c r="J32" s="326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2:14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2:14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2:14" ht="15.75" thickBot="1">
      <c r="B39" s="626" t="s">
        <v>58</v>
      </c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8"/>
      <c r="N39" s="260">
        <f>SUM(N33:N38)</f>
        <v>0</v>
      </c>
    </row>
    <row r="40" spans="2:14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4">
      <c r="B41" s="248" t="s">
        <v>68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249"/>
    </row>
    <row r="42" spans="2:14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4" ht="25.5" customHeight="1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326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4">
      <c r="B44" s="280" t="s">
        <v>237</v>
      </c>
      <c r="C44" s="270"/>
      <c r="D44" s="270"/>
      <c r="E44" s="270"/>
      <c r="F44" s="270"/>
      <c r="G44" s="270"/>
      <c r="H44" s="270"/>
      <c r="I44" s="281">
        <v>27604</v>
      </c>
      <c r="J44" s="35">
        <v>167</v>
      </c>
      <c r="K44" s="36">
        <f>+J44*I44/100</f>
        <v>46098.68</v>
      </c>
      <c r="L44" s="282"/>
      <c r="M44" s="37">
        <v>0.31</v>
      </c>
      <c r="N44" s="38">
        <f>+M44*K44</f>
        <v>14290.5908</v>
      </c>
    </row>
    <row r="45" spans="2:14">
      <c r="B45" s="280" t="s">
        <v>285</v>
      </c>
      <c r="C45" s="270"/>
      <c r="D45" s="270"/>
      <c r="E45" s="270"/>
      <c r="F45" s="270"/>
      <c r="G45" s="270"/>
      <c r="H45" s="270"/>
      <c r="I45" s="281">
        <v>41406</v>
      </c>
      <c r="J45" s="35">
        <v>167</v>
      </c>
      <c r="K45" s="36">
        <f>+J45*I45/100</f>
        <v>69148.02</v>
      </c>
      <c r="L45" s="282"/>
      <c r="M45" s="284">
        <v>0.31</v>
      </c>
      <c r="N45" s="38">
        <f>+M45*K45</f>
        <v>21435.886200000001</v>
      </c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626" t="s">
        <v>58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260">
        <f>SUM(N44:N49)</f>
        <v>35726.476999999999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675" t="s">
        <v>74</v>
      </c>
      <c r="C52" s="676"/>
      <c r="D52" s="676"/>
      <c r="E52" s="676"/>
      <c r="F52" s="676"/>
      <c r="G52" s="676"/>
      <c r="H52" s="676"/>
      <c r="I52" s="676"/>
      <c r="J52" s="676"/>
      <c r="K52" s="676"/>
      <c r="L52" s="676"/>
      <c r="M52" s="677"/>
      <c r="N52" s="311">
        <f>ROUND((N50+N39+N28+N15),0)</f>
        <v>127437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29310.510000000002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1274.3700000000001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8920.59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39505.47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166942</v>
      </c>
    </row>
  </sheetData>
  <mergeCells count="48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52:M52"/>
    <mergeCell ref="B48:H48"/>
    <mergeCell ref="L48:M48"/>
    <mergeCell ref="B49:M49"/>
    <mergeCell ref="B51:M51"/>
    <mergeCell ref="C1:I1"/>
    <mergeCell ref="L1:M1"/>
    <mergeCell ref="C2:I2"/>
    <mergeCell ref="L2:M2"/>
    <mergeCell ref="C3:I3"/>
    <mergeCell ref="L3:M3"/>
    <mergeCell ref="B28:M28"/>
    <mergeCell ref="B39:M39"/>
    <mergeCell ref="B12:H12"/>
    <mergeCell ref="I12:J12"/>
    <mergeCell ref="L12:M12"/>
    <mergeCell ref="B13:H13"/>
    <mergeCell ref="B20:I20"/>
    <mergeCell ref="L32:M32"/>
    <mergeCell ref="B14:D14"/>
    <mergeCell ref="B16:M16"/>
    <mergeCell ref="B26:I26"/>
    <mergeCell ref="L26:M26"/>
    <mergeCell ref="B27:M27"/>
    <mergeCell ref="B7:H7"/>
    <mergeCell ref="I7:J7"/>
    <mergeCell ref="L7:M7"/>
    <mergeCell ref="B15:M15"/>
    <mergeCell ref="B19:I19"/>
    <mergeCell ref="L19:M19"/>
    <mergeCell ref="B8:H8"/>
    <mergeCell ref="B9:H9"/>
    <mergeCell ref="B10:H10"/>
    <mergeCell ref="B11:H11"/>
    <mergeCell ref="B43:H43"/>
    <mergeCell ref="L43:M43"/>
    <mergeCell ref="B50:M50"/>
    <mergeCell ref="L37:M37"/>
    <mergeCell ref="B38:M38"/>
  </mergeCells>
  <pageMargins left="0.7" right="0.7" top="0.75" bottom="0.75" header="0.3" footer="0.3"/>
  <ignoredErrors>
    <ignoredError sqref="N10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4" workbookViewId="0">
      <selection activeCell="I68" sqref="I68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48" t="s">
        <v>45</v>
      </c>
      <c r="C2" s="787" t="s">
        <v>3</v>
      </c>
      <c r="D2" s="788"/>
      <c r="E2" s="788"/>
      <c r="F2" s="788"/>
      <c r="G2" s="788"/>
      <c r="H2" s="788"/>
      <c r="I2" s="788"/>
      <c r="J2" s="349"/>
      <c r="K2" s="350" t="s">
        <v>46</v>
      </c>
      <c r="L2" s="789" t="s">
        <v>47</v>
      </c>
      <c r="M2" s="790"/>
      <c r="N2" s="348" t="s">
        <v>5</v>
      </c>
    </row>
    <row r="3" spans="2:16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  <c r="P3" s="88"/>
    </row>
    <row r="4" spans="2:16" ht="15.75" thickBot="1">
      <c r="B4" s="204">
        <v>500.11</v>
      </c>
      <c r="C4" s="604" t="s">
        <v>315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  <c r="P4" s="88"/>
    </row>
    <row r="5" spans="2:16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  <c r="P5" s="88"/>
    </row>
    <row r="6" spans="2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P6" s="88"/>
    </row>
    <row r="7" spans="2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  <c r="P7" s="88"/>
    </row>
    <row r="8" spans="2:16">
      <c r="B8" s="608" t="s">
        <v>3</v>
      </c>
      <c r="C8" s="609"/>
      <c r="D8" s="609"/>
      <c r="E8" s="609"/>
      <c r="F8" s="609"/>
      <c r="G8" s="609"/>
      <c r="H8" s="610"/>
      <c r="I8" s="613" t="s">
        <v>51</v>
      </c>
      <c r="J8" s="610"/>
      <c r="K8" s="286" t="s">
        <v>52</v>
      </c>
      <c r="L8" s="613" t="s">
        <v>53</v>
      </c>
      <c r="M8" s="610"/>
      <c r="N8" s="287" t="s">
        <v>54</v>
      </c>
      <c r="P8" s="88"/>
    </row>
    <row r="9" spans="2:16">
      <c r="B9" s="600" t="s">
        <v>317</v>
      </c>
      <c r="C9" s="682"/>
      <c r="D9" s="682"/>
      <c r="E9" s="682"/>
      <c r="F9" s="682"/>
      <c r="G9" s="682"/>
      <c r="H9" s="603"/>
      <c r="I9" s="227"/>
      <c r="J9" s="228"/>
      <c r="K9" s="229">
        <v>134362</v>
      </c>
      <c r="L9" s="230"/>
      <c r="M9" s="231">
        <v>0.7</v>
      </c>
      <c r="N9" s="232">
        <f>+M9*K9</f>
        <v>94053.4</v>
      </c>
      <c r="P9" s="88"/>
    </row>
    <row r="10" spans="2:16">
      <c r="B10" s="600" t="s">
        <v>318</v>
      </c>
      <c r="C10" s="601"/>
      <c r="D10" s="601"/>
      <c r="E10" s="601"/>
      <c r="F10" s="601"/>
      <c r="G10" s="601"/>
      <c r="H10" s="603"/>
      <c r="I10" s="227"/>
      <c r="J10" s="228"/>
      <c r="K10" s="229">
        <v>34749</v>
      </c>
      <c r="L10" s="230"/>
      <c r="M10" s="231">
        <v>0.5</v>
      </c>
      <c r="N10" s="232">
        <f>+M10*K10</f>
        <v>17374.5</v>
      </c>
      <c r="P10" s="88"/>
    </row>
    <row r="11" spans="2:16">
      <c r="B11" s="600" t="s">
        <v>319</v>
      </c>
      <c r="C11" s="601"/>
      <c r="D11" s="601"/>
      <c r="E11" s="601"/>
      <c r="F11" s="601"/>
      <c r="G11" s="601"/>
      <c r="H11" s="603"/>
      <c r="I11" s="227"/>
      <c r="J11" s="228"/>
      <c r="K11" s="229">
        <v>52123</v>
      </c>
      <c r="L11" s="230"/>
      <c r="M11" s="231">
        <v>0.1</v>
      </c>
      <c r="N11" s="232">
        <f>+M11*K11</f>
        <v>5212.3</v>
      </c>
      <c r="P11" s="88"/>
    </row>
    <row r="12" spans="2:16">
      <c r="B12" s="600" t="s">
        <v>320</v>
      </c>
      <c r="C12" s="601"/>
      <c r="D12" s="601"/>
      <c r="E12" s="601"/>
      <c r="F12" s="601"/>
      <c r="G12" s="601"/>
      <c r="H12" s="603"/>
      <c r="I12" s="227"/>
      <c r="J12" s="228"/>
      <c r="K12" s="229">
        <v>115828</v>
      </c>
      <c r="L12" s="230"/>
      <c r="M12" s="231">
        <v>4.1000000000000002E-2</v>
      </c>
      <c r="N12" s="233">
        <f>+M12*K12</f>
        <v>4748.9480000000003</v>
      </c>
      <c r="P12" s="88"/>
    </row>
    <row r="13" spans="2:16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  <c r="P13" s="88"/>
    </row>
    <row r="14" spans="2:16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239">
        <v>0.1</v>
      </c>
      <c r="N14" s="240">
        <f>+N51*M14</f>
        <v>10890.813150000002</v>
      </c>
      <c r="P14" s="88"/>
    </row>
    <row r="15" spans="2:16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  <c r="P15" s="88"/>
    </row>
    <row r="16" spans="2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60">
        <f>SUM(N9:N15)</f>
        <v>132279.96114999999</v>
      </c>
    </row>
    <row r="17" spans="2:14" ht="15.75" thickBot="1">
      <c r="B17" s="626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/>
    </row>
    <row r="18" spans="2:14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 ht="15" customHeight="1">
      <c r="B21" s="600" t="s">
        <v>322</v>
      </c>
      <c r="C21" s="682"/>
      <c r="D21" s="682"/>
      <c r="E21" s="682"/>
      <c r="F21" s="682"/>
      <c r="G21" s="682"/>
      <c r="H21" s="682"/>
      <c r="I21" s="603"/>
      <c r="J21" s="254" t="s">
        <v>27</v>
      </c>
      <c r="K21" s="255">
        <v>6</v>
      </c>
      <c r="L21" s="346"/>
      <c r="M21" s="343">
        <v>11142</v>
      </c>
      <c r="N21" s="232">
        <f t="shared" ref="N21:N27" si="0">+M21*K21</f>
        <v>66852</v>
      </c>
    </row>
    <row r="22" spans="2:14">
      <c r="B22" s="252" t="s">
        <v>323</v>
      </c>
      <c r="C22" s="253"/>
      <c r="D22" s="253"/>
      <c r="E22" s="253"/>
      <c r="F22" s="253"/>
      <c r="G22" s="253"/>
      <c r="H22" s="253"/>
      <c r="I22" s="228"/>
      <c r="J22" s="254" t="s">
        <v>27</v>
      </c>
      <c r="K22" s="255">
        <v>1</v>
      </c>
      <c r="L22" s="227"/>
      <c r="M22" s="345">
        <v>9200</v>
      </c>
      <c r="N22" s="435">
        <f t="shared" si="0"/>
        <v>9200</v>
      </c>
    </row>
    <row r="23" spans="2:14">
      <c r="B23" s="252" t="s">
        <v>324</v>
      </c>
      <c r="C23" s="253"/>
      <c r="D23" s="253"/>
      <c r="E23" s="253"/>
      <c r="F23" s="253"/>
      <c r="G23" s="253"/>
      <c r="H23" s="253"/>
      <c r="I23" s="228"/>
      <c r="J23" s="254" t="s">
        <v>27</v>
      </c>
      <c r="K23" s="255">
        <v>1</v>
      </c>
      <c r="L23" s="227"/>
      <c r="M23" s="345">
        <v>8500</v>
      </c>
      <c r="N23" s="435">
        <f t="shared" si="0"/>
        <v>8500</v>
      </c>
    </row>
    <row r="24" spans="2:14">
      <c r="B24" s="252" t="s">
        <v>325</v>
      </c>
      <c r="C24" s="253"/>
      <c r="D24" s="253"/>
      <c r="E24" s="253"/>
      <c r="F24" s="253"/>
      <c r="G24" s="253"/>
      <c r="H24" s="253"/>
      <c r="I24" s="228"/>
      <c r="J24" s="254" t="s">
        <v>314</v>
      </c>
      <c r="K24" s="255">
        <v>0.1</v>
      </c>
      <c r="L24" s="227"/>
      <c r="M24" s="345">
        <v>83568</v>
      </c>
      <c r="N24" s="435">
        <f t="shared" si="0"/>
        <v>8356.8000000000011</v>
      </c>
    </row>
    <row r="25" spans="2:14">
      <c r="B25" s="252" t="s">
        <v>326</v>
      </c>
      <c r="C25" s="253"/>
      <c r="D25" s="253"/>
      <c r="E25" s="253"/>
      <c r="F25" s="253"/>
      <c r="G25" s="253"/>
      <c r="H25" s="253"/>
      <c r="I25" s="228"/>
      <c r="J25" s="254" t="s">
        <v>27</v>
      </c>
      <c r="K25" s="255">
        <v>3</v>
      </c>
      <c r="L25" s="227"/>
      <c r="M25" s="345">
        <v>1393</v>
      </c>
      <c r="N25" s="435">
        <f t="shared" si="0"/>
        <v>4179</v>
      </c>
    </row>
    <row r="26" spans="2:14">
      <c r="B26" s="252" t="s">
        <v>327</v>
      </c>
      <c r="C26" s="253"/>
      <c r="D26" s="253"/>
      <c r="E26" s="253"/>
      <c r="F26" s="253"/>
      <c r="G26" s="253"/>
      <c r="H26" s="253"/>
      <c r="I26" s="228"/>
      <c r="J26" s="254" t="s">
        <v>25</v>
      </c>
      <c r="K26" s="255">
        <v>50</v>
      </c>
      <c r="L26" s="227"/>
      <c r="M26" s="345">
        <v>632</v>
      </c>
      <c r="N26" s="435">
        <f t="shared" si="0"/>
        <v>31600</v>
      </c>
    </row>
    <row r="27" spans="2:14" ht="15.75" thickBot="1">
      <c r="B27" s="629" t="s">
        <v>328</v>
      </c>
      <c r="C27" s="630"/>
      <c r="D27" s="630"/>
      <c r="E27" s="630"/>
      <c r="F27" s="630"/>
      <c r="G27" s="630"/>
      <c r="H27" s="630"/>
      <c r="I27" s="615"/>
      <c r="J27" s="241" t="s">
        <v>25</v>
      </c>
      <c r="K27" s="258">
        <v>1</v>
      </c>
      <c r="L27" s="333"/>
      <c r="M27" s="343">
        <v>5850</v>
      </c>
      <c r="N27" s="436">
        <f t="shared" si="0"/>
        <v>5850</v>
      </c>
    </row>
    <row r="28" spans="2:14" ht="15.75" thickBot="1">
      <c r="B28" s="626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/>
    </row>
    <row r="29" spans="2:14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SUM(N21:N28)</f>
        <v>134537.79999999999</v>
      </c>
    </row>
    <row r="30" spans="2:14">
      <c r="B30" s="24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4">
      <c r="B31" s="248" t="s">
        <v>61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249"/>
    </row>
    <row r="32" spans="2:14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4" ht="25.5">
      <c r="B33" s="330" t="s">
        <v>62</v>
      </c>
      <c r="C33" s="331"/>
      <c r="D33" s="331"/>
      <c r="E33" s="331"/>
      <c r="F33" s="331"/>
      <c r="G33" s="331"/>
      <c r="H33" s="294" t="s">
        <v>47</v>
      </c>
      <c r="I33" s="295" t="s">
        <v>63</v>
      </c>
      <c r="J33" s="326" t="s">
        <v>64</v>
      </c>
      <c r="K33" s="294" t="s">
        <v>65</v>
      </c>
      <c r="L33" s="633" t="s">
        <v>66</v>
      </c>
      <c r="M33" s="634"/>
      <c r="N33" s="298" t="s">
        <v>54</v>
      </c>
    </row>
    <row r="34" spans="2:14">
      <c r="B34" s="34" t="s">
        <v>329</v>
      </c>
      <c r="C34" s="270"/>
      <c r="D34" s="270"/>
      <c r="E34" s="270"/>
      <c r="F34" s="270"/>
      <c r="G34" s="270"/>
      <c r="H34" s="271" t="s">
        <v>314</v>
      </c>
      <c r="I34" s="244">
        <v>1.7</v>
      </c>
      <c r="J34" s="244">
        <v>1170</v>
      </c>
      <c r="K34" s="244">
        <f>+J34*I34</f>
        <v>1989</v>
      </c>
      <c r="L34" s="339"/>
      <c r="M34" s="340"/>
      <c r="N34" s="274">
        <f>+K34</f>
        <v>1989</v>
      </c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4" ht="15.75" thickBot="1">
      <c r="B39" s="646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279"/>
    </row>
    <row r="40" spans="2:14" ht="15.75" thickBot="1">
      <c r="B40" s="626" t="s">
        <v>58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8"/>
      <c r="N40" s="260">
        <f>SUM(N34:N39)</f>
        <v>1989</v>
      </c>
    </row>
    <row r="41" spans="2:14">
      <c r="B41" s="24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4">
      <c r="B42" s="248" t="s">
        <v>68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249"/>
    </row>
    <row r="43" spans="2:14" ht="15.75" thickBo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</row>
    <row r="44" spans="2:14" ht="25.5">
      <c r="B44" s="640" t="s">
        <v>69</v>
      </c>
      <c r="C44" s="598"/>
      <c r="D44" s="598"/>
      <c r="E44" s="598"/>
      <c r="F44" s="598"/>
      <c r="G44" s="598"/>
      <c r="H44" s="598"/>
      <c r="I44" s="294" t="s">
        <v>70</v>
      </c>
      <c r="J44" s="326" t="s">
        <v>71</v>
      </c>
      <c r="K44" s="295" t="s">
        <v>72</v>
      </c>
      <c r="L44" s="641" t="s">
        <v>53</v>
      </c>
      <c r="M44" s="642"/>
      <c r="N44" s="299" t="s">
        <v>54</v>
      </c>
    </row>
    <row r="45" spans="2:14">
      <c r="B45" s="280" t="s">
        <v>321</v>
      </c>
      <c r="C45" s="270"/>
      <c r="D45" s="270"/>
      <c r="E45" s="270"/>
      <c r="F45" s="270"/>
      <c r="G45" s="270"/>
      <c r="H45" s="270"/>
      <c r="I45" s="281">
        <f>27604*3</f>
        <v>82812</v>
      </c>
      <c r="J45" s="35">
        <v>167</v>
      </c>
      <c r="K45" s="36">
        <f>+J45*I45/100</f>
        <v>138296.04</v>
      </c>
      <c r="L45" s="282"/>
      <c r="M45" s="193">
        <v>0.52500000000000002</v>
      </c>
      <c r="N45" s="38">
        <f>+M45*K45</f>
        <v>72605.421000000002</v>
      </c>
    </row>
    <row r="46" spans="2:14">
      <c r="B46" s="280" t="s">
        <v>285</v>
      </c>
      <c r="C46" s="270"/>
      <c r="D46" s="270"/>
      <c r="E46" s="270"/>
      <c r="F46" s="270"/>
      <c r="G46" s="270"/>
      <c r="H46" s="270"/>
      <c r="I46" s="433">
        <v>41406</v>
      </c>
      <c r="J46" s="437">
        <v>167</v>
      </c>
      <c r="K46" s="433">
        <f>+J46*I46/100</f>
        <v>69148.02</v>
      </c>
      <c r="L46" s="282"/>
      <c r="M46" s="304">
        <v>0.52500000000000002</v>
      </c>
      <c r="N46" s="38">
        <f>+M46*K46</f>
        <v>36302.710500000001</v>
      </c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4" ht="15.75" thickBot="1"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/>
    </row>
    <row r="51" spans="2:14" ht="15.75" thickBot="1">
      <c r="B51" s="626" t="s">
        <v>58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60">
        <f>SUM(N45:N50)</f>
        <v>108908.1315</v>
      </c>
    </row>
    <row r="52" spans="2:14" ht="15.75" thickBot="1">
      <c r="B52" s="626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247"/>
    </row>
    <row r="53" spans="2:14" ht="15.75" thickBot="1">
      <c r="B53" s="675" t="s">
        <v>74</v>
      </c>
      <c r="C53" s="676"/>
      <c r="D53" s="676"/>
      <c r="E53" s="676"/>
      <c r="F53" s="676"/>
      <c r="G53" s="676"/>
      <c r="H53" s="676"/>
      <c r="I53" s="676"/>
      <c r="J53" s="676"/>
      <c r="K53" s="676"/>
      <c r="L53" s="676"/>
      <c r="M53" s="677"/>
      <c r="N53" s="311">
        <f>ROUND((N51+N40+N29+N16),0)</f>
        <v>377715</v>
      </c>
    </row>
    <row r="54" spans="2:14">
      <c r="B54" s="660" t="s">
        <v>432</v>
      </c>
      <c r="C54" s="661"/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2"/>
    </row>
    <row r="55" spans="2:14">
      <c r="B55" s="663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5"/>
    </row>
    <row r="56" spans="2:14" ht="15.75" thickBot="1">
      <c r="B56" s="666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8"/>
    </row>
    <row r="57" spans="2:14">
      <c r="B57" s="669" t="s">
        <v>433</v>
      </c>
      <c r="C57" s="670"/>
      <c r="D57" s="670"/>
      <c r="E57" s="670"/>
      <c r="F57" s="670"/>
      <c r="G57" s="670"/>
      <c r="H57" s="670"/>
      <c r="I57" s="402"/>
      <c r="J57" s="417"/>
      <c r="K57" s="410" t="s">
        <v>434</v>
      </c>
      <c r="L57" s="671" t="s">
        <v>156</v>
      </c>
      <c r="M57" s="672"/>
      <c r="N57" s="411"/>
    </row>
    <row r="58" spans="2:14">
      <c r="B58" s="673" t="s">
        <v>75</v>
      </c>
      <c r="C58" s="674"/>
      <c r="D58" s="674"/>
      <c r="E58" s="674"/>
      <c r="F58" s="674"/>
      <c r="G58" s="674"/>
      <c r="H58" s="674"/>
      <c r="I58" s="418"/>
      <c r="J58" s="419"/>
      <c r="K58" s="420">
        <v>0.23</v>
      </c>
      <c r="L58" s="650"/>
      <c r="M58" s="651"/>
      <c r="N58" s="421">
        <f>+N53*K58</f>
        <v>86874.45</v>
      </c>
    </row>
    <row r="59" spans="2:14">
      <c r="B59" s="422" t="s">
        <v>435</v>
      </c>
      <c r="C59" s="399"/>
      <c r="D59" s="399"/>
      <c r="E59" s="399"/>
      <c r="F59" s="399"/>
      <c r="G59" s="399"/>
      <c r="H59" s="399"/>
      <c r="I59" s="418"/>
      <c r="J59" s="419"/>
      <c r="K59" s="420">
        <v>0.01</v>
      </c>
      <c r="L59" s="650"/>
      <c r="M59" s="651"/>
      <c r="N59" s="421">
        <f>+N53*K59</f>
        <v>3777.15</v>
      </c>
    </row>
    <row r="60" spans="2:14" ht="15.75" thickBot="1">
      <c r="B60" s="390" t="s">
        <v>76</v>
      </c>
      <c r="C60" s="391"/>
      <c r="D60" s="391"/>
      <c r="E60" s="391"/>
      <c r="F60" s="391"/>
      <c r="G60" s="391"/>
      <c r="H60" s="391"/>
      <c r="I60" s="423"/>
      <c r="J60" s="424"/>
      <c r="K60" s="420">
        <v>7.0000000000000007E-2</v>
      </c>
      <c r="L60" s="652"/>
      <c r="M60" s="653"/>
      <c r="N60" s="421">
        <f>+N53*K60</f>
        <v>26440.050000000003</v>
      </c>
    </row>
    <row r="61" spans="2:14" ht="15.75" thickBot="1">
      <c r="B61" s="654" t="s">
        <v>58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6"/>
      <c r="N61" s="425">
        <f>N58+N59+N60</f>
        <v>117091.65</v>
      </c>
    </row>
    <row r="62" spans="2:14" ht="15.75" thickBot="1">
      <c r="B62" s="381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82"/>
    </row>
    <row r="63" spans="2:14" ht="15.75" thickBot="1">
      <c r="B63" s="657" t="s">
        <v>436</v>
      </c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9"/>
      <c r="N63" s="426">
        <f>ROUND((N61+N53),0)</f>
        <v>494807</v>
      </c>
    </row>
  </sheetData>
  <mergeCells count="47"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  <mergeCell ref="B53:M53"/>
    <mergeCell ref="B49:H49"/>
    <mergeCell ref="L49:M49"/>
    <mergeCell ref="B50:M50"/>
    <mergeCell ref="B52:M52"/>
    <mergeCell ref="C2:I2"/>
    <mergeCell ref="L2:M2"/>
    <mergeCell ref="C3:I3"/>
    <mergeCell ref="L3:M3"/>
    <mergeCell ref="C4:I4"/>
    <mergeCell ref="L4:M4"/>
    <mergeCell ref="B29:M29"/>
    <mergeCell ref="B16:M16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B28:M28"/>
    <mergeCell ref="B8:H8"/>
    <mergeCell ref="I8:J8"/>
    <mergeCell ref="L8:M8"/>
    <mergeCell ref="B20:I20"/>
    <mergeCell ref="L20:M20"/>
    <mergeCell ref="B9:H9"/>
    <mergeCell ref="B10:H10"/>
    <mergeCell ref="B11:H11"/>
    <mergeCell ref="B12:H12"/>
    <mergeCell ref="B44:H44"/>
    <mergeCell ref="L44:M44"/>
    <mergeCell ref="B51:M51"/>
    <mergeCell ref="L38:M38"/>
    <mergeCell ref="B39:M3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46" workbookViewId="0">
      <selection activeCell="J74" sqref="J74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48" t="s">
        <v>45</v>
      </c>
      <c r="C2" s="787" t="s">
        <v>3</v>
      </c>
      <c r="D2" s="788"/>
      <c r="E2" s="788"/>
      <c r="F2" s="788"/>
      <c r="G2" s="788"/>
      <c r="H2" s="788"/>
      <c r="I2" s="788"/>
      <c r="J2" s="349"/>
      <c r="K2" s="350" t="s">
        <v>46</v>
      </c>
      <c r="L2" s="789" t="s">
        <v>47</v>
      </c>
      <c r="M2" s="790"/>
      <c r="N2" s="348" t="s">
        <v>5</v>
      </c>
    </row>
    <row r="3" spans="2:16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  <c r="P3" s="88"/>
    </row>
    <row r="4" spans="2:16" ht="15.75" thickBot="1">
      <c r="B4" s="204" t="s">
        <v>286</v>
      </c>
      <c r="C4" s="604" t="s">
        <v>330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  <c r="P4" s="88"/>
    </row>
    <row r="5" spans="2:16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  <c r="P5" s="88"/>
    </row>
    <row r="6" spans="2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  <c r="P6" s="88"/>
    </row>
    <row r="7" spans="2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  <c r="P7" s="88"/>
    </row>
    <row r="8" spans="2:16">
      <c r="B8" s="608" t="s">
        <v>3</v>
      </c>
      <c r="C8" s="609"/>
      <c r="D8" s="609"/>
      <c r="E8" s="609"/>
      <c r="F8" s="609"/>
      <c r="G8" s="609"/>
      <c r="H8" s="610"/>
      <c r="I8" s="613" t="s">
        <v>51</v>
      </c>
      <c r="J8" s="610"/>
      <c r="K8" s="286" t="s">
        <v>52</v>
      </c>
      <c r="L8" s="613" t="s">
        <v>53</v>
      </c>
      <c r="M8" s="610"/>
      <c r="N8" s="287" t="s">
        <v>54</v>
      </c>
      <c r="P8" s="88"/>
    </row>
    <row r="9" spans="2:16">
      <c r="B9" s="600" t="s">
        <v>317</v>
      </c>
      <c r="C9" s="682"/>
      <c r="D9" s="682"/>
      <c r="E9" s="682"/>
      <c r="F9" s="682"/>
      <c r="G9" s="682"/>
      <c r="H9" s="603"/>
      <c r="I9" s="227"/>
      <c r="J9" s="228"/>
      <c r="K9" s="229">
        <v>134362</v>
      </c>
      <c r="L9" s="230"/>
      <c r="M9" s="231">
        <v>0.7</v>
      </c>
      <c r="N9" s="232">
        <f>+M9*K9</f>
        <v>94053.4</v>
      </c>
      <c r="P9" s="88"/>
    </row>
    <row r="10" spans="2:16">
      <c r="B10" s="600" t="s">
        <v>318</v>
      </c>
      <c r="C10" s="601"/>
      <c r="D10" s="601"/>
      <c r="E10" s="601"/>
      <c r="F10" s="601"/>
      <c r="G10" s="601"/>
      <c r="H10" s="603"/>
      <c r="I10" s="227"/>
      <c r="J10" s="228"/>
      <c r="K10" s="229">
        <v>34749</v>
      </c>
      <c r="L10" s="230"/>
      <c r="M10" s="231">
        <v>0.5</v>
      </c>
      <c r="N10" s="232">
        <f>+M10*K10</f>
        <v>17374.5</v>
      </c>
      <c r="P10" s="88"/>
    </row>
    <row r="11" spans="2:16">
      <c r="B11" s="600" t="s">
        <v>319</v>
      </c>
      <c r="C11" s="601"/>
      <c r="D11" s="601"/>
      <c r="E11" s="601"/>
      <c r="F11" s="601"/>
      <c r="G11" s="601"/>
      <c r="H11" s="603"/>
      <c r="I11" s="227"/>
      <c r="J11" s="228"/>
      <c r="K11" s="229">
        <v>52123</v>
      </c>
      <c r="L11" s="230"/>
      <c r="M11" s="231">
        <v>0.1</v>
      </c>
      <c r="N11" s="232">
        <f>+M11*K11</f>
        <v>5212.3</v>
      </c>
      <c r="P11" s="88"/>
    </row>
    <row r="12" spans="2:16">
      <c r="B12" s="600" t="s">
        <v>320</v>
      </c>
      <c r="C12" s="601"/>
      <c r="D12" s="601"/>
      <c r="E12" s="601"/>
      <c r="F12" s="601"/>
      <c r="G12" s="601"/>
      <c r="H12" s="603"/>
      <c r="I12" s="227"/>
      <c r="J12" s="228"/>
      <c r="K12" s="229">
        <v>115828</v>
      </c>
      <c r="L12" s="230"/>
      <c r="M12" s="231">
        <v>4.1000000000000002E-2</v>
      </c>
      <c r="N12" s="233">
        <f>+M12*K12</f>
        <v>4748.9480000000003</v>
      </c>
      <c r="P12" s="88"/>
    </row>
    <row r="13" spans="2:16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  <c r="P13" s="88"/>
    </row>
    <row r="14" spans="2:16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239">
        <v>0.1</v>
      </c>
      <c r="N14" s="240">
        <f>+N51*M14</f>
        <v>10890.813150000002</v>
      </c>
      <c r="P14" s="88"/>
    </row>
    <row r="15" spans="2:16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  <c r="P15" s="88"/>
    </row>
    <row r="16" spans="2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60">
        <f>SUM(N9:N15)</f>
        <v>132279.96114999999</v>
      </c>
    </row>
    <row r="17" spans="2:14" ht="15.75" thickBot="1">
      <c r="B17" s="626"/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N17" s="247"/>
    </row>
    <row r="18" spans="2:14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 ht="15" customHeight="1">
      <c r="B21" s="600" t="s">
        <v>322</v>
      </c>
      <c r="C21" s="682"/>
      <c r="D21" s="682"/>
      <c r="E21" s="682"/>
      <c r="F21" s="682"/>
      <c r="G21" s="682"/>
      <c r="H21" s="682"/>
      <c r="I21" s="603"/>
      <c r="J21" s="254" t="s">
        <v>27</v>
      </c>
      <c r="K21" s="255">
        <v>9</v>
      </c>
      <c r="L21" s="346"/>
      <c r="M21" s="343">
        <v>11142</v>
      </c>
      <c r="N21" s="232">
        <f t="shared" ref="N21:N27" si="0">+M21*K21</f>
        <v>100278</v>
      </c>
    </row>
    <row r="22" spans="2:14">
      <c r="B22" s="252" t="s">
        <v>323</v>
      </c>
      <c r="C22" s="253"/>
      <c r="D22" s="253"/>
      <c r="E22" s="253"/>
      <c r="F22" s="253"/>
      <c r="G22" s="253"/>
      <c r="H22" s="253"/>
      <c r="I22" s="228"/>
      <c r="J22" s="254" t="s">
        <v>27</v>
      </c>
      <c r="K22" s="255">
        <v>1</v>
      </c>
      <c r="L22" s="227"/>
      <c r="M22" s="256">
        <v>9200</v>
      </c>
      <c r="N22" s="257">
        <f t="shared" si="0"/>
        <v>9200</v>
      </c>
    </row>
    <row r="23" spans="2:14">
      <c r="B23" s="252" t="s">
        <v>324</v>
      </c>
      <c r="C23" s="253"/>
      <c r="D23" s="253"/>
      <c r="E23" s="253"/>
      <c r="F23" s="253"/>
      <c r="G23" s="253"/>
      <c r="H23" s="253"/>
      <c r="I23" s="228"/>
      <c r="J23" s="254" t="s">
        <v>27</v>
      </c>
      <c r="K23" s="255">
        <v>1</v>
      </c>
      <c r="L23" s="227"/>
      <c r="M23" s="256">
        <v>8500</v>
      </c>
      <c r="N23" s="257">
        <f t="shared" si="0"/>
        <v>8500</v>
      </c>
    </row>
    <row r="24" spans="2:14">
      <c r="B24" s="252" t="s">
        <v>325</v>
      </c>
      <c r="C24" s="253"/>
      <c r="D24" s="253"/>
      <c r="E24" s="253"/>
      <c r="F24" s="253"/>
      <c r="G24" s="253"/>
      <c r="H24" s="253"/>
      <c r="I24" s="228"/>
      <c r="J24" s="254" t="s">
        <v>314</v>
      </c>
      <c r="K24" s="255">
        <v>0.1</v>
      </c>
      <c r="L24" s="227"/>
      <c r="M24" s="256">
        <v>83568</v>
      </c>
      <c r="N24" s="257">
        <f t="shared" si="0"/>
        <v>8356.8000000000011</v>
      </c>
    </row>
    <row r="25" spans="2:14">
      <c r="B25" s="252" t="s">
        <v>326</v>
      </c>
      <c r="C25" s="253"/>
      <c r="D25" s="253"/>
      <c r="E25" s="253"/>
      <c r="F25" s="253"/>
      <c r="G25" s="253"/>
      <c r="H25" s="253"/>
      <c r="I25" s="228"/>
      <c r="J25" s="254" t="s">
        <v>27</v>
      </c>
      <c r="K25" s="255">
        <v>3</v>
      </c>
      <c r="L25" s="227"/>
      <c r="M25" s="256">
        <v>1393</v>
      </c>
      <c r="N25" s="257">
        <f t="shared" si="0"/>
        <v>4179</v>
      </c>
    </row>
    <row r="26" spans="2:14">
      <c r="B26" s="252" t="s">
        <v>327</v>
      </c>
      <c r="C26" s="253"/>
      <c r="D26" s="253"/>
      <c r="E26" s="253"/>
      <c r="F26" s="253"/>
      <c r="G26" s="253"/>
      <c r="H26" s="253"/>
      <c r="I26" s="228"/>
      <c r="J26" s="254" t="s">
        <v>25</v>
      </c>
      <c r="K26" s="255">
        <v>50</v>
      </c>
      <c r="L26" s="227"/>
      <c r="M26" s="256">
        <v>632</v>
      </c>
      <c r="N26" s="257">
        <f t="shared" si="0"/>
        <v>31600</v>
      </c>
    </row>
    <row r="27" spans="2:14" ht="15.75" thickBot="1">
      <c r="B27" s="629" t="s">
        <v>328</v>
      </c>
      <c r="C27" s="630"/>
      <c r="D27" s="630"/>
      <c r="E27" s="630"/>
      <c r="F27" s="630"/>
      <c r="G27" s="630"/>
      <c r="H27" s="630"/>
      <c r="I27" s="615"/>
      <c r="J27" s="199" t="s">
        <v>25</v>
      </c>
      <c r="K27" s="258">
        <v>1</v>
      </c>
      <c r="L27" s="631"/>
      <c r="M27" s="632">
        <v>5850</v>
      </c>
      <c r="N27" s="259">
        <f t="shared" si="0"/>
        <v>5850</v>
      </c>
    </row>
    <row r="28" spans="2:14" ht="15.75" thickBot="1">
      <c r="B28" s="626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/>
    </row>
    <row r="29" spans="2:14" ht="15.75" thickBot="1">
      <c r="B29" s="626" t="s">
        <v>58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8"/>
      <c r="N29" s="260">
        <f>SUM(N21:N28)</f>
        <v>167963.8</v>
      </c>
    </row>
    <row r="30" spans="2:14">
      <c r="B30" s="248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4">
      <c r="B31" s="248" t="s">
        <v>61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249"/>
    </row>
    <row r="32" spans="2:14" ht="15.75" thickBot="1"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2:14" ht="25.5">
      <c r="B33" s="330" t="s">
        <v>62</v>
      </c>
      <c r="C33" s="331"/>
      <c r="D33" s="331"/>
      <c r="E33" s="331"/>
      <c r="F33" s="331"/>
      <c r="G33" s="331"/>
      <c r="H33" s="294" t="s">
        <v>47</v>
      </c>
      <c r="I33" s="295" t="s">
        <v>63</v>
      </c>
      <c r="J33" s="326" t="s">
        <v>64</v>
      </c>
      <c r="K33" s="294" t="s">
        <v>65</v>
      </c>
      <c r="L33" s="633" t="s">
        <v>66</v>
      </c>
      <c r="M33" s="634"/>
      <c r="N33" s="298" t="s">
        <v>54</v>
      </c>
    </row>
    <row r="34" spans="2:14">
      <c r="B34" s="34" t="s">
        <v>329</v>
      </c>
      <c r="C34" s="270"/>
      <c r="D34" s="270"/>
      <c r="E34" s="270"/>
      <c r="F34" s="270"/>
      <c r="G34" s="270"/>
      <c r="H34" s="271" t="s">
        <v>314</v>
      </c>
      <c r="I34" s="244">
        <v>1.7</v>
      </c>
      <c r="J34" s="244">
        <v>1170</v>
      </c>
      <c r="K34" s="244">
        <f>+J34*I34</f>
        <v>1989</v>
      </c>
      <c r="L34" s="339"/>
      <c r="M34" s="340"/>
      <c r="N34" s="274">
        <f>+K34</f>
        <v>1989</v>
      </c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4" ht="15.75" thickBot="1">
      <c r="B39" s="626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8"/>
      <c r="N39" s="260"/>
    </row>
    <row r="40" spans="2:14" ht="15.75" thickBot="1">
      <c r="B40" s="626" t="s">
        <v>58</v>
      </c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8"/>
      <c r="N40" s="260">
        <f>SUM(N34:N39)</f>
        <v>1989</v>
      </c>
    </row>
    <row r="41" spans="2:14">
      <c r="B41" s="24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4">
      <c r="B42" s="248" t="s">
        <v>68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249"/>
    </row>
    <row r="43" spans="2:14" ht="15.75" thickBot="1"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</row>
    <row r="44" spans="2:14" ht="25.5">
      <c r="B44" s="640" t="s">
        <v>69</v>
      </c>
      <c r="C44" s="598"/>
      <c r="D44" s="598"/>
      <c r="E44" s="598"/>
      <c r="F44" s="598"/>
      <c r="G44" s="598"/>
      <c r="H44" s="598"/>
      <c r="I44" s="294" t="s">
        <v>70</v>
      </c>
      <c r="J44" s="326" t="s">
        <v>71</v>
      </c>
      <c r="K44" s="295" t="s">
        <v>72</v>
      </c>
      <c r="L44" s="641" t="s">
        <v>53</v>
      </c>
      <c r="M44" s="642"/>
      <c r="N44" s="299" t="s">
        <v>54</v>
      </c>
    </row>
    <row r="45" spans="2:14">
      <c r="B45" s="280" t="s">
        <v>321</v>
      </c>
      <c r="C45" s="270"/>
      <c r="D45" s="270"/>
      <c r="E45" s="270"/>
      <c r="F45" s="270"/>
      <c r="G45" s="270"/>
      <c r="H45" s="270"/>
      <c r="I45" s="281">
        <f>27604*3</f>
        <v>82812</v>
      </c>
      <c r="J45" s="35">
        <v>167</v>
      </c>
      <c r="K45" s="36">
        <f>+J45*I45/100</f>
        <v>138296.04</v>
      </c>
      <c r="L45" s="282"/>
      <c r="M45" s="37">
        <v>0.52500000000000002</v>
      </c>
      <c r="N45" s="38">
        <f>+M45*K45</f>
        <v>72605.421000000002</v>
      </c>
    </row>
    <row r="46" spans="2:14">
      <c r="B46" s="280" t="s">
        <v>285</v>
      </c>
      <c r="C46" s="270"/>
      <c r="D46" s="270"/>
      <c r="E46" s="270"/>
      <c r="F46" s="270"/>
      <c r="G46" s="270"/>
      <c r="H46" s="270"/>
      <c r="I46" s="281">
        <v>41406</v>
      </c>
      <c r="J46" s="35">
        <v>167</v>
      </c>
      <c r="K46" s="36">
        <f>+J46*I46/100</f>
        <v>69148.02</v>
      </c>
      <c r="L46" s="282"/>
      <c r="M46" s="284">
        <v>0.52500000000000002</v>
      </c>
      <c r="N46" s="38">
        <f>+M46*K46</f>
        <v>36302.710500000001</v>
      </c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4" ht="15.75" thickBot="1"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/>
    </row>
    <row r="51" spans="2:14" ht="15.75" thickBot="1">
      <c r="B51" s="626" t="s">
        <v>58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60">
        <f>SUM(N45:N50)</f>
        <v>108908.1315</v>
      </c>
    </row>
    <row r="52" spans="2:14" ht="15.75" thickBot="1">
      <c r="B52" s="626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247"/>
    </row>
    <row r="53" spans="2:14" ht="15.75" thickBot="1">
      <c r="B53" s="675" t="s">
        <v>74</v>
      </c>
      <c r="C53" s="676"/>
      <c r="D53" s="676"/>
      <c r="E53" s="676"/>
      <c r="F53" s="676"/>
      <c r="G53" s="676"/>
      <c r="H53" s="676"/>
      <c r="I53" s="676"/>
      <c r="J53" s="676"/>
      <c r="K53" s="676"/>
      <c r="L53" s="676"/>
      <c r="M53" s="677"/>
      <c r="N53" s="311">
        <f>ROUND((N51+N40+N29+N16),0)</f>
        <v>411141</v>
      </c>
    </row>
    <row r="54" spans="2:14">
      <c r="B54" s="660" t="s">
        <v>432</v>
      </c>
      <c r="C54" s="661"/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2"/>
    </row>
    <row r="55" spans="2:14">
      <c r="B55" s="663"/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5"/>
    </row>
    <row r="56" spans="2:14" ht="15.75" thickBot="1">
      <c r="B56" s="666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  <c r="N56" s="668"/>
    </row>
    <row r="57" spans="2:14">
      <c r="B57" s="669" t="s">
        <v>433</v>
      </c>
      <c r="C57" s="670"/>
      <c r="D57" s="670"/>
      <c r="E57" s="670"/>
      <c r="F57" s="670"/>
      <c r="G57" s="670"/>
      <c r="H57" s="670"/>
      <c r="I57" s="402"/>
      <c r="J57" s="417"/>
      <c r="K57" s="410" t="s">
        <v>434</v>
      </c>
      <c r="L57" s="671" t="s">
        <v>156</v>
      </c>
      <c r="M57" s="672"/>
      <c r="N57" s="411"/>
    </row>
    <row r="58" spans="2:14">
      <c r="B58" s="673" t="s">
        <v>75</v>
      </c>
      <c r="C58" s="674"/>
      <c r="D58" s="674"/>
      <c r="E58" s="674"/>
      <c r="F58" s="674"/>
      <c r="G58" s="674"/>
      <c r="H58" s="674"/>
      <c r="I58" s="418"/>
      <c r="J58" s="419"/>
      <c r="K58" s="420">
        <v>0.23</v>
      </c>
      <c r="L58" s="650"/>
      <c r="M58" s="651"/>
      <c r="N58" s="421">
        <f>+N53*K58</f>
        <v>94562.430000000008</v>
      </c>
    </row>
    <row r="59" spans="2:14">
      <c r="B59" s="422" t="s">
        <v>435</v>
      </c>
      <c r="C59" s="399"/>
      <c r="D59" s="399"/>
      <c r="E59" s="399"/>
      <c r="F59" s="399"/>
      <c r="G59" s="399"/>
      <c r="H59" s="399"/>
      <c r="I59" s="418"/>
      <c r="J59" s="419"/>
      <c r="K59" s="420">
        <v>0.01</v>
      </c>
      <c r="L59" s="650"/>
      <c r="M59" s="651"/>
      <c r="N59" s="421">
        <f>+N53*K59</f>
        <v>4111.41</v>
      </c>
    </row>
    <row r="60" spans="2:14" ht="15.75" thickBot="1">
      <c r="B60" s="390" t="s">
        <v>76</v>
      </c>
      <c r="C60" s="391"/>
      <c r="D60" s="391"/>
      <c r="E60" s="391"/>
      <c r="F60" s="391"/>
      <c r="G60" s="391"/>
      <c r="H60" s="391"/>
      <c r="I60" s="423"/>
      <c r="J60" s="424"/>
      <c r="K60" s="420">
        <v>7.0000000000000007E-2</v>
      </c>
      <c r="L60" s="652"/>
      <c r="M60" s="653"/>
      <c r="N60" s="421">
        <f>+N53*K60</f>
        <v>28779.870000000003</v>
      </c>
    </row>
    <row r="61" spans="2:14" ht="15.75" thickBot="1">
      <c r="B61" s="654" t="s">
        <v>58</v>
      </c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6"/>
      <c r="N61" s="425">
        <f>N58+N59+N60</f>
        <v>127453.71000000002</v>
      </c>
    </row>
    <row r="62" spans="2:14" ht="15.75" thickBot="1">
      <c r="B62" s="381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82"/>
    </row>
    <row r="63" spans="2:14" ht="15.75" thickBot="1">
      <c r="B63" s="657" t="s">
        <v>436</v>
      </c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9"/>
      <c r="N63" s="426">
        <f>ROUND((N61+N53),0)</f>
        <v>538595</v>
      </c>
    </row>
  </sheetData>
  <mergeCells count="48"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  <mergeCell ref="B53:M53"/>
    <mergeCell ref="B49:H49"/>
    <mergeCell ref="L49:M49"/>
    <mergeCell ref="B50:M50"/>
    <mergeCell ref="B52:M52"/>
    <mergeCell ref="C2:I2"/>
    <mergeCell ref="L2:M2"/>
    <mergeCell ref="C3:I3"/>
    <mergeCell ref="L3:M3"/>
    <mergeCell ref="C4:I4"/>
    <mergeCell ref="L4:M4"/>
    <mergeCell ref="B29:M29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L27:M27"/>
    <mergeCell ref="B28:M28"/>
    <mergeCell ref="B8:H8"/>
    <mergeCell ref="I8:J8"/>
    <mergeCell ref="L8:M8"/>
    <mergeCell ref="B16:M16"/>
    <mergeCell ref="B20:I20"/>
    <mergeCell ref="L20:M20"/>
    <mergeCell ref="B9:H9"/>
    <mergeCell ref="B10:H10"/>
    <mergeCell ref="B11:H11"/>
    <mergeCell ref="B12:H12"/>
    <mergeCell ref="B44:H44"/>
    <mergeCell ref="L44:M44"/>
    <mergeCell ref="B51:M51"/>
    <mergeCell ref="L38:M38"/>
    <mergeCell ref="B39:M3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J73" sqref="J73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500.13</v>
      </c>
      <c r="C19" s="735" t="s">
        <v>313</v>
      </c>
      <c r="D19" s="745"/>
      <c r="E19" s="745"/>
      <c r="F19" s="745"/>
      <c r="G19" s="745"/>
      <c r="H19" s="745"/>
      <c r="I19" s="745"/>
      <c r="J19" s="745"/>
      <c r="K19" s="736"/>
      <c r="L19" s="735" t="s">
        <v>12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5647.0883000000003</v>
      </c>
    </row>
    <row r="25" spans="2:14">
      <c r="B25" s="716" t="s">
        <v>443</v>
      </c>
      <c r="C25" s="717"/>
      <c r="D25" s="717"/>
      <c r="E25" s="717"/>
      <c r="F25" s="718"/>
      <c r="G25" s="729"/>
      <c r="H25" s="723"/>
      <c r="I25" s="730"/>
      <c r="J25" s="731"/>
      <c r="K25" s="388"/>
      <c r="L25" s="730"/>
      <c r="M25" s="731"/>
      <c r="N25" s="389">
        <v>26000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31647.088299999999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439</v>
      </c>
      <c r="C33" s="674"/>
      <c r="D33" s="674"/>
      <c r="E33" s="674"/>
      <c r="F33" s="674"/>
      <c r="G33" s="674"/>
      <c r="H33" s="674"/>
      <c r="I33" s="723"/>
      <c r="J33" s="397" t="s">
        <v>12</v>
      </c>
      <c r="K33" s="398">
        <v>1.05</v>
      </c>
      <c r="L33" s="724">
        <v>495556</v>
      </c>
      <c r="M33" s="725"/>
      <c r="N33" s="389">
        <f>+L33*K33</f>
        <v>520333.80000000005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520333.80000000005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289</v>
      </c>
      <c r="C52" s="717"/>
      <c r="D52" s="717"/>
      <c r="E52" s="717"/>
      <c r="F52" s="717"/>
      <c r="G52" s="717"/>
      <c r="H52" s="718"/>
      <c r="I52" s="412">
        <f>27604*2</f>
        <v>55208</v>
      </c>
      <c r="J52" s="413">
        <v>167</v>
      </c>
      <c r="K52" s="414">
        <f>+J52*I52/100</f>
        <v>92197.36</v>
      </c>
      <c r="L52" s="719">
        <v>0.7</v>
      </c>
      <c r="M52" s="720"/>
      <c r="N52" s="415">
        <f>+L52*K52</f>
        <v>64538.151999999995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719">
        <v>0.7</v>
      </c>
      <c r="M53" s="720"/>
      <c r="N53" s="415">
        <f>+L53*K53</f>
        <v>48403.614000000001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112941.766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664923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152932.29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6649.2300000000005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46544.610000000008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206126.13000000003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871049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J67" sqref="J67"/>
    </sheetView>
  </sheetViews>
  <sheetFormatPr baseColWidth="10" defaultRowHeight="15"/>
  <cols>
    <col min="1" max="1" width="10.42578125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1406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2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customHeight="1" thickBot="1">
      <c r="A4" s="29" t="s">
        <v>48</v>
      </c>
      <c r="B4" s="324">
        <v>500.14</v>
      </c>
      <c r="C4" s="208" t="s">
        <v>113</v>
      </c>
      <c r="D4" s="209"/>
      <c r="E4" s="209"/>
      <c r="F4" s="209"/>
      <c r="G4" s="209"/>
      <c r="H4" s="209"/>
      <c r="I4" s="209"/>
      <c r="J4" s="210"/>
      <c r="K4" s="211"/>
      <c r="L4" s="212" t="s">
        <v>25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5" t="s">
        <v>114</v>
      </c>
      <c r="B9" s="600" t="str">
        <f>VLOOKUP(A9,[52]EQUIPOS!A6:D154,3,FALSE)</f>
        <v>Cizalla manual de 90 cm.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1406</v>
      </c>
      <c r="L9" s="230"/>
      <c r="M9" s="347">
        <v>37.5</v>
      </c>
      <c r="N9" s="232">
        <f>K9/M9</f>
        <v>37.493333333333332</v>
      </c>
    </row>
    <row r="10" spans="1:14">
      <c r="A10" s="45"/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1:14">
      <c r="A11" s="45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0.02</v>
      </c>
      <c r="N14" s="38">
        <f>N48*M14</f>
        <v>11.52467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49.018003333333333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43" t="s">
        <v>115</v>
      </c>
      <c r="B21" s="252" t="str">
        <f>VLOOKUP(A21,[52]MATERIALES!A5:D373,3,FALSE)</f>
        <v>Acero PDR-60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VLOOKUP(A21,[52]MATERIALES!A4:D640,2,FALSE)</f>
        <v>kg</v>
      </c>
      <c r="K21" s="255">
        <v>1.05</v>
      </c>
      <c r="L21" s="227"/>
      <c r="M21" s="256">
        <f>VLOOKUP(A21,[52]MATERIALES!A5:D396,4,FALSE)</f>
        <v>2602</v>
      </c>
      <c r="N21" s="257">
        <f>K21*M21</f>
        <v>2732.1</v>
      </c>
    </row>
    <row r="22" spans="1:14">
      <c r="A22" s="43" t="s">
        <v>116</v>
      </c>
      <c r="B22" s="252" t="str">
        <f>VLOOKUP(A22,[52]MATERIALES!A6:D373,3,FALSE)</f>
        <v>Alambre Negro Para Amarre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VLOOKUP(A22,[52]MATERIALES!A5:D641,2,FALSE)</f>
        <v>kg</v>
      </c>
      <c r="K22" s="255">
        <v>0.03</v>
      </c>
      <c r="L22" s="227"/>
      <c r="M22" s="256">
        <f>VLOOKUP(A22,[52]MATERIALES!A6:D397,4,FALSE)</f>
        <v>4200</v>
      </c>
      <c r="N22" s="257">
        <f>K22*M22</f>
        <v>126</v>
      </c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A24" s="4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A25" s="43"/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>
      <c r="A26" s="43"/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1:14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>
        <f>SUM(N21:N27)</f>
        <v>2858.1</v>
      </c>
    </row>
    <row r="29" spans="1:14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>
      <c r="B30" s="248" t="s">
        <v>61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249"/>
    </row>
    <row r="31" spans="1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1:14" ht="25.5">
      <c r="B32" s="330" t="s">
        <v>62</v>
      </c>
      <c r="C32" s="331"/>
      <c r="D32" s="331"/>
      <c r="E32" s="331"/>
      <c r="F32" s="331"/>
      <c r="G32" s="331"/>
      <c r="H32" s="294" t="s">
        <v>47</v>
      </c>
      <c r="I32" s="295" t="s">
        <v>63</v>
      </c>
      <c r="J32" s="326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1:16">
      <c r="A33" s="29" t="s">
        <v>117</v>
      </c>
      <c r="B33" s="34" t="str">
        <f>VLOOKUP(A33,[52]TRANSPORTE!A3:D117,3,FALSE)</f>
        <v>Transporte de acero</v>
      </c>
      <c r="C33" s="270"/>
      <c r="D33" s="270"/>
      <c r="E33" s="270"/>
      <c r="F33" s="270"/>
      <c r="G33" s="270"/>
      <c r="H33" s="271" t="s">
        <v>118</v>
      </c>
      <c r="I33" s="244">
        <v>1.05</v>
      </c>
      <c r="J33" s="244">
        <v>1</v>
      </c>
      <c r="K33" s="244">
        <f>I33*J33</f>
        <v>1.05</v>
      </c>
      <c r="L33" s="339">
        <f>VLOOKUP(A33,[52]TRANSPORTE!A3:D117,4,FALSE)</f>
        <v>0.34225097803189897</v>
      </c>
      <c r="M33" s="340"/>
      <c r="N33" s="274">
        <f>K33*L33</f>
        <v>0.35936352693349394</v>
      </c>
    </row>
    <row r="34" spans="1:16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6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6" ht="15.75" thickBot="1">
      <c r="B36" s="275"/>
      <c r="C36" s="276"/>
      <c r="D36" s="276"/>
      <c r="E36" s="276"/>
      <c r="F36" s="276"/>
      <c r="G36" s="276"/>
      <c r="H36" s="277"/>
      <c r="I36" s="278"/>
      <c r="J36" s="278"/>
      <c r="K36" s="278"/>
      <c r="L36" s="618"/>
      <c r="M36" s="619"/>
      <c r="N36" s="259"/>
    </row>
    <row r="37" spans="1:16" ht="15.75" thickBot="1">
      <c r="B37" s="626" t="s">
        <v>58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8"/>
      <c r="N37" s="260">
        <f>SUM(N33:N36)</f>
        <v>0.35936352693349394</v>
      </c>
    </row>
    <row r="38" spans="1:16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</row>
    <row r="39" spans="1:16">
      <c r="B39" s="248" t="s">
        <v>68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249"/>
    </row>
    <row r="40" spans="1:16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6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326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6">
      <c r="A42" s="46" t="s">
        <v>86</v>
      </c>
      <c r="B42" s="280" t="str">
        <f>VLOOKUP(A42,'[52]MANO DE OBRA'!A8:D68,3,FALSE)</f>
        <v xml:space="preserve">Obrero </v>
      </c>
      <c r="C42" s="270"/>
      <c r="D42" s="270"/>
      <c r="E42" s="270"/>
      <c r="F42" s="270"/>
      <c r="G42" s="270"/>
      <c r="H42" s="270"/>
      <c r="I42" s="281">
        <v>27604</v>
      </c>
      <c r="J42" s="35">
        <v>167</v>
      </c>
      <c r="K42" s="36">
        <f>+J42*I42/100</f>
        <v>46098.68</v>
      </c>
      <c r="L42" s="282"/>
      <c r="M42" s="37">
        <v>5.0000000000000001E-3</v>
      </c>
      <c r="N42" s="38">
        <f>+M42*K42</f>
        <v>230.49340000000001</v>
      </c>
      <c r="O42" s="39"/>
      <c r="P42" s="29">
        <f>1/200</f>
        <v>5.0000000000000001E-3</v>
      </c>
    </row>
    <row r="43" spans="1:16">
      <c r="A43" s="46" t="s">
        <v>81</v>
      </c>
      <c r="B43" s="280" t="str">
        <f>VLOOKUP(A43,'[52]MANO DE OBRA'!A8:D69,3,FALSE)</f>
        <v>Oficial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5"/>
      <c r="M43" s="284">
        <v>5.0000000000000001E-3</v>
      </c>
      <c r="N43" s="38">
        <f>+M43*K43</f>
        <v>345.74010000000004</v>
      </c>
    </row>
    <row r="44" spans="1:16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5"/>
      <c r="M44" s="284"/>
      <c r="N44" s="38"/>
    </row>
    <row r="45" spans="1:16" ht="15.75" thickBot="1">
      <c r="B45" s="643"/>
      <c r="C45" s="644"/>
      <c r="D45" s="644"/>
      <c r="E45" s="644"/>
      <c r="F45" s="644"/>
      <c r="G45" s="644"/>
      <c r="H45" s="644"/>
      <c r="I45" s="278"/>
      <c r="J45" s="278"/>
      <c r="K45" s="278"/>
      <c r="L45" s="645"/>
      <c r="M45" s="645"/>
      <c r="N45" s="259"/>
    </row>
    <row r="46" spans="1:16" ht="15.75" thickBot="1"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8"/>
      <c r="N46" s="42"/>
    </row>
    <row r="47" spans="1:16" ht="15.75" thickBot="1">
      <c r="B47" s="215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</row>
    <row r="48" spans="1:16" ht="15.75" thickBot="1">
      <c r="B48" s="626" t="s">
        <v>58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8"/>
      <c r="N48" s="260">
        <f>SUM(N42:N47)</f>
        <v>576.23350000000005</v>
      </c>
    </row>
    <row r="49" spans="2:14" ht="15.75" thickBo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8"/>
      <c r="N49" s="247"/>
    </row>
    <row r="50" spans="2:14" ht="15.75" thickBot="1">
      <c r="B50" s="675" t="s">
        <v>74</v>
      </c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7"/>
      <c r="N50" s="311">
        <f>ROUND((N16+N28+N37+N48),0)</f>
        <v>3484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801.32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34.840000000000003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243.88000000000002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1080.0400000000002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4564</v>
      </c>
    </row>
  </sheetData>
  <mergeCells count="44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B50:M50"/>
    <mergeCell ref="L36:M36"/>
    <mergeCell ref="B48:M48"/>
    <mergeCell ref="B45:H45"/>
    <mergeCell ref="L45:M45"/>
    <mergeCell ref="B49:M49"/>
    <mergeCell ref="B46:M46"/>
    <mergeCell ref="B20:I20"/>
    <mergeCell ref="L20:M20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B16:M16"/>
    <mergeCell ref="B9:H9"/>
    <mergeCell ref="C2:I2"/>
    <mergeCell ref="L2:M2"/>
    <mergeCell ref="C3:I3"/>
    <mergeCell ref="L3:M3"/>
    <mergeCell ref="B8:H8"/>
    <mergeCell ref="I8:J8"/>
    <mergeCell ref="L8:M8"/>
    <mergeCell ref="L26:M26"/>
    <mergeCell ref="B41:H41"/>
    <mergeCell ref="L41:M41"/>
    <mergeCell ref="L32:M32"/>
    <mergeCell ref="B28:M28"/>
    <mergeCell ref="B37:M37"/>
    <mergeCell ref="B26:I2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2"/>
  <sheetViews>
    <sheetView topLeftCell="A31" workbookViewId="0">
      <selection activeCell="B15" sqref="B15:N15"/>
    </sheetView>
  </sheetViews>
  <sheetFormatPr baseColWidth="10" defaultRowHeight="15"/>
  <cols>
    <col min="1" max="1" width="2.7109375" customWidth="1"/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4" ht="26.25" thickBot="1">
      <c r="B1" s="348" t="s">
        <v>45</v>
      </c>
      <c r="C1" s="787" t="s">
        <v>3</v>
      </c>
      <c r="D1" s="788"/>
      <c r="E1" s="788"/>
      <c r="F1" s="788"/>
      <c r="G1" s="788"/>
      <c r="H1" s="788"/>
      <c r="I1" s="788"/>
      <c r="J1" s="349"/>
      <c r="K1" s="350" t="s">
        <v>46</v>
      </c>
      <c r="L1" s="789" t="s">
        <v>47</v>
      </c>
      <c r="M1" s="790"/>
      <c r="N1" s="348" t="s">
        <v>5</v>
      </c>
    </row>
    <row r="2" spans="2:14" ht="15.75" customHeight="1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/>
      <c r="L2" s="598" t="s">
        <v>47</v>
      </c>
      <c r="M2" s="599"/>
      <c r="N2" s="288" t="s">
        <v>5</v>
      </c>
    </row>
    <row r="3" spans="2:14" ht="15.75" thickBot="1">
      <c r="B3" s="204">
        <v>500.15</v>
      </c>
      <c r="C3" s="604" t="s">
        <v>362</v>
      </c>
      <c r="D3" s="605"/>
      <c r="E3" s="605"/>
      <c r="F3" s="605"/>
      <c r="G3" s="605"/>
      <c r="H3" s="605"/>
      <c r="I3" s="605"/>
      <c r="J3" s="205"/>
      <c r="K3" s="206"/>
      <c r="L3" s="606" t="s">
        <v>20</v>
      </c>
      <c r="M3" s="607"/>
      <c r="N3" s="204"/>
    </row>
    <row r="4" spans="2:14" ht="15.75" thickBot="1">
      <c r="B4" s="207"/>
      <c r="C4" s="208"/>
      <c r="D4" s="209"/>
      <c r="E4" s="209"/>
      <c r="F4" s="209"/>
      <c r="G4" s="209"/>
      <c r="H4" s="209"/>
      <c r="I4" s="209"/>
      <c r="J4" s="210"/>
      <c r="K4" s="211"/>
      <c r="L4" s="212"/>
      <c r="M4" s="213"/>
      <c r="N4" s="214"/>
    </row>
    <row r="5" spans="2:14">
      <c r="B5" s="218" t="s">
        <v>50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2:14" ht="15.75" thickBot="1">
      <c r="B6" s="221"/>
      <c r="C6" s="216"/>
      <c r="D6" s="216"/>
      <c r="E6" s="216"/>
      <c r="F6" s="216"/>
      <c r="G6" s="216"/>
      <c r="H6" s="216"/>
      <c r="I6" s="222"/>
      <c r="J6" s="222"/>
      <c r="K6" s="216"/>
      <c r="L6" s="216"/>
      <c r="M6" s="216"/>
      <c r="N6" s="217"/>
    </row>
    <row r="7" spans="2:14">
      <c r="B7" s="608" t="s">
        <v>3</v>
      </c>
      <c r="C7" s="609"/>
      <c r="D7" s="609"/>
      <c r="E7" s="609"/>
      <c r="F7" s="609"/>
      <c r="G7" s="609"/>
      <c r="H7" s="610"/>
      <c r="I7" s="611" t="s">
        <v>51</v>
      </c>
      <c r="J7" s="612"/>
      <c r="K7" s="286" t="s">
        <v>52</v>
      </c>
      <c r="L7" s="613" t="s">
        <v>53</v>
      </c>
      <c r="M7" s="610"/>
      <c r="N7" s="287" t="s">
        <v>54</v>
      </c>
    </row>
    <row r="8" spans="2:14">
      <c r="B8" s="600"/>
      <c r="C8" s="601"/>
      <c r="D8" s="601"/>
      <c r="E8" s="601"/>
      <c r="F8" s="601"/>
      <c r="G8" s="601"/>
      <c r="H8" s="603"/>
      <c r="I8" s="227"/>
      <c r="J8" s="228"/>
      <c r="K8" s="229"/>
      <c r="L8" s="230"/>
      <c r="M8" s="347"/>
      <c r="N8" s="232"/>
    </row>
    <row r="9" spans="2:14">
      <c r="B9" s="600"/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/>
    </row>
    <row r="10" spans="2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2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2:14">
      <c r="B13" s="600" t="s">
        <v>57</v>
      </c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351">
        <v>0.05</v>
      </c>
      <c r="N13" s="240">
        <f>+M13*N50</f>
        <v>45.09</v>
      </c>
    </row>
    <row r="14" spans="2:14" ht="15.75" thickBot="1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2:14" ht="15.75" thickBot="1">
      <c r="B15" s="626" t="s">
        <v>58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8"/>
      <c r="N15" s="247">
        <f>SUM(N8:N14)</f>
        <v>45.09</v>
      </c>
    </row>
    <row r="16" spans="2:14" ht="15.75" thickBot="1">
      <c r="B16" s="626"/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/>
    </row>
    <row r="17" spans="2:14">
      <c r="B17" s="248" t="s">
        <v>59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249"/>
    </row>
    <row r="18" spans="2:14" ht="15.75" thickBot="1">
      <c r="B18" s="250"/>
      <c r="C18" s="222"/>
      <c r="D18" s="222"/>
      <c r="E18" s="222"/>
      <c r="F18" s="222"/>
      <c r="G18" s="222"/>
      <c r="H18" s="222"/>
      <c r="I18" s="222"/>
      <c r="J18" s="216"/>
      <c r="K18" s="216"/>
      <c r="L18" s="216"/>
      <c r="M18" s="216"/>
      <c r="N18" s="217"/>
    </row>
    <row r="19" spans="2:14">
      <c r="B19" s="608" t="s">
        <v>3</v>
      </c>
      <c r="C19" s="609"/>
      <c r="D19" s="609"/>
      <c r="E19" s="609"/>
      <c r="F19" s="609"/>
      <c r="G19" s="609"/>
      <c r="H19" s="609"/>
      <c r="I19" s="610"/>
      <c r="J19" s="332" t="s">
        <v>47</v>
      </c>
      <c r="K19" s="286" t="s">
        <v>5</v>
      </c>
      <c r="L19" s="613" t="s">
        <v>60</v>
      </c>
      <c r="M19" s="610"/>
      <c r="N19" s="287" t="s">
        <v>54</v>
      </c>
    </row>
    <row r="20" spans="2:14" ht="15" customHeight="1">
      <c r="B20" s="252" t="s">
        <v>297</v>
      </c>
      <c r="C20" s="253"/>
      <c r="D20" s="253"/>
      <c r="E20" s="253"/>
      <c r="F20" s="253"/>
      <c r="G20" s="253"/>
      <c r="H20" s="253"/>
      <c r="I20" s="228"/>
      <c r="J20" s="254" t="s">
        <v>25</v>
      </c>
      <c r="K20" s="255">
        <v>3.6999999999999998E-2</v>
      </c>
      <c r="L20" s="227"/>
      <c r="M20" s="345">
        <v>3314</v>
      </c>
      <c r="N20" s="257">
        <f>+M20*K20</f>
        <v>122.61799999999999</v>
      </c>
    </row>
    <row r="21" spans="2:14">
      <c r="B21" s="252" t="s">
        <v>360</v>
      </c>
      <c r="C21" s="253"/>
      <c r="D21" s="253"/>
      <c r="E21" s="253"/>
      <c r="F21" s="253"/>
      <c r="G21" s="253"/>
      <c r="H21" s="253"/>
      <c r="I21" s="228"/>
      <c r="J21" s="254" t="s">
        <v>314</v>
      </c>
      <c r="K21" s="255">
        <v>7.1999999999999995E-2</v>
      </c>
      <c r="L21" s="227"/>
      <c r="M21" s="345">
        <v>65970</v>
      </c>
      <c r="N21" s="257">
        <f>+M21*K21</f>
        <v>4749.8399999999992</v>
      </c>
    </row>
    <row r="22" spans="2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>
        <v>0</v>
      </c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>
        <v>0</v>
      </c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>
        <v>0</v>
      </c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>
        <v>0</v>
      </c>
    </row>
    <row r="26" spans="2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>
        <v>0</v>
      </c>
    </row>
    <row r="27" spans="2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2:14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>
        <f>SUM(N20:N27)</f>
        <v>4872.4579999999996</v>
      </c>
    </row>
    <row r="29" spans="2:14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4">
      <c r="B30" s="248" t="s">
        <v>61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249"/>
    </row>
    <row r="31" spans="2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2:14" ht="25.5">
      <c r="B32" s="330" t="s">
        <v>62</v>
      </c>
      <c r="C32" s="331"/>
      <c r="D32" s="331"/>
      <c r="E32" s="331"/>
      <c r="F32" s="331"/>
      <c r="G32" s="331"/>
      <c r="H32" s="294" t="s">
        <v>47</v>
      </c>
      <c r="I32" s="295" t="s">
        <v>63</v>
      </c>
      <c r="J32" s="326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2:14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339"/>
      <c r="M33" s="340"/>
      <c r="N33" s="274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2:14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2:14">
      <c r="B39" s="215" t="s">
        <v>58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>
        <v>0</v>
      </c>
    </row>
    <row r="40" spans="2:14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4">
      <c r="B41" s="248" t="s">
        <v>68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249"/>
    </row>
    <row r="42" spans="2:14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4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326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4">
      <c r="B44" s="280" t="s">
        <v>361</v>
      </c>
      <c r="C44" s="270"/>
      <c r="D44" s="270"/>
      <c r="E44" s="270"/>
      <c r="F44" s="270"/>
      <c r="G44" s="270"/>
      <c r="H44" s="270"/>
      <c r="I44" s="281">
        <f>27000*2</f>
        <v>54000</v>
      </c>
      <c r="J44" s="35">
        <v>167</v>
      </c>
      <c r="K44" s="36">
        <f>+J44*I44/100</f>
        <v>90180</v>
      </c>
      <c r="L44" s="282"/>
      <c r="M44" s="37">
        <v>0.01</v>
      </c>
      <c r="N44" s="38">
        <f>+M44*K44</f>
        <v>901.80000000000007</v>
      </c>
    </row>
    <row r="45" spans="2:14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626" t="s">
        <v>58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260">
        <f>SUM(N44:N49)</f>
        <v>901.80000000000007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675" t="s">
        <v>74</v>
      </c>
      <c r="C52" s="676"/>
      <c r="D52" s="676"/>
      <c r="E52" s="676"/>
      <c r="F52" s="676"/>
      <c r="G52" s="676"/>
      <c r="H52" s="676"/>
      <c r="I52" s="676"/>
      <c r="J52" s="676"/>
      <c r="K52" s="676"/>
      <c r="L52" s="676"/>
      <c r="M52" s="677"/>
      <c r="N52" s="311">
        <f>+ROUND((N50+N39+N28+N15),0)</f>
        <v>5819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1338.3700000000001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58.19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407.33000000000004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1803.8900000000003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7623</v>
      </c>
    </row>
  </sheetData>
  <mergeCells count="46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52:M52"/>
    <mergeCell ref="B48:H48"/>
    <mergeCell ref="L48:M48"/>
    <mergeCell ref="B49:M49"/>
    <mergeCell ref="B51:M51"/>
    <mergeCell ref="L32:M32"/>
    <mergeCell ref="B14:D14"/>
    <mergeCell ref="B16:M16"/>
    <mergeCell ref="B26:I26"/>
    <mergeCell ref="L26:M26"/>
    <mergeCell ref="B27:M27"/>
    <mergeCell ref="B28:M28"/>
    <mergeCell ref="B19:I19"/>
    <mergeCell ref="L19:M19"/>
    <mergeCell ref="C1:I1"/>
    <mergeCell ref="L1:M1"/>
    <mergeCell ref="C2:I2"/>
    <mergeCell ref="L2:M2"/>
    <mergeCell ref="C3:I3"/>
    <mergeCell ref="L3:M3"/>
    <mergeCell ref="B13:H13"/>
    <mergeCell ref="B7:H7"/>
    <mergeCell ref="I7:J7"/>
    <mergeCell ref="L7:M7"/>
    <mergeCell ref="B15:M15"/>
    <mergeCell ref="B12:H12"/>
    <mergeCell ref="I12:J12"/>
    <mergeCell ref="L12:M12"/>
    <mergeCell ref="B8:H8"/>
    <mergeCell ref="B9:H9"/>
    <mergeCell ref="B10:H10"/>
    <mergeCell ref="B11:H11"/>
    <mergeCell ref="B43:H43"/>
    <mergeCell ref="L43:M43"/>
    <mergeCell ref="B50:M50"/>
    <mergeCell ref="L37:M37"/>
    <mergeCell ref="B38:M3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10" zoomScaleNormal="100" workbookViewId="0">
      <selection activeCell="B23" sqref="B23"/>
    </sheetView>
  </sheetViews>
  <sheetFormatPr baseColWidth="10" defaultRowHeight="15"/>
  <cols>
    <col min="1" max="1" width="10.42578125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1406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3.8554687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customHeight="1" thickBot="1">
      <c r="A4" s="29" t="s">
        <v>48</v>
      </c>
      <c r="B4" s="324">
        <v>500.16</v>
      </c>
      <c r="C4" s="208" t="s">
        <v>119</v>
      </c>
      <c r="D4" s="209"/>
      <c r="E4" s="209"/>
      <c r="F4" s="209"/>
      <c r="G4" s="209"/>
      <c r="H4" s="209"/>
      <c r="I4" s="209"/>
      <c r="J4" s="210"/>
      <c r="K4" s="211"/>
      <c r="L4" s="212" t="s">
        <v>27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5" t="s">
        <v>120</v>
      </c>
      <c r="B9" s="600" t="str">
        <f>VLOOKUP(A9,[52]EQUIPOS!A6:D154,3,FALSE)</f>
        <v>Retroexcavadora A25C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133200</v>
      </c>
      <c r="L9" s="230"/>
      <c r="M9" s="231">
        <v>3</v>
      </c>
      <c r="N9" s="232">
        <f>K9/M9</f>
        <v>44400</v>
      </c>
    </row>
    <row r="10" spans="1:14">
      <c r="A10" s="45"/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1:14">
      <c r="A11" s="45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0.1</v>
      </c>
      <c r="N14" s="38">
        <f>N48*M14</f>
        <v>1056.4280833333335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45456.428083333332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43" t="s">
        <v>121</v>
      </c>
      <c r="B21" s="252" t="str">
        <f>VLOOKUP(A21,[52]MATERIALES!A5:D373,3,FALSE)</f>
        <v>Mortero 1:3 Para Anillos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VLOOKUP(A21,[52]MATERIALES!A4:D640,2,FALSE)</f>
        <v>m3</v>
      </c>
      <c r="K21" s="255">
        <v>0.02</v>
      </c>
      <c r="L21" s="227"/>
      <c r="M21" s="345">
        <f>VLOOKUP(A21,[52]MATERIALES!A5:D396,4,FALSE)</f>
        <v>378500</v>
      </c>
      <c r="N21" s="257">
        <f>K21*M21</f>
        <v>7570</v>
      </c>
    </row>
    <row r="22" spans="1:14">
      <c r="A22" s="43" t="s">
        <v>122</v>
      </c>
      <c r="B22" s="252" t="str">
        <f>VLOOKUP(A22,[52]MATERIALES!A6:D373,3,FALSE)</f>
        <v>Material para solado y atraque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VLOOKUP(A22,[52]MATERIALES!A5:D641,2,FALSE)</f>
        <v>m3</v>
      </c>
      <c r="K22" s="255">
        <v>0.46</v>
      </c>
      <c r="L22" s="227"/>
      <c r="M22" s="345">
        <f>VLOOKUP(A22,[52]MATERIALES!A6:D397,4,FALSE)</f>
        <v>30500</v>
      </c>
      <c r="N22" s="257">
        <f>K22*M22</f>
        <v>14030</v>
      </c>
    </row>
    <row r="23" spans="1:14">
      <c r="A23" s="43" t="s">
        <v>123</v>
      </c>
      <c r="B23" s="252" t="str">
        <f>VLOOKUP(A23,[52]MATERIALES!A6:D373,3,FALSE)</f>
        <v xml:space="preserve">Tubo concreto reforzado 900mm (tipo 1)
</v>
      </c>
      <c r="C23" s="253"/>
      <c r="D23" s="253"/>
      <c r="E23" s="253"/>
      <c r="F23" s="253"/>
      <c r="G23" s="253"/>
      <c r="H23" s="253"/>
      <c r="I23" s="228"/>
      <c r="J23" s="254" t="str">
        <f>VLOOKUP(A23,[52]MATERIALES!A6:D642,2,FALSE)</f>
        <v>m</v>
      </c>
      <c r="K23" s="255">
        <v>1</v>
      </c>
      <c r="L23" s="227"/>
      <c r="M23" s="345">
        <v>350000</v>
      </c>
      <c r="N23" s="257">
        <f>K23*M23</f>
        <v>350000</v>
      </c>
    </row>
    <row r="24" spans="1:14">
      <c r="A24" s="4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 t="s">
        <v>58</v>
      </c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>
        <f>SUM(N21:N25)</f>
        <v>371600</v>
      </c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48" t="s">
        <v>61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249"/>
    </row>
    <row r="29" spans="1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25.5">
      <c r="B30" s="330" t="s">
        <v>62</v>
      </c>
      <c r="C30" s="331"/>
      <c r="D30" s="331"/>
      <c r="E30" s="331"/>
      <c r="F30" s="331"/>
      <c r="G30" s="331"/>
      <c r="H30" s="294" t="s">
        <v>47</v>
      </c>
      <c r="I30" s="295" t="s">
        <v>63</v>
      </c>
      <c r="J30" s="326" t="s">
        <v>64</v>
      </c>
      <c r="K30" s="294" t="s">
        <v>65</v>
      </c>
      <c r="L30" s="633" t="s">
        <v>66</v>
      </c>
      <c r="M30" s="634"/>
      <c r="N30" s="298" t="s">
        <v>54</v>
      </c>
    </row>
    <row r="31" spans="1:14">
      <c r="A31" s="29" t="s">
        <v>124</v>
      </c>
      <c r="B31" s="34" t="str">
        <f>VLOOKUP(A31,[52]TRANSPORTE!A1:D117,3,FALSE)</f>
        <v>Transporte de Tubería de Concreto Reforzado</v>
      </c>
      <c r="C31" s="270"/>
      <c r="D31" s="270"/>
      <c r="E31" s="270"/>
      <c r="F31" s="270"/>
      <c r="G31" s="270"/>
      <c r="H31" s="271" t="s">
        <v>125</v>
      </c>
      <c r="I31" s="244">
        <v>0.28000000000000003</v>
      </c>
      <c r="J31" s="244">
        <v>45</v>
      </c>
      <c r="K31" s="244">
        <f>I31*J31</f>
        <v>12.600000000000001</v>
      </c>
      <c r="L31" s="791">
        <f>VLOOKUP(A31,[52]TRANSPORTE!A1:D117,4,FALSE)</f>
        <v>2.8853049713424084</v>
      </c>
      <c r="M31" s="792"/>
      <c r="N31" s="274">
        <f>K31*L31</f>
        <v>36.354842638914349</v>
      </c>
    </row>
    <row r="32" spans="1:14">
      <c r="A32" s="29" t="s">
        <v>126</v>
      </c>
      <c r="B32" s="34" t="str">
        <f>VLOOKUP(A32,[52]TRANSPORTE!A1:D117,3,FALSE)</f>
        <v>Transporte de Material de Solado y Atraque Tubería de Concreto Reforzado</v>
      </c>
      <c r="C32" s="266"/>
      <c r="D32" s="266"/>
      <c r="E32" s="266"/>
      <c r="F32" s="266"/>
      <c r="G32" s="266"/>
      <c r="H32" s="267" t="s">
        <v>94</v>
      </c>
      <c r="I32" s="244">
        <v>0.46</v>
      </c>
      <c r="J32" s="268">
        <v>1</v>
      </c>
      <c r="K32" s="244">
        <f>I32*J32</f>
        <v>0.46</v>
      </c>
      <c r="L32" s="635">
        <f>VLOOKUP(A32,[52]TRANSPORTE!A1:D117,4,FALSE)</f>
        <v>991.36869750772871</v>
      </c>
      <c r="M32" s="636"/>
      <c r="N32" s="269">
        <f>K32*L32</f>
        <v>456.02960085355522</v>
      </c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 t="s">
        <v>58</v>
      </c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>
        <f>N31+N32+N33+N34+N35</f>
        <v>492.38444349246959</v>
      </c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48" t="s">
        <v>68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249"/>
    </row>
    <row r="40" spans="1:15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5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326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5">
      <c r="A42" s="46" t="s">
        <v>101</v>
      </c>
      <c r="B42" s="280" t="str">
        <f>VLOOKUP(A42,'[52]MANO DE OBRA'!A8:D68,3,FALSE)</f>
        <v>Obrero (4)</v>
      </c>
      <c r="C42" s="270"/>
      <c r="D42" s="270"/>
      <c r="E42" s="270"/>
      <c r="F42" s="270"/>
      <c r="G42" s="270"/>
      <c r="H42" s="270"/>
      <c r="I42" s="281">
        <f>27604*4</f>
        <v>110416</v>
      </c>
      <c r="J42" s="35">
        <v>167</v>
      </c>
      <c r="K42" s="36">
        <f>+J42*I42/100</f>
        <v>184394.72</v>
      </c>
      <c r="L42" s="282"/>
      <c r="M42" s="37">
        <v>24</v>
      </c>
      <c r="N42" s="38">
        <f>K42/M42</f>
        <v>7683.1133333333337</v>
      </c>
      <c r="O42" s="39"/>
    </row>
    <row r="43" spans="1:15">
      <c r="A43" s="46" t="s">
        <v>81</v>
      </c>
      <c r="B43" s="280" t="str">
        <f>VLOOKUP(A43,'[52]MANO DE OBRA'!A8:D69,3,FALSE)</f>
        <v>Oficial</v>
      </c>
      <c r="C43" s="270"/>
      <c r="D43" s="270"/>
      <c r="E43" s="270"/>
      <c r="F43" s="270"/>
      <c r="G43" s="270"/>
      <c r="H43" s="270"/>
      <c r="I43" s="281">
        <v>41406</v>
      </c>
      <c r="J43" s="35">
        <v>167</v>
      </c>
      <c r="K43" s="36">
        <f>+J43*I43/100</f>
        <v>69148.02</v>
      </c>
      <c r="L43" s="282"/>
      <c r="M43" s="37">
        <v>24</v>
      </c>
      <c r="N43" s="38">
        <f>K43/M43</f>
        <v>2881.1675</v>
      </c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 ht="15.75" thickBot="1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26" t="s">
        <v>58</v>
      </c>
      <c r="C48" s="627"/>
      <c r="D48" s="627"/>
      <c r="E48" s="627"/>
      <c r="F48" s="627"/>
      <c r="G48" s="627"/>
      <c r="H48" s="627"/>
      <c r="I48" s="627"/>
      <c r="J48" s="627"/>
      <c r="K48" s="627"/>
      <c r="L48" s="627"/>
      <c r="M48" s="628"/>
      <c r="N48" s="260">
        <f>SUM(N42:N47)</f>
        <v>10564.280833333334</v>
      </c>
    </row>
    <row r="49" spans="2:14" ht="15.75" thickBot="1">
      <c r="B49" s="626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8"/>
      <c r="N49" s="247"/>
    </row>
    <row r="50" spans="2:14" ht="15.75" thickBot="1">
      <c r="B50" s="675" t="s">
        <v>74</v>
      </c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7"/>
      <c r="N50" s="311">
        <f>ROUND((N16+N26+N37+N48),0)</f>
        <v>428113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98465.99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4281.13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29967.910000000003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132715.03000000003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560828</v>
      </c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0</v>
      </c>
    </row>
  </sheetData>
  <mergeCells count="44"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  <mergeCell ref="I12:J12"/>
    <mergeCell ref="L12:M12"/>
    <mergeCell ref="B13:H13"/>
    <mergeCell ref="B26:I26"/>
    <mergeCell ref="I15:J15"/>
    <mergeCell ref="L15:M15"/>
    <mergeCell ref="B16:M16"/>
    <mergeCell ref="B20:I20"/>
    <mergeCell ref="L20:M20"/>
    <mergeCell ref="B10:H10"/>
    <mergeCell ref="B11:H11"/>
    <mergeCell ref="B12:H12"/>
    <mergeCell ref="B14:D14"/>
    <mergeCell ref="B15:H15"/>
    <mergeCell ref="B9:H9"/>
    <mergeCell ref="C2:I2"/>
    <mergeCell ref="L2:M2"/>
    <mergeCell ref="C3:I3"/>
    <mergeCell ref="L3:M3"/>
    <mergeCell ref="B8:H8"/>
    <mergeCell ref="I8:J8"/>
    <mergeCell ref="L8:M8"/>
    <mergeCell ref="B50:M50"/>
    <mergeCell ref="L26:M26"/>
    <mergeCell ref="B27:M27"/>
    <mergeCell ref="L37:M37"/>
    <mergeCell ref="B38:M38"/>
    <mergeCell ref="L32:M32"/>
    <mergeCell ref="B49:M49"/>
    <mergeCell ref="L30:M30"/>
    <mergeCell ref="L31:M31"/>
    <mergeCell ref="B41:H41"/>
    <mergeCell ref="L41:M41"/>
    <mergeCell ref="B48:M48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5"/>
  <sheetViews>
    <sheetView topLeftCell="A31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  <col min="16" max="17" width="12" bestFit="1" customWidth="1"/>
  </cols>
  <sheetData>
    <row r="1" spans="2:17" ht="15.75" thickBot="1"/>
    <row r="2" spans="2:17" ht="26.25" thickBot="1">
      <c r="B2" s="438" t="s">
        <v>45</v>
      </c>
      <c r="C2" s="793" t="s">
        <v>3</v>
      </c>
      <c r="D2" s="794"/>
      <c r="E2" s="794"/>
      <c r="F2" s="794"/>
      <c r="G2" s="794"/>
      <c r="H2" s="794"/>
      <c r="I2" s="794"/>
      <c r="J2" s="439"/>
      <c r="K2" s="440" t="s">
        <v>46</v>
      </c>
      <c r="L2" s="795" t="s">
        <v>47</v>
      </c>
      <c r="M2" s="796"/>
      <c r="N2" s="438" t="s">
        <v>5</v>
      </c>
    </row>
    <row r="3" spans="2:17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</row>
    <row r="4" spans="2:17" ht="15.75" customHeight="1" thickBot="1">
      <c r="B4" s="204">
        <v>500.17</v>
      </c>
      <c r="C4" s="604" t="s">
        <v>351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</row>
    <row r="5" spans="2:17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</row>
    <row r="6" spans="2:17">
      <c r="B6" s="215" t="s">
        <v>50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7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2:17" ht="15.75" thickBot="1">
      <c r="B8" s="221" t="s">
        <v>3</v>
      </c>
      <c r="C8" s="216"/>
      <c r="D8" s="216"/>
      <c r="E8" s="216"/>
      <c r="F8" s="216"/>
      <c r="G8" s="216"/>
      <c r="H8" s="216"/>
      <c r="I8" s="222" t="s">
        <v>51</v>
      </c>
      <c r="J8" s="222"/>
      <c r="K8" s="216" t="s">
        <v>52</v>
      </c>
      <c r="L8" s="216" t="s">
        <v>53</v>
      </c>
      <c r="M8" s="216"/>
      <c r="N8" s="217" t="s">
        <v>54</v>
      </c>
    </row>
    <row r="9" spans="2:17">
      <c r="B9" s="608"/>
      <c r="C9" s="609"/>
      <c r="D9" s="609"/>
      <c r="E9" s="609"/>
      <c r="F9" s="609"/>
      <c r="G9" s="609"/>
      <c r="H9" s="610"/>
      <c r="I9" s="611"/>
      <c r="J9" s="612"/>
      <c r="K9" s="286"/>
      <c r="L9" s="613"/>
      <c r="M9" s="610"/>
      <c r="N9" s="287"/>
    </row>
    <row r="10" spans="2:17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2:17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/>
    </row>
    <row r="12" spans="2:17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3"/>
    </row>
    <row r="13" spans="2:17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</row>
    <row r="14" spans="2:17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351">
        <v>0.2</v>
      </c>
      <c r="N14" s="240">
        <v>2461.2436691297685</v>
      </c>
      <c r="Q14" s="456"/>
    </row>
    <row r="15" spans="2:17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</row>
    <row r="16" spans="2:17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2461.2436691297685</v>
      </c>
    </row>
    <row r="17" spans="2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4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 ht="15" customHeight="1">
      <c r="B21" s="600" t="s">
        <v>352</v>
      </c>
      <c r="C21" s="682"/>
      <c r="D21" s="682"/>
      <c r="E21" s="682"/>
      <c r="F21" s="682"/>
      <c r="G21" s="682"/>
      <c r="H21" s="682"/>
      <c r="I21" s="603"/>
      <c r="J21" s="254" t="s">
        <v>20</v>
      </c>
      <c r="K21" s="255">
        <v>3.5</v>
      </c>
      <c r="L21" s="346"/>
      <c r="M21" s="343">
        <v>3365</v>
      </c>
      <c r="N21" s="232">
        <f>+M21*K21</f>
        <v>11777.5</v>
      </c>
    </row>
    <row r="22" spans="2:14">
      <c r="B22" s="252" t="s">
        <v>353</v>
      </c>
      <c r="C22" s="253"/>
      <c r="D22" s="253"/>
      <c r="E22" s="253"/>
      <c r="F22" s="253"/>
      <c r="G22" s="253"/>
      <c r="H22" s="253"/>
      <c r="I22" s="228"/>
      <c r="J22" s="254" t="s">
        <v>12</v>
      </c>
      <c r="K22" s="255">
        <f>0.5*1.05</f>
        <v>0.52500000000000002</v>
      </c>
      <c r="L22" s="227"/>
      <c r="M22" s="345">
        <v>40000</v>
      </c>
      <c r="N22" s="232">
        <f>+M22*K22</f>
        <v>21000</v>
      </c>
    </row>
    <row r="23" spans="2:14">
      <c r="B23" s="600" t="s">
        <v>475</v>
      </c>
      <c r="C23" s="682"/>
      <c r="D23" s="682"/>
      <c r="E23" s="682"/>
      <c r="F23" s="682"/>
      <c r="G23" s="682"/>
      <c r="H23" s="682"/>
      <c r="I23" s="603"/>
      <c r="J23" s="254" t="s">
        <v>221</v>
      </c>
      <c r="K23" s="255">
        <v>1.01</v>
      </c>
      <c r="L23" s="227"/>
      <c r="M23" s="345">
        <v>8925</v>
      </c>
      <c r="N23" s="232">
        <f>+M23*K23</f>
        <v>9014.25</v>
      </c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4">
      <c r="B26" s="252"/>
      <c r="C26" s="253"/>
      <c r="D26" s="253"/>
      <c r="E26" s="253"/>
      <c r="F26" s="253"/>
      <c r="G26" s="253"/>
      <c r="H26" s="253"/>
      <c r="I26" s="228"/>
      <c r="J26" s="254"/>
      <c r="K26" s="255"/>
      <c r="L26" s="227"/>
      <c r="M26" s="256"/>
      <c r="N26" s="257"/>
    </row>
    <row r="27" spans="2:14" ht="15.75" thickBot="1">
      <c r="B27" s="629"/>
      <c r="C27" s="630"/>
      <c r="D27" s="630"/>
      <c r="E27" s="630"/>
      <c r="F27" s="630"/>
      <c r="G27" s="630"/>
      <c r="H27" s="630"/>
      <c r="I27" s="615"/>
      <c r="J27" s="199"/>
      <c r="K27" s="258"/>
      <c r="L27" s="631"/>
      <c r="M27" s="632"/>
      <c r="N27" s="259"/>
    </row>
    <row r="28" spans="2:14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454">
        <f>SUM(N21:N27)</f>
        <v>41791.75</v>
      </c>
    </row>
    <row r="29" spans="2:14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2:14">
      <c r="B30" s="248" t="s">
        <v>61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2:14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2:17">
      <c r="B33" s="34" t="s">
        <v>354</v>
      </c>
      <c r="C33" s="266"/>
      <c r="D33" s="266"/>
      <c r="E33" s="266"/>
      <c r="F33" s="266"/>
      <c r="G33" s="266"/>
      <c r="H33" s="267" t="s">
        <v>37</v>
      </c>
      <c r="I33" s="244">
        <v>0.52500000000000002</v>
      </c>
      <c r="J33" s="268">
        <v>25</v>
      </c>
      <c r="K33" s="244">
        <f>+J33*I33</f>
        <v>13.125</v>
      </c>
      <c r="L33" s="635">
        <v>1143</v>
      </c>
      <c r="M33" s="636"/>
      <c r="N33" s="269">
        <f>+L33*K33</f>
        <v>15001.875</v>
      </c>
      <c r="P33" s="455"/>
      <c r="Q33" s="455"/>
    </row>
    <row r="34" spans="2:17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7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  <c r="Q35" s="455"/>
    </row>
    <row r="36" spans="2:17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7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7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7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279">
        <f>SUM(N33:N38)</f>
        <v>15001.875</v>
      </c>
    </row>
    <row r="40" spans="2:17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7">
      <c r="B41" s="248" t="s">
        <v>68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7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7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289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7">
      <c r="B44" s="280" t="s">
        <v>289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193">
        <v>7.5999999999999998E-2</v>
      </c>
      <c r="N44" s="38">
        <f>+M44*K44</f>
        <v>7006.9993599999998</v>
      </c>
    </row>
    <row r="45" spans="2:17">
      <c r="B45" s="280" t="s">
        <v>285</v>
      </c>
      <c r="C45" s="270"/>
      <c r="D45" s="270"/>
      <c r="E45" s="270"/>
      <c r="F45" s="270"/>
      <c r="G45" s="270"/>
      <c r="H45" s="270"/>
      <c r="I45" s="281">
        <v>41406</v>
      </c>
      <c r="J45" s="35">
        <v>167</v>
      </c>
      <c r="K45" s="36">
        <f>+J45*I45/100</f>
        <v>69148.02</v>
      </c>
      <c r="L45" s="282"/>
      <c r="M45" s="303">
        <v>7.5999999999999998E-2</v>
      </c>
      <c r="N45" s="38">
        <f>+M45*K45</f>
        <v>5255.2495200000003</v>
      </c>
    </row>
    <row r="46" spans="2:17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2"/>
      <c r="M46" s="284"/>
      <c r="N46" s="38"/>
    </row>
    <row r="47" spans="2:17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7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7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7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12262.248879999999</v>
      </c>
    </row>
    <row r="51" spans="2:17" ht="15.75" thickBot="1"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7"/>
    </row>
    <row r="52" spans="2:17" ht="15.75" thickBot="1">
      <c r="B52" s="637" t="s">
        <v>74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9"/>
      <c r="N52" s="300">
        <f>ROUND((N50+N39+N28+N16),0)</f>
        <v>71517</v>
      </c>
      <c r="Q52" s="456"/>
    </row>
    <row r="53" spans="2:17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7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7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7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7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16448.91</v>
      </c>
    </row>
    <row r="58" spans="2:17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715.17</v>
      </c>
    </row>
    <row r="59" spans="2:17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5006.1900000000005</v>
      </c>
    </row>
    <row r="60" spans="2:17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22170.269999999997</v>
      </c>
    </row>
    <row r="61" spans="2:17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7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93687</v>
      </c>
    </row>
    <row r="65" spans="14:14">
      <c r="N65" s="453"/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B28:M28"/>
    <mergeCell ref="L32:M32"/>
    <mergeCell ref="L33:M33"/>
    <mergeCell ref="B15:D15"/>
    <mergeCell ref="B27:I27"/>
    <mergeCell ref="L27:M27"/>
    <mergeCell ref="B21:I21"/>
    <mergeCell ref="B20:I20"/>
    <mergeCell ref="L20:M20"/>
    <mergeCell ref="B23:I23"/>
    <mergeCell ref="B16:M16"/>
    <mergeCell ref="B50:M50"/>
    <mergeCell ref="B52:M52"/>
    <mergeCell ref="L38:M38"/>
    <mergeCell ref="B39:M39"/>
    <mergeCell ref="B43:H43"/>
    <mergeCell ref="L43:M43"/>
    <mergeCell ref="B49:H49"/>
    <mergeCell ref="L49:M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0"/>
  <sheetViews>
    <sheetView topLeftCell="A29" zoomScaleNormal="100" workbookViewId="0">
      <selection activeCell="P56" sqref="P56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18" ht="26.25" thickBot="1">
      <c r="B1" s="288" t="s">
        <v>45</v>
      </c>
      <c r="C1" s="596" t="s">
        <v>3</v>
      </c>
      <c r="D1" s="597"/>
      <c r="E1" s="597"/>
      <c r="F1" s="597"/>
      <c r="G1" s="597"/>
      <c r="H1" s="597"/>
      <c r="I1" s="597"/>
      <c r="J1" s="289"/>
      <c r="K1" s="290" t="s">
        <v>46</v>
      </c>
      <c r="L1" s="598" t="s">
        <v>47</v>
      </c>
      <c r="M1" s="599"/>
      <c r="N1" s="288" t="s">
        <v>5</v>
      </c>
    </row>
    <row r="2" spans="1:18" ht="15.75" hidden="1" thickBot="1">
      <c r="B2" s="204" t="s">
        <v>45</v>
      </c>
      <c r="C2" s="604" t="s">
        <v>3</v>
      </c>
      <c r="D2" s="605"/>
      <c r="E2" s="605"/>
      <c r="F2" s="605"/>
      <c r="G2" s="605"/>
      <c r="H2" s="605"/>
      <c r="I2" s="605"/>
      <c r="J2" s="205"/>
      <c r="K2" s="206"/>
      <c r="L2" s="606" t="s">
        <v>47</v>
      </c>
      <c r="M2" s="607"/>
      <c r="N2" s="204" t="s">
        <v>5</v>
      </c>
    </row>
    <row r="3" spans="1:18" ht="15.75" thickBot="1">
      <c r="A3" s="29" t="s">
        <v>48</v>
      </c>
      <c r="B3" s="324">
        <v>100.01</v>
      </c>
      <c r="C3" s="208" t="s">
        <v>49</v>
      </c>
      <c r="D3" s="209"/>
      <c r="E3" s="209"/>
      <c r="F3" s="209"/>
      <c r="G3" s="209"/>
      <c r="H3" s="209"/>
      <c r="I3" s="209"/>
      <c r="J3" s="210"/>
      <c r="K3" s="211"/>
      <c r="L3" s="212" t="s">
        <v>372</v>
      </c>
      <c r="M3" s="213"/>
      <c r="N3" s="214"/>
    </row>
    <row r="4" spans="1:18" ht="5.25" customHeight="1"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7"/>
    </row>
    <row r="5" spans="1:18">
      <c r="B5" s="218" t="s">
        <v>50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1:18" ht="15.75" thickBot="1">
      <c r="B6" s="221"/>
      <c r="C6" s="216"/>
      <c r="D6" s="216"/>
      <c r="E6" s="216"/>
      <c r="F6" s="216"/>
      <c r="G6" s="216"/>
      <c r="H6" s="216"/>
      <c r="I6" s="222"/>
      <c r="J6" s="222"/>
      <c r="K6" s="216"/>
      <c r="L6" s="216"/>
      <c r="M6" s="216"/>
      <c r="N6" s="217"/>
    </row>
    <row r="7" spans="1:18">
      <c r="B7" s="608" t="s">
        <v>3</v>
      </c>
      <c r="C7" s="609"/>
      <c r="D7" s="609"/>
      <c r="E7" s="609"/>
      <c r="F7" s="609"/>
      <c r="G7" s="609"/>
      <c r="H7" s="610"/>
      <c r="I7" s="611" t="s">
        <v>51</v>
      </c>
      <c r="J7" s="612"/>
      <c r="K7" s="286" t="s">
        <v>52</v>
      </c>
      <c r="L7" s="613" t="s">
        <v>53</v>
      </c>
      <c r="M7" s="610"/>
      <c r="N7" s="287" t="s">
        <v>54</v>
      </c>
    </row>
    <row r="8" spans="1:18">
      <c r="A8" s="29" t="s">
        <v>55</v>
      </c>
      <c r="B8" s="600" t="str">
        <f>VLOOKUP(A8,[52]EQUIPOS!A6:D154,3,FALSE)</f>
        <v>Guadañadora, Cilindraje 41.5 cm3, Longitud del mango 1450 mm, Peso 7.4 kg</v>
      </c>
      <c r="C8" s="601"/>
      <c r="D8" s="601"/>
      <c r="E8" s="601"/>
      <c r="F8" s="601"/>
      <c r="G8" s="601"/>
      <c r="H8" s="603"/>
      <c r="I8" s="227"/>
      <c r="J8" s="228"/>
      <c r="K8" s="229">
        <f>VLOOKUP(A8,[52]EQUIPOS!A6:D161,4,FALSE)</f>
        <v>3600</v>
      </c>
      <c r="L8" s="230"/>
      <c r="M8" s="231">
        <v>600</v>
      </c>
      <c r="N8" s="232">
        <f>K8/M8</f>
        <v>6</v>
      </c>
    </row>
    <row r="9" spans="1:18">
      <c r="A9" s="29" t="s">
        <v>56</v>
      </c>
      <c r="B9" s="600"/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/>
    </row>
    <row r="10" spans="1:18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3"/>
      <c r="P10" s="301"/>
      <c r="Q10" s="301"/>
      <c r="R10" s="302"/>
    </row>
    <row r="11" spans="1:18">
      <c r="B11" s="600"/>
      <c r="C11" s="601"/>
      <c r="D11" s="601"/>
      <c r="E11" s="601"/>
      <c r="F11" s="601"/>
      <c r="G11" s="601"/>
      <c r="H11" s="603"/>
      <c r="I11" s="614"/>
      <c r="J11" s="615"/>
      <c r="K11" s="234"/>
      <c r="L11" s="616"/>
      <c r="M11" s="617"/>
      <c r="N11" s="235"/>
    </row>
    <row r="12" spans="1:18">
      <c r="B12" s="600"/>
      <c r="C12" s="601"/>
      <c r="D12" s="601"/>
      <c r="E12" s="602"/>
      <c r="F12" s="601"/>
      <c r="G12" s="601"/>
      <c r="H12" s="603"/>
      <c r="I12" s="236"/>
      <c r="J12" s="237"/>
      <c r="K12" s="234"/>
      <c r="L12" s="238"/>
      <c r="M12" s="239"/>
      <c r="N12" s="240"/>
      <c r="R12" s="302"/>
    </row>
    <row r="13" spans="1:18">
      <c r="B13" s="620"/>
      <c r="C13" s="621"/>
      <c r="D13" s="621"/>
      <c r="E13" s="241"/>
      <c r="F13" s="242"/>
      <c r="G13" s="242"/>
      <c r="H13" s="243"/>
      <c r="I13" s="236"/>
      <c r="J13" s="237"/>
      <c r="K13" s="244"/>
      <c r="L13" s="238"/>
      <c r="M13" s="239"/>
      <c r="N13" s="38"/>
    </row>
    <row r="14" spans="1:18" ht="15.75" thickBot="1">
      <c r="B14" s="600" t="s">
        <v>57</v>
      </c>
      <c r="C14" s="601"/>
      <c r="D14" s="601"/>
      <c r="E14" s="601"/>
      <c r="F14" s="601"/>
      <c r="G14" s="601"/>
      <c r="H14" s="603"/>
      <c r="I14" s="622"/>
      <c r="J14" s="623"/>
      <c r="K14" s="245"/>
      <c r="L14" s="624">
        <v>0.05</v>
      </c>
      <c r="M14" s="625"/>
      <c r="N14" s="246">
        <f>N48*L14</f>
        <v>36.878944000000004</v>
      </c>
    </row>
    <row r="15" spans="1:18" ht="15.75" thickBot="1">
      <c r="B15" s="626" t="s">
        <v>58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8"/>
      <c r="N15" s="247">
        <f>SUM(N8:N14)</f>
        <v>42.878944000000004</v>
      </c>
    </row>
    <row r="16" spans="1:18">
      <c r="B16" s="221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</row>
    <row r="17" spans="1:14">
      <c r="B17" s="248" t="s">
        <v>59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49"/>
    </row>
    <row r="18" spans="1:14" ht="15.75" thickBot="1">
      <c r="B18" s="250"/>
      <c r="C18" s="222"/>
      <c r="D18" s="222"/>
      <c r="E18" s="222"/>
      <c r="F18" s="222"/>
      <c r="G18" s="222"/>
      <c r="H18" s="222"/>
      <c r="I18" s="222"/>
      <c r="J18" s="216"/>
      <c r="K18" s="216"/>
      <c r="L18" s="216"/>
      <c r="M18" s="216"/>
      <c r="N18" s="217"/>
    </row>
    <row r="19" spans="1:14">
      <c r="B19" s="608" t="s">
        <v>3</v>
      </c>
      <c r="C19" s="609"/>
      <c r="D19" s="609"/>
      <c r="E19" s="609"/>
      <c r="F19" s="609"/>
      <c r="G19" s="609"/>
      <c r="H19" s="609"/>
      <c r="I19" s="610"/>
      <c r="J19" s="291" t="s">
        <v>47</v>
      </c>
      <c r="K19" s="286" t="s">
        <v>5</v>
      </c>
      <c r="L19" s="613" t="s">
        <v>60</v>
      </c>
      <c r="M19" s="610"/>
      <c r="N19" s="287" t="s">
        <v>54</v>
      </c>
    </row>
    <row r="20" spans="1:14">
      <c r="B20" s="252"/>
      <c r="C20" s="253"/>
      <c r="D20" s="253"/>
      <c r="E20" s="253"/>
      <c r="F20" s="253"/>
      <c r="G20" s="253"/>
      <c r="H20" s="253"/>
      <c r="I20" s="228"/>
      <c r="J20" s="254"/>
      <c r="K20" s="255"/>
      <c r="L20" s="227"/>
      <c r="M20" s="256"/>
      <c r="N20" s="257"/>
    </row>
    <row r="21" spans="1:14"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/>
    </row>
    <row r="22" spans="1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1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 ht="15.75" thickBot="1">
      <c r="B25" s="629"/>
      <c r="C25" s="630"/>
      <c r="D25" s="630"/>
      <c r="E25" s="630"/>
      <c r="F25" s="630"/>
      <c r="G25" s="630"/>
      <c r="H25" s="630"/>
      <c r="I25" s="615"/>
      <c r="J25" s="199"/>
      <c r="K25" s="258"/>
      <c r="L25" s="631"/>
      <c r="M25" s="632"/>
      <c r="N25" s="259"/>
    </row>
    <row r="26" spans="1:14" ht="15.75" thickBot="1">
      <c r="B26" s="626" t="s">
        <v>58</v>
      </c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8"/>
      <c r="N26" s="260"/>
    </row>
    <row r="27" spans="1:14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1:14">
      <c r="B28" s="248" t="s">
        <v>61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49"/>
    </row>
    <row r="29" spans="1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25.5">
      <c r="B30" s="292" t="s">
        <v>62</v>
      </c>
      <c r="C30" s="293"/>
      <c r="D30" s="293"/>
      <c r="E30" s="293"/>
      <c r="F30" s="293"/>
      <c r="G30" s="293"/>
      <c r="H30" s="294" t="s">
        <v>47</v>
      </c>
      <c r="I30" s="295" t="s">
        <v>63</v>
      </c>
      <c r="J30" s="289" t="s">
        <v>64</v>
      </c>
      <c r="K30" s="294" t="s">
        <v>65</v>
      </c>
      <c r="L30" s="633" t="s">
        <v>66</v>
      </c>
      <c r="M30" s="634"/>
      <c r="N30" s="298" t="s">
        <v>54</v>
      </c>
    </row>
    <row r="31" spans="1:14">
      <c r="A31" s="29" t="s">
        <v>67</v>
      </c>
      <c r="B31" s="34" t="str">
        <f>VLOOKUP(A31,[52]TRANSPORTE!A5:D94,3,FALSE)</f>
        <v>Transporte de material desmontado</v>
      </c>
      <c r="C31" s="266"/>
      <c r="D31" s="266"/>
      <c r="E31" s="266"/>
      <c r="F31" s="266"/>
      <c r="G31" s="266"/>
      <c r="H31" s="267" t="str">
        <f>VLOOKUP(A31,[52]TRANSPORTE!A6:D120,2,FALSE)</f>
        <v>tkm</v>
      </c>
      <c r="I31" s="244">
        <v>20</v>
      </c>
      <c r="J31" s="268">
        <v>1</v>
      </c>
      <c r="K31" s="244">
        <f>I31*J31</f>
        <v>20</v>
      </c>
      <c r="L31" s="635">
        <v>5</v>
      </c>
      <c r="M31" s="636"/>
      <c r="N31" s="269">
        <f>K31*L31</f>
        <v>100</v>
      </c>
    </row>
    <row r="32" spans="1:14">
      <c r="B32" s="34"/>
      <c r="C32" s="270"/>
      <c r="D32" s="270"/>
      <c r="E32" s="270"/>
      <c r="F32" s="270"/>
      <c r="G32" s="270"/>
      <c r="H32" s="271"/>
      <c r="I32" s="244"/>
      <c r="J32" s="244"/>
      <c r="K32" s="244"/>
      <c r="L32" s="272"/>
      <c r="M32" s="273"/>
      <c r="N32" s="274"/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 ht="15.75" thickBot="1">
      <c r="B36" s="275"/>
      <c r="C36" s="276"/>
      <c r="D36" s="276"/>
      <c r="E36" s="276"/>
      <c r="F36" s="276"/>
      <c r="G36" s="276"/>
      <c r="H36" s="277"/>
      <c r="I36" s="278"/>
      <c r="J36" s="278"/>
      <c r="K36" s="278"/>
      <c r="L36" s="618"/>
      <c r="M36" s="619"/>
      <c r="N36" s="259"/>
    </row>
    <row r="37" spans="1:15" ht="15.75" thickBot="1">
      <c r="B37" s="626" t="s">
        <v>58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8"/>
      <c r="N37" s="260">
        <f>N31+N32+N33+N34+N35</f>
        <v>100</v>
      </c>
    </row>
    <row r="38" spans="1:15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</row>
    <row r="39" spans="1:15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1:15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5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5">
      <c r="A42" s="29" t="s">
        <v>73</v>
      </c>
      <c r="B42" s="280" t="str">
        <f>VLOOKUP(A42,'[52]MANO DE OBRA'!A8:D68,3,FALSE)</f>
        <v>Obrero (2)</v>
      </c>
      <c r="C42" s="270"/>
      <c r="D42" s="270"/>
      <c r="E42" s="270"/>
      <c r="F42" s="270"/>
      <c r="G42" s="270"/>
      <c r="H42" s="270"/>
      <c r="I42" s="281">
        <f>27604*2</f>
        <v>55208</v>
      </c>
      <c r="J42" s="35">
        <v>167</v>
      </c>
      <c r="K42" s="36">
        <f>+J42*I42/100</f>
        <v>92197.36</v>
      </c>
      <c r="L42" s="649">
        <v>8.0000000000000002E-3</v>
      </c>
      <c r="M42" s="632"/>
      <c r="N42" s="38">
        <f>+L42*K42</f>
        <v>737.57888000000003</v>
      </c>
      <c r="O42" s="39"/>
    </row>
    <row r="43" spans="1:15">
      <c r="B43" s="280"/>
      <c r="C43" s="270"/>
      <c r="D43" s="270"/>
      <c r="E43" s="270"/>
      <c r="F43" s="270"/>
      <c r="G43" s="270"/>
      <c r="H43" s="270"/>
      <c r="I43" s="244"/>
      <c r="J43" s="40"/>
      <c r="K43" s="41"/>
      <c r="L43" s="282"/>
      <c r="M43" s="283"/>
      <c r="N43" s="38"/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4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59"/>
    </row>
    <row r="48" spans="1:15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N42+N43+N44+N45+N46</f>
        <v>737.57888000000003</v>
      </c>
    </row>
    <row r="49" spans="2:16" ht="15.75" thickBot="1"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</row>
    <row r="50" spans="2:16" ht="15.75" thickBot="1">
      <c r="B50" s="637" t="s">
        <v>74</v>
      </c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9"/>
      <c r="N50" s="300">
        <f>ROUND((N15+N26+N37+N48),0)</f>
        <v>880</v>
      </c>
    </row>
    <row r="51" spans="2:16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6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6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6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6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202.4</v>
      </c>
    </row>
    <row r="56" spans="2:16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8.8000000000000007</v>
      </c>
    </row>
    <row r="57" spans="2:16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61.600000000000009</v>
      </c>
    </row>
    <row r="58" spans="2:16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272.8</v>
      </c>
    </row>
    <row r="59" spans="2:16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6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1153</v>
      </c>
      <c r="P60" s="29">
        <f>+N60/1.31</f>
        <v>880.15267175572512</v>
      </c>
    </row>
  </sheetData>
  <mergeCells count="44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B50:M50"/>
    <mergeCell ref="B37:M37"/>
    <mergeCell ref="B41:H41"/>
    <mergeCell ref="L41:M41"/>
    <mergeCell ref="B47:H47"/>
    <mergeCell ref="L47:M47"/>
    <mergeCell ref="B48:M48"/>
    <mergeCell ref="L42:M42"/>
    <mergeCell ref="L36:M36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L30:M30"/>
    <mergeCell ref="L31:M31"/>
    <mergeCell ref="C1:I1"/>
    <mergeCell ref="L1:M1"/>
    <mergeCell ref="B12:H12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  <mergeCell ref="L11:M1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158" t="s">
        <v>45</v>
      </c>
      <c r="C2" s="797" t="s">
        <v>3</v>
      </c>
      <c r="D2" s="798"/>
      <c r="E2" s="798"/>
      <c r="F2" s="798"/>
      <c r="G2" s="798"/>
      <c r="H2" s="798"/>
      <c r="I2" s="798"/>
      <c r="J2" s="159"/>
      <c r="K2" s="160" t="s">
        <v>46</v>
      </c>
      <c r="L2" s="799" t="s">
        <v>47</v>
      </c>
      <c r="M2" s="800"/>
      <c r="N2" s="158" t="s">
        <v>5</v>
      </c>
    </row>
    <row r="3" spans="2:16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</row>
    <row r="4" spans="2:16" ht="15.75" customHeight="1" thickBot="1">
      <c r="B4" s="204" t="s">
        <v>286</v>
      </c>
      <c r="C4" s="604" t="s">
        <v>256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</row>
    <row r="5" spans="2:16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</row>
    <row r="6" spans="2:16">
      <c r="B6" s="215" t="s">
        <v>50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6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2:16" ht="15.75" thickBot="1">
      <c r="B8" s="221" t="s">
        <v>3</v>
      </c>
      <c r="C8" s="216"/>
      <c r="D8" s="216"/>
      <c r="E8" s="216"/>
      <c r="F8" s="216"/>
      <c r="G8" s="216"/>
      <c r="H8" s="216"/>
      <c r="I8" s="222" t="s">
        <v>51</v>
      </c>
      <c r="J8" s="222"/>
      <c r="K8" s="216" t="s">
        <v>52</v>
      </c>
      <c r="L8" s="216" t="s">
        <v>53</v>
      </c>
      <c r="M8" s="216"/>
      <c r="N8" s="217" t="s">
        <v>54</v>
      </c>
    </row>
    <row r="9" spans="2:16">
      <c r="B9" s="608" t="s">
        <v>287</v>
      </c>
      <c r="C9" s="609"/>
      <c r="D9" s="609"/>
      <c r="E9" s="609"/>
      <c r="F9" s="609"/>
      <c r="G9" s="609"/>
      <c r="H9" s="610"/>
      <c r="I9" s="611"/>
      <c r="J9" s="612"/>
      <c r="K9" s="286">
        <v>146147</v>
      </c>
      <c r="L9" s="613"/>
      <c r="M9" s="610">
        <v>2.5</v>
      </c>
      <c r="N9" s="287">
        <f>+K9/M9</f>
        <v>58458.8</v>
      </c>
      <c r="P9">
        <f>+K9/M9</f>
        <v>58458.8</v>
      </c>
    </row>
    <row r="10" spans="2:16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2:16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/>
    </row>
    <row r="12" spans="2:16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3"/>
    </row>
    <row r="13" spans="2:16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</row>
    <row r="14" spans="2:16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239">
        <v>0.05</v>
      </c>
      <c r="N14" s="240">
        <f>+N50*0.05</f>
        <v>806.72690000000011</v>
      </c>
    </row>
    <row r="15" spans="2:16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</row>
    <row r="16" spans="2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59265.526900000004</v>
      </c>
    </row>
    <row r="17" spans="2:16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6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6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6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6">
      <c r="B21" s="600" t="s">
        <v>288</v>
      </c>
      <c r="C21" s="682"/>
      <c r="D21" s="682"/>
      <c r="E21" s="682"/>
      <c r="F21" s="682"/>
      <c r="G21" s="682"/>
      <c r="H21" s="682"/>
      <c r="I21" s="603"/>
      <c r="J21" s="254" t="s">
        <v>27</v>
      </c>
      <c r="K21" s="255">
        <v>1.01</v>
      </c>
      <c r="L21" s="346"/>
      <c r="M21" s="343">
        <v>7158.7</v>
      </c>
      <c r="N21" s="232">
        <f>+M21*K21</f>
        <v>7230.2870000000003</v>
      </c>
      <c r="P21">
        <f>2*3.1416*0.025</f>
        <v>0.15708</v>
      </c>
    </row>
    <row r="22" spans="2:16">
      <c r="B22" s="600" t="s">
        <v>352</v>
      </c>
      <c r="C22" s="682"/>
      <c r="D22" s="682"/>
      <c r="E22" s="682"/>
      <c r="F22" s="682"/>
      <c r="G22" s="682"/>
      <c r="H22" s="682"/>
      <c r="I22" s="603"/>
      <c r="J22" s="254" t="s">
        <v>20</v>
      </c>
      <c r="K22" s="255">
        <v>0.2</v>
      </c>
      <c r="L22" s="346"/>
      <c r="M22" s="343">
        <v>3365</v>
      </c>
      <c r="N22" s="232">
        <f>+M22*K22</f>
        <v>673</v>
      </c>
    </row>
    <row r="23" spans="2:16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6">
      <c r="B26" s="252"/>
      <c r="C26" s="253"/>
      <c r="D26" s="253"/>
      <c r="E26" s="253"/>
      <c r="F26" s="253"/>
      <c r="G26" s="253"/>
      <c r="H26" s="253"/>
      <c r="I26" s="228"/>
      <c r="J26" s="254"/>
      <c r="K26" s="255"/>
      <c r="L26" s="227"/>
      <c r="M26" s="256"/>
      <c r="N26" s="257"/>
    </row>
    <row r="27" spans="2:16" ht="15.75" thickBot="1">
      <c r="B27" s="629"/>
      <c r="C27" s="630"/>
      <c r="D27" s="630"/>
      <c r="E27" s="630"/>
      <c r="F27" s="630"/>
      <c r="G27" s="630"/>
      <c r="H27" s="630"/>
      <c r="I27" s="615"/>
      <c r="J27" s="199"/>
      <c r="K27" s="258"/>
      <c r="L27" s="631"/>
      <c r="M27" s="632"/>
      <c r="N27" s="259"/>
    </row>
    <row r="28" spans="2:16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>
        <f>SUM(N21:N27)</f>
        <v>7903.2870000000003</v>
      </c>
    </row>
    <row r="29" spans="2:16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2:16">
      <c r="B30" s="248" t="s">
        <v>61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6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2:16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2:14">
      <c r="B33" s="34"/>
      <c r="C33" s="266"/>
      <c r="D33" s="266"/>
      <c r="E33" s="266"/>
      <c r="F33" s="266"/>
      <c r="G33" s="266"/>
      <c r="H33" s="267"/>
      <c r="I33" s="244"/>
      <c r="J33" s="268"/>
      <c r="K33" s="244"/>
      <c r="L33" s="635"/>
      <c r="M33" s="636"/>
      <c r="N33" s="269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4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279"/>
    </row>
    <row r="40" spans="2:14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4">
      <c r="B41" s="248" t="s">
        <v>68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4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4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289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4">
      <c r="B44" s="280" t="s">
        <v>289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10</v>
      </c>
      <c r="N44" s="38">
        <f>+K44/M44</f>
        <v>9219.7360000000008</v>
      </c>
    </row>
    <row r="45" spans="2:14">
      <c r="B45" s="280" t="s">
        <v>285</v>
      </c>
      <c r="C45" s="270"/>
      <c r="D45" s="270"/>
      <c r="E45" s="270"/>
      <c r="F45" s="270"/>
      <c r="G45" s="270"/>
      <c r="H45" s="270"/>
      <c r="I45" s="244">
        <v>41406</v>
      </c>
      <c r="J45" s="40">
        <v>167</v>
      </c>
      <c r="K45" s="41">
        <f>+J45*I45/100</f>
        <v>69148.02</v>
      </c>
      <c r="L45" s="282"/>
      <c r="M45" s="283">
        <v>10</v>
      </c>
      <c r="N45" s="38">
        <f>+K45/M45</f>
        <v>6914.8020000000006</v>
      </c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2"/>
      <c r="M46" s="284"/>
      <c r="N46" s="38"/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4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16134.538</v>
      </c>
    </row>
    <row r="51" spans="2:14" ht="15.75" thickBot="1"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7"/>
    </row>
    <row r="52" spans="2:14" ht="15.75" thickBot="1">
      <c r="B52" s="637" t="s">
        <v>74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9"/>
      <c r="N52" s="300">
        <f>ROUND((N50+N39+N28+N16),0)</f>
        <v>83303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19159.690000000002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833.03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5831.2100000000009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25823.93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109127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38:M38"/>
    <mergeCell ref="B28:M28"/>
    <mergeCell ref="L32:M32"/>
    <mergeCell ref="L33:M33"/>
    <mergeCell ref="B15:D15"/>
    <mergeCell ref="B21:I21"/>
    <mergeCell ref="B27:I27"/>
    <mergeCell ref="L27:M27"/>
    <mergeCell ref="B20:I20"/>
    <mergeCell ref="L20:M20"/>
    <mergeCell ref="B22:I22"/>
    <mergeCell ref="B16:M16"/>
    <mergeCell ref="B52:M52"/>
    <mergeCell ref="B39:M39"/>
    <mergeCell ref="B43:H43"/>
    <mergeCell ref="L43:M43"/>
    <mergeCell ref="B49:H49"/>
    <mergeCell ref="L49:M49"/>
    <mergeCell ref="B50:M5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348" t="s">
        <v>45</v>
      </c>
      <c r="C2" s="787" t="s">
        <v>3</v>
      </c>
      <c r="D2" s="788"/>
      <c r="E2" s="788"/>
      <c r="F2" s="788"/>
      <c r="G2" s="788"/>
      <c r="H2" s="788"/>
      <c r="I2" s="788"/>
      <c r="J2" s="349"/>
      <c r="K2" s="350" t="s">
        <v>46</v>
      </c>
      <c r="L2" s="789" t="s">
        <v>47</v>
      </c>
      <c r="M2" s="790"/>
      <c r="N2" s="348" t="s">
        <v>5</v>
      </c>
    </row>
    <row r="3" spans="2:16" ht="15.75" customHeight="1" thickBot="1">
      <c r="B3" s="288" t="s">
        <v>45</v>
      </c>
      <c r="C3" s="596" t="s">
        <v>3</v>
      </c>
      <c r="D3" s="597"/>
      <c r="E3" s="597"/>
      <c r="F3" s="597"/>
      <c r="G3" s="597"/>
      <c r="H3" s="597"/>
      <c r="I3" s="597"/>
      <c r="J3" s="289"/>
      <c r="K3" s="290"/>
      <c r="L3" s="598" t="s">
        <v>47</v>
      </c>
      <c r="M3" s="599"/>
      <c r="N3" s="288" t="s">
        <v>5</v>
      </c>
    </row>
    <row r="4" spans="2:16" ht="15.75" thickBot="1">
      <c r="B4" s="204">
        <v>500.19</v>
      </c>
      <c r="C4" s="604" t="s">
        <v>444</v>
      </c>
      <c r="D4" s="605"/>
      <c r="E4" s="605"/>
      <c r="F4" s="605"/>
      <c r="G4" s="605"/>
      <c r="H4" s="605"/>
      <c r="I4" s="605"/>
      <c r="J4" s="205"/>
      <c r="K4" s="206"/>
      <c r="L4" s="606" t="s">
        <v>27</v>
      </c>
      <c r="M4" s="607"/>
      <c r="N4" s="204"/>
    </row>
    <row r="5" spans="2:16" ht="15.75" thickBot="1">
      <c r="B5" s="207"/>
      <c r="C5" s="208"/>
      <c r="D5" s="209"/>
      <c r="E5" s="209"/>
      <c r="F5" s="209"/>
      <c r="G5" s="209"/>
      <c r="H5" s="209"/>
      <c r="I5" s="209"/>
      <c r="J5" s="210"/>
      <c r="K5" s="211"/>
      <c r="L5" s="212"/>
      <c r="M5" s="213"/>
      <c r="N5" s="214"/>
    </row>
    <row r="6" spans="2:16">
      <c r="B6" s="215" t="s">
        <v>50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6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</row>
    <row r="8" spans="2:16" ht="15.75" thickBot="1">
      <c r="B8" s="221" t="s">
        <v>3</v>
      </c>
      <c r="C8" s="216"/>
      <c r="D8" s="216"/>
      <c r="E8" s="216"/>
      <c r="F8" s="216"/>
      <c r="G8" s="216"/>
      <c r="H8" s="216"/>
      <c r="I8" s="222" t="s">
        <v>51</v>
      </c>
      <c r="J8" s="222"/>
      <c r="K8" s="216" t="s">
        <v>52</v>
      </c>
      <c r="L8" s="216" t="s">
        <v>53</v>
      </c>
      <c r="M8" s="216"/>
      <c r="N8" s="217" t="s">
        <v>54</v>
      </c>
    </row>
    <row r="9" spans="2:16">
      <c r="B9" s="608" t="s">
        <v>287</v>
      </c>
      <c r="C9" s="609"/>
      <c r="D9" s="609"/>
      <c r="E9" s="609"/>
      <c r="F9" s="609"/>
      <c r="G9" s="609"/>
      <c r="H9" s="610"/>
      <c r="I9" s="611"/>
      <c r="J9" s="612"/>
      <c r="K9" s="286">
        <v>146147</v>
      </c>
      <c r="L9" s="613"/>
      <c r="M9" s="610">
        <v>2</v>
      </c>
      <c r="N9" s="287">
        <f>+K9/M9</f>
        <v>73073.5</v>
      </c>
      <c r="P9">
        <f>+K9/M9</f>
        <v>73073.5</v>
      </c>
    </row>
    <row r="10" spans="2:16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</row>
    <row r="11" spans="2:16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2"/>
    </row>
    <row r="12" spans="2:16">
      <c r="B12" s="600"/>
      <c r="C12" s="601"/>
      <c r="D12" s="601"/>
      <c r="E12" s="601"/>
      <c r="F12" s="601"/>
      <c r="G12" s="601"/>
      <c r="H12" s="603"/>
      <c r="I12" s="227"/>
      <c r="J12" s="228"/>
      <c r="K12" s="229"/>
      <c r="L12" s="230"/>
      <c r="M12" s="231"/>
      <c r="N12" s="233"/>
    </row>
    <row r="13" spans="2:16">
      <c r="B13" s="600"/>
      <c r="C13" s="601"/>
      <c r="D13" s="601"/>
      <c r="E13" s="601"/>
      <c r="F13" s="601"/>
      <c r="G13" s="601"/>
      <c r="H13" s="603"/>
      <c r="I13" s="614"/>
      <c r="J13" s="615"/>
      <c r="K13" s="234"/>
      <c r="L13" s="616"/>
      <c r="M13" s="617"/>
      <c r="N13" s="235"/>
    </row>
    <row r="14" spans="2:16">
      <c r="B14" s="600" t="s">
        <v>57</v>
      </c>
      <c r="C14" s="601"/>
      <c r="D14" s="601"/>
      <c r="E14" s="602"/>
      <c r="F14" s="601"/>
      <c r="G14" s="601"/>
      <c r="H14" s="603"/>
      <c r="I14" s="236"/>
      <c r="J14" s="237"/>
      <c r="K14" s="234"/>
      <c r="L14" s="238"/>
      <c r="M14" s="239">
        <v>0.05</v>
      </c>
      <c r="N14" s="240">
        <f>+N50*0.05</f>
        <v>806.72690000000011</v>
      </c>
    </row>
    <row r="15" spans="2:16" ht="15.75" thickBot="1">
      <c r="B15" s="620"/>
      <c r="C15" s="621"/>
      <c r="D15" s="621"/>
      <c r="E15" s="241"/>
      <c r="F15" s="242"/>
      <c r="G15" s="242"/>
      <c r="H15" s="243"/>
      <c r="I15" s="236"/>
      <c r="J15" s="237"/>
      <c r="K15" s="244"/>
      <c r="L15" s="238"/>
      <c r="M15" s="239"/>
      <c r="N15" s="38"/>
    </row>
    <row r="16" spans="2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73880.226899999994</v>
      </c>
    </row>
    <row r="17" spans="2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4">
      <c r="B18" s="248" t="s">
        <v>59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332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 ht="15" customHeight="1">
      <c r="B21" s="600" t="s">
        <v>290</v>
      </c>
      <c r="C21" s="682"/>
      <c r="D21" s="682"/>
      <c r="E21" s="682"/>
      <c r="F21" s="682"/>
      <c r="G21" s="682"/>
      <c r="H21" s="682"/>
      <c r="I21" s="603"/>
      <c r="J21" s="254" t="s">
        <v>27</v>
      </c>
      <c r="K21" s="255">
        <v>1.01</v>
      </c>
      <c r="L21" s="346"/>
      <c r="M21" s="343">
        <v>9200</v>
      </c>
      <c r="N21" s="232">
        <f>+M21*K21</f>
        <v>9292</v>
      </c>
    </row>
    <row r="22" spans="2:14">
      <c r="B22" s="600" t="s">
        <v>352</v>
      </c>
      <c r="C22" s="682"/>
      <c r="D22" s="682"/>
      <c r="E22" s="682"/>
      <c r="F22" s="682"/>
      <c r="G22" s="682"/>
      <c r="H22" s="682"/>
      <c r="I22" s="603"/>
      <c r="J22" s="254" t="s">
        <v>20</v>
      </c>
      <c r="K22" s="255">
        <v>0.25</v>
      </c>
      <c r="L22" s="346"/>
      <c r="M22" s="343">
        <v>3365</v>
      </c>
      <c r="N22" s="232">
        <f>+M22*K22</f>
        <v>841.25</v>
      </c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4">
      <c r="B26" s="252"/>
      <c r="C26" s="253"/>
      <c r="D26" s="253"/>
      <c r="E26" s="253"/>
      <c r="F26" s="253"/>
      <c r="G26" s="253"/>
      <c r="H26" s="253"/>
      <c r="I26" s="228"/>
      <c r="J26" s="254"/>
      <c r="K26" s="255"/>
      <c r="L26" s="227"/>
      <c r="M26" s="256"/>
      <c r="N26" s="257"/>
    </row>
    <row r="27" spans="2:14" ht="15.75" thickBot="1">
      <c r="B27" s="629"/>
      <c r="C27" s="630"/>
      <c r="D27" s="630"/>
      <c r="E27" s="630"/>
      <c r="F27" s="630"/>
      <c r="G27" s="630"/>
      <c r="H27" s="630"/>
      <c r="I27" s="615"/>
      <c r="J27" s="199"/>
      <c r="K27" s="258"/>
      <c r="L27" s="631"/>
      <c r="M27" s="632"/>
      <c r="N27" s="259"/>
    </row>
    <row r="28" spans="2:14" ht="15.75" thickBot="1">
      <c r="B28" s="626" t="s">
        <v>58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8"/>
      <c r="N28" s="260">
        <f>SUM(N21:N27)</f>
        <v>10133.25</v>
      </c>
    </row>
    <row r="29" spans="2:14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2:14">
      <c r="B30" s="248" t="s">
        <v>61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49"/>
    </row>
    <row r="31" spans="2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2:14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633" t="s">
        <v>66</v>
      </c>
      <c r="M32" s="634"/>
      <c r="N32" s="298" t="s">
        <v>54</v>
      </c>
    </row>
    <row r="33" spans="2:14">
      <c r="B33" s="34"/>
      <c r="C33" s="266"/>
      <c r="D33" s="266"/>
      <c r="E33" s="266"/>
      <c r="F33" s="266"/>
      <c r="G33" s="266"/>
      <c r="H33" s="267"/>
      <c r="I33" s="244"/>
      <c r="J33" s="268"/>
      <c r="K33" s="244"/>
      <c r="L33" s="635"/>
      <c r="M33" s="636"/>
      <c r="N33" s="269"/>
    </row>
    <row r="34" spans="2:14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4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4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4">
      <c r="B37" s="34"/>
      <c r="C37" s="270"/>
      <c r="D37" s="270"/>
      <c r="E37" s="270"/>
      <c r="F37" s="270"/>
      <c r="G37" s="270"/>
      <c r="H37" s="271"/>
      <c r="I37" s="244"/>
      <c r="J37" s="244"/>
      <c r="K37" s="244"/>
      <c r="L37" s="272"/>
      <c r="M37" s="273"/>
      <c r="N37" s="274"/>
    </row>
    <row r="38" spans="2:14" ht="15.75" thickBot="1">
      <c r="B38" s="275"/>
      <c r="C38" s="276"/>
      <c r="D38" s="276"/>
      <c r="E38" s="276"/>
      <c r="F38" s="276"/>
      <c r="G38" s="276"/>
      <c r="H38" s="277"/>
      <c r="I38" s="278"/>
      <c r="J38" s="278"/>
      <c r="K38" s="278"/>
      <c r="L38" s="618"/>
      <c r="M38" s="619"/>
      <c r="N38" s="259"/>
    </row>
    <row r="39" spans="2:14" ht="15.75" thickBot="1">
      <c r="B39" s="646" t="s">
        <v>58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8"/>
      <c r="N39" s="279"/>
    </row>
    <row r="40" spans="2:14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4">
      <c r="B41" s="248" t="s">
        <v>68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49"/>
    </row>
    <row r="42" spans="2:14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4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289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4">
      <c r="B44" s="280" t="s">
        <v>289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10</v>
      </c>
      <c r="N44" s="38">
        <f>+K44/M44</f>
        <v>9219.7360000000008</v>
      </c>
    </row>
    <row r="45" spans="2:14">
      <c r="B45" s="280" t="s">
        <v>285</v>
      </c>
      <c r="C45" s="270"/>
      <c r="D45" s="270"/>
      <c r="E45" s="270"/>
      <c r="F45" s="270"/>
      <c r="G45" s="270"/>
      <c r="H45" s="270"/>
      <c r="I45" s="244">
        <v>41406</v>
      </c>
      <c r="J45" s="40">
        <v>167</v>
      </c>
      <c r="K45" s="41">
        <f>+J45*I45/100</f>
        <v>69148.02</v>
      </c>
      <c r="L45" s="282"/>
      <c r="M45" s="283">
        <v>10</v>
      </c>
      <c r="N45" s="38">
        <f>+K45/M45</f>
        <v>6914.8020000000006</v>
      </c>
    </row>
    <row r="46" spans="2:14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2"/>
      <c r="M46" s="284"/>
      <c r="N46" s="38"/>
    </row>
    <row r="47" spans="2:14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4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8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259"/>
    </row>
    <row r="50" spans="2:14" ht="15.75" thickBot="1">
      <c r="B50" s="646" t="s">
        <v>58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42">
        <f>SUM(N44:N49)</f>
        <v>16134.538</v>
      </c>
    </row>
    <row r="51" spans="2:14" ht="15.75" thickBot="1"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7"/>
    </row>
    <row r="52" spans="2:14" ht="15.75" thickBot="1">
      <c r="B52" s="637" t="s">
        <v>74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9"/>
      <c r="N52" s="300">
        <f>ROUND((N50+N39+N28+N16),0)</f>
        <v>100148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23034.04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1001.48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7010.3600000000006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31045.88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131194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B52:M52"/>
    <mergeCell ref="B21:I21"/>
    <mergeCell ref="B39:M39"/>
    <mergeCell ref="B43:H43"/>
    <mergeCell ref="L43:M43"/>
    <mergeCell ref="B49:H49"/>
    <mergeCell ref="L49:M49"/>
    <mergeCell ref="B50:M50"/>
    <mergeCell ref="L32:M32"/>
    <mergeCell ref="L33:M33"/>
    <mergeCell ref="L38:M38"/>
    <mergeCell ref="B28:M28"/>
    <mergeCell ref="B27:I27"/>
    <mergeCell ref="L27:M27"/>
    <mergeCell ref="B20:I20"/>
    <mergeCell ref="L20:M20"/>
    <mergeCell ref="B22:I22"/>
    <mergeCell ref="B15:D15"/>
    <mergeCell ref="B16:M1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78"/>
  <sheetViews>
    <sheetView topLeftCell="A46" workbookViewId="0">
      <selection activeCell="N80" sqref="N80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500.13</v>
      </c>
      <c r="C19" s="735" t="s">
        <v>445</v>
      </c>
      <c r="D19" s="745"/>
      <c r="E19" s="745"/>
      <c r="F19" s="745"/>
      <c r="G19" s="745"/>
      <c r="H19" s="745"/>
      <c r="I19" s="745"/>
      <c r="J19" s="745"/>
      <c r="K19" s="736"/>
      <c r="L19" s="735" t="s">
        <v>20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0.1</v>
      </c>
      <c r="M24" s="731"/>
      <c r="N24" s="389">
        <f>+L24*N56</f>
        <v>57.623350000000009</v>
      </c>
    </row>
    <row r="25" spans="2:14">
      <c r="B25" s="716"/>
      <c r="C25" s="717"/>
      <c r="D25" s="717"/>
      <c r="E25" s="717"/>
      <c r="F25" s="718"/>
      <c r="G25" s="729"/>
      <c r="H25" s="723"/>
      <c r="I25" s="730"/>
      <c r="J25" s="731"/>
      <c r="K25" s="388"/>
      <c r="L25" s="730"/>
      <c r="M25" s="731"/>
      <c r="N25" s="389"/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57.623350000000009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308</v>
      </c>
      <c r="C33" s="674"/>
      <c r="D33" s="674"/>
      <c r="E33" s="674"/>
      <c r="F33" s="674"/>
      <c r="G33" s="674"/>
      <c r="H33" s="674"/>
      <c r="I33" s="723"/>
      <c r="J33" s="397" t="s">
        <v>20</v>
      </c>
      <c r="K33" s="398">
        <v>1.05</v>
      </c>
      <c r="L33" s="724">
        <v>10000</v>
      </c>
      <c r="M33" s="725"/>
      <c r="N33" s="389">
        <f>+L33*K33</f>
        <v>10500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10500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6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6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6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6">
      <c r="B52" s="716" t="s">
        <v>407</v>
      </c>
      <c r="C52" s="717"/>
      <c r="D52" s="717"/>
      <c r="E52" s="717"/>
      <c r="F52" s="717"/>
      <c r="G52" s="717"/>
      <c r="H52" s="718"/>
      <c r="I52" s="412">
        <f>27604*1</f>
        <v>27604</v>
      </c>
      <c r="J52" s="413">
        <v>167</v>
      </c>
      <c r="K52" s="414">
        <f>+J52*I52/100</f>
        <v>46098.68</v>
      </c>
      <c r="L52" s="801">
        <v>5.0000000000000001E-3</v>
      </c>
      <c r="M52" s="802"/>
      <c r="N52" s="415">
        <f>+L52*K52</f>
        <v>230.49340000000001</v>
      </c>
      <c r="P52">
        <f>0.034/8</f>
        <v>4.2500000000000003E-3</v>
      </c>
    </row>
    <row r="53" spans="2:16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5.0000000000000001E-3</v>
      </c>
      <c r="M53" s="802"/>
      <c r="N53" s="415">
        <f>+L53*K53</f>
        <v>345.74010000000004</v>
      </c>
    </row>
    <row r="54" spans="2:16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6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6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576.23350000000005</v>
      </c>
    </row>
    <row r="57" spans="2:16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6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11134</v>
      </c>
    </row>
    <row r="59" spans="2:16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6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6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6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6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0.24</v>
      </c>
      <c r="L63" s="650"/>
      <c r="M63" s="651"/>
      <c r="N63" s="421">
        <f>+N58*K63</f>
        <v>2672.16</v>
      </c>
    </row>
    <row r="64" spans="2:16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111.34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779.38000000000011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3562.88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14697</v>
      </c>
    </row>
    <row r="69" spans="2:14">
      <c r="B69" s="660" t="s">
        <v>432</v>
      </c>
      <c r="C69" s="661"/>
      <c r="D69" s="661"/>
      <c r="E69" s="661"/>
      <c r="F69" s="661"/>
      <c r="G69" s="661"/>
      <c r="H69" s="661"/>
      <c r="I69" s="661"/>
      <c r="J69" s="661"/>
      <c r="K69" s="661"/>
      <c r="L69" s="661"/>
      <c r="M69" s="661"/>
      <c r="N69" s="662"/>
    </row>
    <row r="70" spans="2:14">
      <c r="B70" s="663"/>
      <c r="C70" s="664"/>
      <c r="D70" s="664"/>
      <c r="E70" s="664"/>
      <c r="F70" s="664"/>
      <c r="G70" s="664"/>
      <c r="H70" s="664"/>
      <c r="I70" s="664"/>
      <c r="J70" s="664"/>
      <c r="K70" s="664"/>
      <c r="L70" s="664"/>
      <c r="M70" s="664"/>
      <c r="N70" s="665"/>
    </row>
    <row r="71" spans="2:14" ht="15.75" thickBot="1">
      <c r="B71" s="666"/>
      <c r="C71" s="667"/>
      <c r="D71" s="667"/>
      <c r="E71" s="667"/>
      <c r="F71" s="667"/>
      <c r="G71" s="667"/>
      <c r="H71" s="667"/>
      <c r="I71" s="667"/>
      <c r="J71" s="667"/>
      <c r="K71" s="667"/>
      <c r="L71" s="667"/>
      <c r="M71" s="667"/>
      <c r="N71" s="668"/>
    </row>
    <row r="72" spans="2:14">
      <c r="B72" s="669" t="s">
        <v>433</v>
      </c>
      <c r="C72" s="670"/>
      <c r="D72" s="670"/>
      <c r="E72" s="670"/>
      <c r="F72" s="670"/>
      <c r="G72" s="670"/>
      <c r="H72" s="670"/>
      <c r="I72" s="402"/>
      <c r="J72" s="417"/>
      <c r="K72" s="410" t="s">
        <v>434</v>
      </c>
      <c r="L72" s="671" t="s">
        <v>156</v>
      </c>
      <c r="M72" s="672"/>
      <c r="N72" s="411"/>
    </row>
    <row r="73" spans="2:14">
      <c r="B73" s="673" t="s">
        <v>75</v>
      </c>
      <c r="C73" s="674"/>
      <c r="D73" s="674"/>
      <c r="E73" s="674"/>
      <c r="F73" s="674"/>
      <c r="G73" s="674"/>
      <c r="H73" s="674"/>
      <c r="I73" s="418"/>
      <c r="J73" s="419"/>
      <c r="K73" s="420">
        <v>0.23</v>
      </c>
      <c r="L73" s="650"/>
      <c r="M73" s="651"/>
      <c r="N73" s="421">
        <f>+N68*K73</f>
        <v>3380.31</v>
      </c>
    </row>
    <row r="74" spans="2:14">
      <c r="B74" s="422" t="s">
        <v>435</v>
      </c>
      <c r="C74" s="399"/>
      <c r="D74" s="399"/>
      <c r="E74" s="399"/>
      <c r="F74" s="399"/>
      <c r="G74" s="399"/>
      <c r="H74" s="399"/>
      <c r="I74" s="418"/>
      <c r="J74" s="419"/>
      <c r="K74" s="420">
        <v>0.01</v>
      </c>
      <c r="L74" s="650"/>
      <c r="M74" s="651"/>
      <c r="N74" s="421">
        <f>+N68*K74</f>
        <v>146.97</v>
      </c>
    </row>
    <row r="75" spans="2:14" ht="15.75" thickBot="1">
      <c r="B75" s="390" t="s">
        <v>76</v>
      </c>
      <c r="C75" s="391"/>
      <c r="D75" s="391"/>
      <c r="E75" s="391"/>
      <c r="F75" s="391"/>
      <c r="G75" s="391"/>
      <c r="H75" s="391"/>
      <c r="I75" s="423"/>
      <c r="J75" s="424"/>
      <c r="K75" s="420">
        <v>7.0000000000000007E-2</v>
      </c>
      <c r="L75" s="652"/>
      <c r="M75" s="653"/>
      <c r="N75" s="421">
        <f>+N68*K75</f>
        <v>1028.7900000000002</v>
      </c>
    </row>
    <row r="76" spans="2:14" ht="15.75" thickBot="1">
      <c r="B76" s="654" t="s">
        <v>58</v>
      </c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6"/>
      <c r="N76" s="425">
        <f>N73+N74+N75</f>
        <v>4556.07</v>
      </c>
    </row>
    <row r="77" spans="2:14" ht="15.75" thickBot="1">
      <c r="B77" s="381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382"/>
    </row>
    <row r="78" spans="2:14" ht="15.75" thickBot="1">
      <c r="B78" s="657" t="s">
        <v>436</v>
      </c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9"/>
      <c r="N78" s="426">
        <f>ROUND((N76+N68),0)</f>
        <v>19253</v>
      </c>
    </row>
  </sheetData>
  <mergeCells count="99">
    <mergeCell ref="L74:M74"/>
    <mergeCell ref="L75:M75"/>
    <mergeCell ref="B76:M76"/>
    <mergeCell ref="B78:M78"/>
    <mergeCell ref="B69:N71"/>
    <mergeCell ref="B72:H72"/>
    <mergeCell ref="L72:M72"/>
    <mergeCell ref="B73:H73"/>
    <mergeCell ref="L73:M73"/>
    <mergeCell ref="C19:K19"/>
    <mergeCell ref="L19:M19"/>
    <mergeCell ref="C5:J5"/>
    <mergeCell ref="C6:J7"/>
    <mergeCell ref="K6:K8"/>
    <mergeCell ref="L6:L8"/>
    <mergeCell ref="C18:K18"/>
    <mergeCell ref="L18:M18"/>
    <mergeCell ref="M6:M8"/>
    <mergeCell ref="B20:N22"/>
    <mergeCell ref="B23:F23"/>
    <mergeCell ref="G23:H23"/>
    <mergeCell ref="I23:J23"/>
    <mergeCell ref="B24:F24"/>
    <mergeCell ref="G24:H24"/>
    <mergeCell ref="I24:J24"/>
    <mergeCell ref="L23:M23"/>
    <mergeCell ref="L24:M24"/>
    <mergeCell ref="B26:F26"/>
    <mergeCell ref="G26:H26"/>
    <mergeCell ref="I26:J26"/>
    <mergeCell ref="B27:F27"/>
    <mergeCell ref="B25:F25"/>
    <mergeCell ref="G25:H25"/>
    <mergeCell ref="I25:J25"/>
    <mergeCell ref="G27:H27"/>
    <mergeCell ref="L25:M25"/>
    <mergeCell ref="L26:M26"/>
    <mergeCell ref="L27:M27"/>
    <mergeCell ref="B44:H44"/>
    <mergeCell ref="L44:M44"/>
    <mergeCell ref="I27:J27"/>
    <mergeCell ref="B28:M28"/>
    <mergeCell ref="B29:N31"/>
    <mergeCell ref="B34:I34"/>
    <mergeCell ref="B35:I35"/>
    <mergeCell ref="B36:I36"/>
    <mergeCell ref="B39:I39"/>
    <mergeCell ref="L39:M39"/>
    <mergeCell ref="B40:M40"/>
    <mergeCell ref="B37:I37"/>
    <mergeCell ref="L37:M37"/>
    <mergeCell ref="B45:H45"/>
    <mergeCell ref="L45:M45"/>
    <mergeCell ref="L32:M32"/>
    <mergeCell ref="B32:I32"/>
    <mergeCell ref="B52:H52"/>
    <mergeCell ref="L52:M52"/>
    <mergeCell ref="B38:I38"/>
    <mergeCell ref="L38:M38"/>
    <mergeCell ref="B33:I33"/>
    <mergeCell ref="L33:M33"/>
    <mergeCell ref="B41:N43"/>
    <mergeCell ref="B46:H46"/>
    <mergeCell ref="L46:M46"/>
    <mergeCell ref="L34:M34"/>
    <mergeCell ref="L35:M35"/>
    <mergeCell ref="L36:M36"/>
    <mergeCell ref="B53:H53"/>
    <mergeCell ref="L53:M53"/>
    <mergeCell ref="B47:M47"/>
    <mergeCell ref="B48:N50"/>
    <mergeCell ref="B51:H51"/>
    <mergeCell ref="N6:N8"/>
    <mergeCell ref="C8:J8"/>
    <mergeCell ref="B12:E12"/>
    <mergeCell ref="B16:N16"/>
    <mergeCell ref="B2:B8"/>
    <mergeCell ref="C2:J2"/>
    <mergeCell ref="K2:N3"/>
    <mergeCell ref="C3:J3"/>
    <mergeCell ref="C4:J4"/>
    <mergeCell ref="K4:K5"/>
    <mergeCell ref="L4:N5"/>
    <mergeCell ref="B68:M68"/>
    <mergeCell ref="L51:M51"/>
    <mergeCell ref="B54:H54"/>
    <mergeCell ref="B55:H55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L54:M54"/>
    <mergeCell ref="L55:M55"/>
    <mergeCell ref="B56:M5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34" zoomScaleNormal="100" workbookViewId="0">
      <selection activeCell="B39" sqref="B39:N43"/>
    </sheetView>
  </sheetViews>
  <sheetFormatPr baseColWidth="10" defaultRowHeight="15"/>
  <cols>
    <col min="1" max="1" width="10.42578125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1406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4.285156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customHeight="1" thickBot="1">
      <c r="A4" s="29" t="s">
        <v>48</v>
      </c>
      <c r="B4" s="207" t="s">
        <v>127</v>
      </c>
      <c r="C4" s="208" t="s">
        <v>128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5" t="s">
        <v>129</v>
      </c>
      <c r="B9" s="600" t="str">
        <f>VLOOKUP(A9,[52]EQUIPOS!A6:D154,3,FALSE)</f>
        <v>COMPACTADOR MANUAL VIBRATORIO (RANA) con motor de 6 HP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4375</v>
      </c>
      <c r="L9" s="230"/>
      <c r="M9" s="231">
        <v>1.25</v>
      </c>
      <c r="N9" s="232">
        <f>K9/M9</f>
        <v>3500</v>
      </c>
    </row>
    <row r="10" spans="1:14">
      <c r="A10" s="45"/>
      <c r="B10" s="600" t="s">
        <v>446</v>
      </c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v>1200</v>
      </c>
    </row>
    <row r="11" spans="1:14">
      <c r="A11" s="45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0.05</v>
      </c>
      <c r="N14" s="38">
        <f>N48*M14</f>
        <v>14982.071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19682.071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43" t="s">
        <v>130</v>
      </c>
      <c r="B21" s="252" t="str">
        <f>VLOOKUP(A21,[52]MATERIALES!A5:D373,3,FALSE)</f>
        <v xml:space="preserve">Material seleccionado para Relleno
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VLOOKUP(A21,[52]MATERIALES!A4:D640,2,FALSE)</f>
        <v>m3</v>
      </c>
      <c r="K21" s="255">
        <v>0.25</v>
      </c>
      <c r="L21" s="227"/>
      <c r="M21" s="345">
        <v>25000</v>
      </c>
      <c r="N21" s="257">
        <f>K21*M21</f>
        <v>6250</v>
      </c>
    </row>
    <row r="22" spans="1:14">
      <c r="A22" s="43" t="s">
        <v>131</v>
      </c>
      <c r="B22" s="600" t="s">
        <v>296</v>
      </c>
      <c r="C22" s="682"/>
      <c r="D22" s="682"/>
      <c r="E22" s="682"/>
      <c r="F22" s="682"/>
      <c r="G22" s="682"/>
      <c r="H22" s="682"/>
      <c r="I22" s="603"/>
      <c r="J22" s="254" t="s">
        <v>12</v>
      </c>
      <c r="K22" s="255">
        <v>1.03</v>
      </c>
      <c r="L22" s="346"/>
      <c r="M22" s="343">
        <v>430760</v>
      </c>
      <c r="N22" s="257">
        <f>K22*M22</f>
        <v>443682.8</v>
      </c>
    </row>
    <row r="23" spans="1:14">
      <c r="A23" s="43" t="s">
        <v>132</v>
      </c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345"/>
      <c r="N23" s="257">
        <f>K23*M23</f>
        <v>0</v>
      </c>
    </row>
    <row r="24" spans="1:14">
      <c r="A24" s="43" t="s">
        <v>133</v>
      </c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345"/>
      <c r="N24" s="257">
        <f>K24*M24</f>
        <v>0</v>
      </c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 t="s">
        <v>58</v>
      </c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74">
        <f>SUM(N21:N25)</f>
        <v>449932.79999999999</v>
      </c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48" t="s">
        <v>61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49"/>
    </row>
    <row r="29" spans="1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25.5">
      <c r="B30" s="292" t="s">
        <v>62</v>
      </c>
      <c r="C30" s="293"/>
      <c r="D30" s="293"/>
      <c r="E30" s="293"/>
      <c r="F30" s="293"/>
      <c r="G30" s="293"/>
      <c r="H30" s="294" t="s">
        <v>47</v>
      </c>
      <c r="I30" s="295" t="s">
        <v>63</v>
      </c>
      <c r="J30" s="289" t="s">
        <v>64</v>
      </c>
      <c r="K30" s="294" t="s">
        <v>65</v>
      </c>
      <c r="L30" s="296" t="s">
        <v>66</v>
      </c>
      <c r="M30" s="297"/>
      <c r="N30" s="298" t="s">
        <v>54</v>
      </c>
    </row>
    <row r="31" spans="1:14">
      <c r="A31" s="29" t="s">
        <v>112</v>
      </c>
      <c r="B31" s="620" t="str">
        <f>VLOOKUP(A31,[52]TRANSPORTE!A1:D117,3,FALSE)</f>
        <v>Transporte de concreto</v>
      </c>
      <c r="C31" s="687"/>
      <c r="D31" s="687"/>
      <c r="E31" s="687"/>
      <c r="F31" s="687"/>
      <c r="G31" s="688"/>
      <c r="H31" s="267" t="s">
        <v>134</v>
      </c>
      <c r="I31" s="244">
        <v>1.01</v>
      </c>
      <c r="J31" s="268">
        <v>1</v>
      </c>
      <c r="K31" s="244">
        <f>I31*J31</f>
        <v>1.01</v>
      </c>
      <c r="L31" s="711">
        <f>VLOOKUP(A31,[52]TRANSPORTE!A1:D117,4,FALSE)</f>
        <v>991.36869750772871</v>
      </c>
      <c r="M31" s="710"/>
      <c r="N31" s="269">
        <f>K31*L31</f>
        <v>1001.282384482806</v>
      </c>
    </row>
    <row r="32" spans="1:14">
      <c r="A32" s="29" t="s">
        <v>135</v>
      </c>
      <c r="B32" s="34" t="str">
        <f>VLOOKUP(A32,[52]TRANSPORTE!A1:D117,3,FALSE)</f>
        <v>Transporte de material seleccionado para relleno</v>
      </c>
      <c r="C32" s="266"/>
      <c r="D32" s="266"/>
      <c r="E32" s="266"/>
      <c r="F32" s="266"/>
      <c r="G32" s="266"/>
      <c r="H32" s="267" t="s">
        <v>134</v>
      </c>
      <c r="I32" s="244">
        <v>0.5</v>
      </c>
      <c r="J32" s="268">
        <v>1</v>
      </c>
      <c r="K32" s="244">
        <f>I32*J32</f>
        <v>0.5</v>
      </c>
      <c r="L32" s="635">
        <f>VLOOKUP(A32,[52]TRANSPORTE!A1:D117,4,FALSE)</f>
        <v>991.36869750772871</v>
      </c>
      <c r="M32" s="636"/>
      <c r="N32" s="269">
        <f>K32*L32</f>
        <v>495.68434875386436</v>
      </c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 t="s">
        <v>58</v>
      </c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442">
        <f>SUM(N31:N36)</f>
        <v>1496.9667332366703</v>
      </c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48" t="s">
        <v>68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249"/>
    </row>
    <row r="40" spans="1:15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5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458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5">
      <c r="A42" s="46" t="s">
        <v>136</v>
      </c>
      <c r="B42" s="280" t="str">
        <f>VLOOKUP(A42,'[52]MANO DE OBRA'!A8:D68,3,FALSE)</f>
        <v>Obrero (5)</v>
      </c>
      <c r="C42" s="270"/>
      <c r="D42" s="270"/>
      <c r="E42" s="270"/>
      <c r="F42" s="270"/>
      <c r="G42" s="270"/>
      <c r="H42" s="270"/>
      <c r="I42" s="281">
        <f>27604*5</f>
        <v>138020</v>
      </c>
      <c r="J42" s="35">
        <v>167</v>
      </c>
      <c r="K42" s="36">
        <f>+J42*I42/100</f>
        <v>230493.4</v>
      </c>
      <c r="L42" s="282"/>
      <c r="M42" s="37">
        <v>1</v>
      </c>
      <c r="N42" s="38">
        <f>K42/M42</f>
        <v>230493.4</v>
      </c>
      <c r="O42" s="39"/>
    </row>
    <row r="43" spans="1:15">
      <c r="A43" s="46" t="s">
        <v>81</v>
      </c>
      <c r="B43" s="280" t="str">
        <f>VLOOKUP(A43,'[52]MANO DE OBRA'!A8:D69,3,FALSE)</f>
        <v>Oficial</v>
      </c>
      <c r="C43" s="270"/>
      <c r="D43" s="270"/>
      <c r="E43" s="270"/>
      <c r="F43" s="270"/>
      <c r="G43" s="270"/>
      <c r="H43" s="270"/>
      <c r="I43" s="244">
        <v>41406</v>
      </c>
      <c r="J43" s="40">
        <v>167</v>
      </c>
      <c r="K43" s="41">
        <f>+J43*I43/100</f>
        <v>69148.02</v>
      </c>
      <c r="L43" s="282"/>
      <c r="M43" s="283">
        <v>1</v>
      </c>
      <c r="N43" s="38">
        <f>K43/M43</f>
        <v>69148.02</v>
      </c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 t="s">
        <v>58</v>
      </c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>
        <f>SUM(N42:N47)</f>
        <v>299641.42</v>
      </c>
    </row>
    <row r="49" spans="2:14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215" t="s">
        <v>74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441">
        <f>ROUND((N16+N26+N37+N48),0)</f>
        <v>770753</v>
      </c>
    </row>
    <row r="51" spans="2:14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4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4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4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4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177273.19</v>
      </c>
    </row>
    <row r="56" spans="2:14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7707.53</v>
      </c>
    </row>
    <row r="57" spans="2:14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53952.710000000006</v>
      </c>
    </row>
    <row r="58" spans="2:14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238933.43</v>
      </c>
    </row>
    <row r="59" spans="2:14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4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1009686</v>
      </c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0</v>
      </c>
    </row>
  </sheetData>
  <mergeCells count="45"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  <mergeCell ref="B9:H9"/>
    <mergeCell ref="B10:H10"/>
    <mergeCell ref="B11:H11"/>
    <mergeCell ref="B12:H12"/>
    <mergeCell ref="B14:D14"/>
    <mergeCell ref="C2:I2"/>
    <mergeCell ref="L2:M2"/>
    <mergeCell ref="C3:I3"/>
    <mergeCell ref="L3:M3"/>
    <mergeCell ref="B8:H8"/>
    <mergeCell ref="I8:J8"/>
    <mergeCell ref="L8:M8"/>
    <mergeCell ref="I12:J12"/>
    <mergeCell ref="L12:M12"/>
    <mergeCell ref="B13:H13"/>
    <mergeCell ref="B26:I26"/>
    <mergeCell ref="L26:M26"/>
    <mergeCell ref="I15:J15"/>
    <mergeCell ref="L15:M15"/>
    <mergeCell ref="B16:M16"/>
    <mergeCell ref="B20:I20"/>
    <mergeCell ref="L20:M20"/>
    <mergeCell ref="B15:H15"/>
    <mergeCell ref="B22:I22"/>
    <mergeCell ref="B48:H48"/>
    <mergeCell ref="L48:M48"/>
    <mergeCell ref="B49:M49"/>
    <mergeCell ref="B31:G31"/>
    <mergeCell ref="B27:M27"/>
    <mergeCell ref="L37:M37"/>
    <mergeCell ref="B38:M38"/>
    <mergeCell ref="L31:M31"/>
    <mergeCell ref="L32:M32"/>
    <mergeCell ref="B41:H41"/>
    <mergeCell ref="L41:M41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7" zoomScaleNormal="100" workbookViewId="0">
      <selection activeCell="B39" sqref="B39:N43"/>
    </sheetView>
  </sheetViews>
  <sheetFormatPr baseColWidth="10" defaultRowHeight="15"/>
  <cols>
    <col min="1" max="1" width="10.42578125" style="29" bestFit="1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1406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4.28515625" style="29" bestFit="1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customHeight="1" thickBot="1">
      <c r="A4" s="29" t="s">
        <v>48</v>
      </c>
      <c r="B4" s="207">
        <v>500.22</v>
      </c>
      <c r="C4" s="208" t="s">
        <v>243</v>
      </c>
      <c r="D4" s="209"/>
      <c r="E4" s="209"/>
      <c r="F4" s="209"/>
      <c r="G4" s="209"/>
      <c r="H4" s="209"/>
      <c r="I4" s="209"/>
      <c r="J4" s="210"/>
      <c r="K4" s="211"/>
      <c r="L4" s="212" t="s">
        <v>221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5" t="s">
        <v>129</v>
      </c>
      <c r="B9" s="600" t="s">
        <v>244</v>
      </c>
      <c r="C9" s="601"/>
      <c r="D9" s="601"/>
      <c r="E9" s="601"/>
      <c r="F9" s="601"/>
      <c r="G9" s="601"/>
      <c r="H9" s="603"/>
      <c r="I9" s="227"/>
      <c r="J9" s="228"/>
      <c r="K9" s="229">
        <v>45000</v>
      </c>
      <c r="L9" s="230"/>
      <c r="M9" s="231">
        <v>17</v>
      </c>
      <c r="N9" s="232">
        <f>K9/M9</f>
        <v>2647.0588235294117</v>
      </c>
    </row>
    <row r="10" spans="1:14">
      <c r="A10" s="45"/>
      <c r="B10" s="600" t="s">
        <v>231</v>
      </c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v>269</v>
      </c>
    </row>
    <row r="11" spans="1:14">
      <c r="A11" s="45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2916.0588235294117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49"/>
    </row>
    <row r="19" spans="1:14" ht="15.75" thickBot="1">
      <c r="B19" s="21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7"/>
    </row>
    <row r="20" spans="1:14">
      <c r="B20" s="292" t="s">
        <v>3</v>
      </c>
      <c r="C20" s="293"/>
      <c r="D20" s="293"/>
      <c r="E20" s="293"/>
      <c r="F20" s="293"/>
      <c r="G20" s="293"/>
      <c r="H20" s="294"/>
      <c r="I20" s="295"/>
      <c r="J20" s="289" t="s">
        <v>47</v>
      </c>
      <c r="K20" s="294" t="s">
        <v>5</v>
      </c>
      <c r="L20" s="296" t="s">
        <v>60</v>
      </c>
      <c r="M20" s="297"/>
      <c r="N20" s="298" t="s">
        <v>54</v>
      </c>
    </row>
    <row r="21" spans="1:14">
      <c r="A21" s="43"/>
      <c r="B21" s="620" t="s">
        <v>245</v>
      </c>
      <c r="C21" s="687"/>
      <c r="D21" s="687"/>
      <c r="E21" s="687"/>
      <c r="F21" s="687"/>
      <c r="G21" s="688"/>
      <c r="H21" s="267"/>
      <c r="I21" s="244"/>
      <c r="J21" s="268" t="s">
        <v>232</v>
      </c>
      <c r="K21" s="344">
        <v>1E-3</v>
      </c>
      <c r="L21" s="683">
        <v>750000</v>
      </c>
      <c r="M21" s="684"/>
      <c r="N21" s="269">
        <f>K21*L21</f>
        <v>750</v>
      </c>
    </row>
    <row r="22" spans="1:14">
      <c r="A22" s="43"/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683"/>
      <c r="M22" s="684"/>
      <c r="N22" s="257">
        <f>K22*M22</f>
        <v>0</v>
      </c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803"/>
      <c r="M23" s="804"/>
      <c r="N23" s="257">
        <f>K23*M23</f>
        <v>0</v>
      </c>
    </row>
    <row r="24" spans="1:14">
      <c r="A24" s="4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>
        <f>K24*M24</f>
        <v>0</v>
      </c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 t="s">
        <v>58</v>
      </c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>
        <f>SUM(N21:N25)</f>
        <v>750</v>
      </c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48" t="s">
        <v>61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49"/>
    </row>
    <row r="29" spans="1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1:14" ht="25.5">
      <c r="B30" s="292" t="s">
        <v>62</v>
      </c>
      <c r="C30" s="293"/>
      <c r="D30" s="293"/>
      <c r="E30" s="293"/>
      <c r="F30" s="293"/>
      <c r="G30" s="293"/>
      <c r="H30" s="294" t="s">
        <v>47</v>
      </c>
      <c r="I30" s="295" t="s">
        <v>63</v>
      </c>
      <c r="J30" s="289" t="s">
        <v>64</v>
      </c>
      <c r="K30" s="294" t="s">
        <v>65</v>
      </c>
      <c r="L30" s="296" t="s">
        <v>66</v>
      </c>
      <c r="M30" s="297"/>
      <c r="N30" s="298" t="s">
        <v>54</v>
      </c>
    </row>
    <row r="31" spans="1:14">
      <c r="B31" s="620"/>
      <c r="C31" s="687"/>
      <c r="D31" s="687"/>
      <c r="E31" s="687"/>
      <c r="F31" s="687"/>
      <c r="G31" s="688"/>
      <c r="H31" s="267"/>
      <c r="I31" s="244"/>
      <c r="J31" s="268"/>
      <c r="K31" s="244"/>
      <c r="L31" s="711"/>
      <c r="M31" s="710"/>
      <c r="N31" s="269">
        <f>K31*L31</f>
        <v>0</v>
      </c>
    </row>
    <row r="32" spans="1:14">
      <c r="B32" s="34"/>
      <c r="C32" s="266"/>
      <c r="D32" s="266"/>
      <c r="E32" s="266"/>
      <c r="F32" s="266"/>
      <c r="G32" s="266"/>
      <c r="H32" s="267"/>
      <c r="I32" s="244"/>
      <c r="J32" s="268"/>
      <c r="K32" s="244"/>
      <c r="L32" s="635"/>
      <c r="M32" s="636"/>
      <c r="N32" s="269">
        <f>K32*L32</f>
        <v>0</v>
      </c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 t="s">
        <v>58</v>
      </c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>
        <f>N31+N32+N33+N34+N35</f>
        <v>0</v>
      </c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48" t="s">
        <v>68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249"/>
    </row>
    <row r="40" spans="1:15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1:15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458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1:15">
      <c r="A42" s="46"/>
      <c r="B42" s="280" t="s">
        <v>237</v>
      </c>
      <c r="C42" s="270"/>
      <c r="D42" s="270"/>
      <c r="E42" s="270"/>
      <c r="F42" s="270"/>
      <c r="G42" s="270"/>
      <c r="H42" s="270"/>
      <c r="I42" s="281">
        <v>27604</v>
      </c>
      <c r="J42" s="35">
        <v>1.67</v>
      </c>
      <c r="K42" s="36">
        <f>+J42*I42</f>
        <v>46098.68</v>
      </c>
      <c r="L42" s="282"/>
      <c r="M42" s="37">
        <v>17</v>
      </c>
      <c r="N42" s="38">
        <f>K42/M42</f>
        <v>2711.6870588235292</v>
      </c>
      <c r="O42" s="39"/>
    </row>
    <row r="43" spans="1:15">
      <c r="A43" s="46"/>
      <c r="B43" s="280"/>
      <c r="C43" s="270"/>
      <c r="D43" s="270"/>
      <c r="E43" s="270"/>
      <c r="F43" s="270"/>
      <c r="G43" s="270"/>
      <c r="H43" s="270"/>
      <c r="I43" s="244"/>
      <c r="J43" s="40"/>
      <c r="K43" s="41"/>
      <c r="L43" s="282"/>
      <c r="M43" s="283"/>
      <c r="N43" s="38"/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 t="s">
        <v>58</v>
      </c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>
        <f>SUM(N42:N47)</f>
        <v>2711.6870588235292</v>
      </c>
    </row>
    <row r="49" spans="2:17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7" ht="15.75" thickBot="1">
      <c r="B50" s="215" t="s">
        <v>74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>
        <f>ROUND((N16+N26+N37+N48),0)</f>
        <v>6378</v>
      </c>
      <c r="Q50" s="120"/>
    </row>
    <row r="51" spans="2:17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7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7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7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7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1466.94</v>
      </c>
    </row>
    <row r="56" spans="2:17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63.78</v>
      </c>
    </row>
    <row r="57" spans="2:17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446.46000000000004</v>
      </c>
    </row>
    <row r="58" spans="2:17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1977.18</v>
      </c>
    </row>
    <row r="59" spans="2:17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7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8355</v>
      </c>
    </row>
  </sheetData>
  <mergeCells count="45">
    <mergeCell ref="L57:M57"/>
    <mergeCell ref="B58:M58"/>
    <mergeCell ref="B60:M60"/>
    <mergeCell ref="B54:H54"/>
    <mergeCell ref="L54:M54"/>
    <mergeCell ref="B55:H55"/>
    <mergeCell ref="L55:M55"/>
    <mergeCell ref="L56:M56"/>
    <mergeCell ref="L31:M31"/>
    <mergeCell ref="L32:M32"/>
    <mergeCell ref="B27:M27"/>
    <mergeCell ref="B21:G21"/>
    <mergeCell ref="L21:M21"/>
    <mergeCell ref="B31:G31"/>
    <mergeCell ref="L22:M22"/>
    <mergeCell ref="L23:M23"/>
    <mergeCell ref="B9:H9"/>
    <mergeCell ref="B10:H10"/>
    <mergeCell ref="B11:H11"/>
    <mergeCell ref="B12:H12"/>
    <mergeCell ref="B14:D14"/>
    <mergeCell ref="B8:H8"/>
    <mergeCell ref="I8:J8"/>
    <mergeCell ref="L8:M8"/>
    <mergeCell ref="C2:I2"/>
    <mergeCell ref="L2:M2"/>
    <mergeCell ref="C3:I3"/>
    <mergeCell ref="L3:M3"/>
    <mergeCell ref="I12:J12"/>
    <mergeCell ref="L12:M12"/>
    <mergeCell ref="B13:H13"/>
    <mergeCell ref="B26:I26"/>
    <mergeCell ref="L26:M26"/>
    <mergeCell ref="I15:J15"/>
    <mergeCell ref="L15:M15"/>
    <mergeCell ref="B16:M16"/>
    <mergeCell ref="B15:H15"/>
    <mergeCell ref="B51:N53"/>
    <mergeCell ref="B49:M49"/>
    <mergeCell ref="L37:M37"/>
    <mergeCell ref="B38:M38"/>
    <mergeCell ref="B48:H48"/>
    <mergeCell ref="L48:M48"/>
    <mergeCell ref="B41:H41"/>
    <mergeCell ref="L41:M4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42578125" style="29" bestFit="1" customWidth="1"/>
    <col min="2" max="2" width="16.5703125" style="29" customWidth="1"/>
    <col min="3" max="5" width="11.42578125" style="29"/>
    <col min="6" max="6" width="16.42578125" style="29" customWidth="1"/>
    <col min="7" max="8" width="11.42578125" style="29"/>
    <col min="9" max="9" width="13.140625" style="29" bestFit="1" customWidth="1"/>
    <col min="10" max="10" width="15.5703125" style="29" customWidth="1"/>
    <col min="11" max="11" width="18.5703125" style="29" customWidth="1"/>
    <col min="12" max="12" width="11.42578125" style="29"/>
    <col min="13" max="13" width="13.42578125" style="29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30" customHeight="1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thickBot="1">
      <c r="A4" s="29" t="s">
        <v>48</v>
      </c>
      <c r="B4" s="324">
        <v>600.01</v>
      </c>
      <c r="C4" s="208" t="s">
        <v>137</v>
      </c>
      <c r="D4" s="209"/>
      <c r="E4" s="209"/>
      <c r="F4" s="209"/>
      <c r="G4" s="209"/>
      <c r="H4" s="209"/>
      <c r="I4" s="209"/>
      <c r="J4" s="210"/>
      <c r="K4" s="211"/>
      <c r="L4" s="212" t="s">
        <v>27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45" t="s">
        <v>138</v>
      </c>
      <c r="B9" s="600" t="s">
        <v>235</v>
      </c>
      <c r="C9" s="601"/>
      <c r="D9" s="601"/>
      <c r="E9" s="601"/>
      <c r="F9" s="601"/>
      <c r="G9" s="601"/>
      <c r="H9" s="603"/>
      <c r="I9" s="227"/>
      <c r="J9" s="228"/>
      <c r="K9" s="229">
        <v>42016</v>
      </c>
      <c r="L9" s="230"/>
      <c r="M9" s="231">
        <v>1500</v>
      </c>
      <c r="N9" s="232">
        <f>K9/M9</f>
        <v>28.010666666666665</v>
      </c>
    </row>
    <row r="10" spans="1:14">
      <c r="A10" s="45" t="s">
        <v>139</v>
      </c>
      <c r="B10" s="600" t="str">
        <f>VLOOKUP(A10,[52]EQUIPOS!A7:D154,3,FALSE)</f>
        <v>Vehículo delineador</v>
      </c>
      <c r="C10" s="601"/>
      <c r="D10" s="601"/>
      <c r="E10" s="601"/>
      <c r="F10" s="601"/>
      <c r="G10" s="601"/>
      <c r="H10" s="603"/>
      <c r="I10" s="227"/>
      <c r="J10" s="228"/>
      <c r="K10" s="229">
        <v>231300</v>
      </c>
      <c r="L10" s="230"/>
      <c r="M10" s="231">
        <v>1500</v>
      </c>
      <c r="N10" s="232">
        <f>K10/M10</f>
        <v>154.19999999999999</v>
      </c>
    </row>
    <row r="11" spans="1:14">
      <c r="A11" s="45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0.01</v>
      </c>
      <c r="N14" s="38">
        <f>N50*M14</f>
        <v>0.20744406000000001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182.41811072666667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43" t="s">
        <v>140</v>
      </c>
      <c r="B21" s="252" t="str">
        <f>VLOOKUP(A21,[52]MATERIALES!A5:D373,3,FALSE)</f>
        <v>Esferas reflectivas</v>
      </c>
      <c r="C21" s="253"/>
      <c r="D21" s="253"/>
      <c r="E21" s="253"/>
      <c r="F21" s="253"/>
      <c r="G21" s="253"/>
      <c r="H21" s="253"/>
      <c r="I21" s="228"/>
      <c r="J21" s="254" t="str">
        <f>VLOOKUP(A21,[52]MATERIALES!A4:D640,2,FALSE)</f>
        <v>kg</v>
      </c>
      <c r="K21" s="255">
        <v>4.5999999999999999E-2</v>
      </c>
      <c r="L21" s="227"/>
      <c r="M21" s="256">
        <v>5950</v>
      </c>
      <c r="N21" s="257">
        <f>K21*M21</f>
        <v>273.7</v>
      </c>
    </row>
    <row r="22" spans="1:14">
      <c r="A22" s="43" t="s">
        <v>141</v>
      </c>
      <c r="B22" s="252" t="str">
        <f>VLOOKUP(A22,[52]MATERIALES!A6:D373,3,FALSE)</f>
        <v xml:space="preserve">Pintura acrílica pura para tráfico
</v>
      </c>
      <c r="C22" s="253"/>
      <c r="D22" s="253"/>
      <c r="E22" s="253"/>
      <c r="F22" s="253"/>
      <c r="G22" s="253"/>
      <c r="H22" s="253"/>
      <c r="I22" s="228"/>
      <c r="J22" s="254" t="str">
        <f>VLOOKUP(A22,[52]MATERIALES!A5:D641,2,FALSE)</f>
        <v>gal</v>
      </c>
      <c r="K22" s="255">
        <v>1.4E-2</v>
      </c>
      <c r="L22" s="227"/>
      <c r="M22" s="256">
        <v>75000</v>
      </c>
      <c r="N22" s="257">
        <f>K22*M22</f>
        <v>1050</v>
      </c>
    </row>
    <row r="23" spans="1:14">
      <c r="A23" s="43" t="s">
        <v>142</v>
      </c>
      <c r="B23" s="252" t="str">
        <f>VLOOKUP(A23,[52]MATERIALES!A6:D373,3,FALSE)</f>
        <v>Disolvente para pintura Trafico (acrílico)</v>
      </c>
      <c r="C23" s="253"/>
      <c r="D23" s="253"/>
      <c r="E23" s="253"/>
      <c r="F23" s="253"/>
      <c r="G23" s="253"/>
      <c r="H23" s="253"/>
      <c r="I23" s="228"/>
      <c r="J23" s="254" t="str">
        <f>VLOOKUP(A23,[52]MATERIALES!A6:D642,2,FALSE)</f>
        <v>gal</v>
      </c>
      <c r="K23" s="255">
        <v>4.2999999999999999E-4</v>
      </c>
      <c r="L23" s="227"/>
      <c r="M23" s="256">
        <v>29900</v>
      </c>
      <c r="N23" s="257">
        <f>K23*M23</f>
        <v>12.856999999999999</v>
      </c>
    </row>
    <row r="24" spans="1:14">
      <c r="A24" s="4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15" t="s">
        <v>58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>
        <f>SUM(N21:N27)</f>
        <v>1336.557</v>
      </c>
    </row>
    <row r="29" spans="1:14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>
      <c r="B30" s="248" t="s">
        <v>61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49"/>
    </row>
    <row r="31" spans="1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1:14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296" t="s">
        <v>66</v>
      </c>
      <c r="M32" s="297"/>
      <c r="N32" s="298" t="s">
        <v>54</v>
      </c>
    </row>
    <row r="33" spans="1:15">
      <c r="B33" s="620"/>
      <c r="C33" s="687"/>
      <c r="D33" s="687"/>
      <c r="E33" s="687"/>
      <c r="F33" s="687"/>
      <c r="G33" s="688"/>
      <c r="H33" s="267"/>
      <c r="I33" s="244"/>
      <c r="J33" s="268"/>
      <c r="K33" s="244"/>
      <c r="L33" s="711"/>
      <c r="M33" s="710"/>
      <c r="N33" s="269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15" t="s">
        <v>58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>
      <c r="B41" s="248" t="s">
        <v>68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249"/>
    </row>
    <row r="42" spans="1:15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1:15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458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1:15">
      <c r="A44" s="46" t="s">
        <v>143</v>
      </c>
      <c r="B44" s="280" t="str">
        <f>VLOOKUP(A44,'[52]MANO DE OBRA'!A8:D68,3,FALSE)</f>
        <v>Obrero (3)</v>
      </c>
      <c r="C44" s="270"/>
      <c r="D44" s="270"/>
      <c r="E44" s="270"/>
      <c r="F44" s="270"/>
      <c r="G44" s="270"/>
      <c r="H44" s="270"/>
      <c r="I44" s="281">
        <f>27604*3</f>
        <v>82812</v>
      </c>
      <c r="J44" s="35">
        <v>1.67</v>
      </c>
      <c r="K44" s="36">
        <f>+J44*I44</f>
        <v>138296.04</v>
      </c>
      <c r="L44" s="282"/>
      <c r="M44" s="37">
        <v>10000</v>
      </c>
      <c r="N44" s="38">
        <f>K44/M44</f>
        <v>13.829604000000002</v>
      </c>
      <c r="O44" s="39"/>
    </row>
    <row r="45" spans="1:15">
      <c r="A45" s="46" t="s">
        <v>81</v>
      </c>
      <c r="B45" s="280" t="str">
        <f>VLOOKUP(A45,'[52]MANO DE OBRA'!A8:D69,3,FALSE)</f>
        <v>Oficial</v>
      </c>
      <c r="C45" s="270"/>
      <c r="D45" s="270"/>
      <c r="E45" s="270"/>
      <c r="F45" s="270"/>
      <c r="G45" s="270"/>
      <c r="H45" s="270"/>
      <c r="I45" s="244">
        <v>41406</v>
      </c>
      <c r="J45" s="40">
        <v>1.67</v>
      </c>
      <c r="K45" s="41">
        <f>+J45*I45</f>
        <v>69148.02</v>
      </c>
      <c r="L45" s="282"/>
      <c r="M45" s="283">
        <v>10000</v>
      </c>
      <c r="N45" s="38">
        <f>K45/M45</f>
        <v>6.9148020000000008</v>
      </c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215" t="s">
        <v>58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>
        <f>SUM(N44:N49)</f>
        <v>20.744406000000001</v>
      </c>
    </row>
    <row r="51" spans="2:14" ht="15.75" thickBot="1">
      <c r="B51" s="637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/>
    </row>
    <row r="52" spans="2:14" ht="15.75" thickBot="1">
      <c r="B52" s="805" t="s">
        <v>74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7"/>
      <c r="N52" s="33">
        <f>ROUND((N16+N28+N39+N50),0)</f>
        <v>1540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354.2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15.4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107.80000000000001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477.4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2017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I12:J12"/>
    <mergeCell ref="L12:M12"/>
    <mergeCell ref="B13:H13"/>
    <mergeCell ref="B26:I26"/>
    <mergeCell ref="B52:M52"/>
    <mergeCell ref="B48:H48"/>
    <mergeCell ref="L48:M48"/>
    <mergeCell ref="B33:G33"/>
    <mergeCell ref="L33:M33"/>
    <mergeCell ref="I15:J15"/>
    <mergeCell ref="L15:M15"/>
    <mergeCell ref="B16:M16"/>
    <mergeCell ref="B20:I20"/>
    <mergeCell ref="L20:M20"/>
    <mergeCell ref="B49:M49"/>
    <mergeCell ref="B51:M51"/>
    <mergeCell ref="B10:H10"/>
    <mergeCell ref="B11:H11"/>
    <mergeCell ref="B12:H12"/>
    <mergeCell ref="B14:D14"/>
    <mergeCell ref="B15:H15"/>
    <mergeCell ref="B9:H9"/>
    <mergeCell ref="C2:I2"/>
    <mergeCell ref="L2:M2"/>
    <mergeCell ref="C3:I3"/>
    <mergeCell ref="L3:M3"/>
    <mergeCell ref="B8:H8"/>
    <mergeCell ref="I8:J8"/>
    <mergeCell ref="L8:M8"/>
    <mergeCell ref="L26:M26"/>
    <mergeCell ref="B27:M27"/>
    <mergeCell ref="L37:M37"/>
    <mergeCell ref="B38:M38"/>
    <mergeCell ref="B43:H43"/>
    <mergeCell ref="L43:M4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8"/>
  <sheetViews>
    <sheetView topLeftCell="A41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600.02</v>
      </c>
      <c r="C19" s="735" t="s">
        <v>144</v>
      </c>
      <c r="D19" s="745"/>
      <c r="E19" s="745"/>
      <c r="F19" s="745"/>
      <c r="G19" s="745"/>
      <c r="H19" s="745"/>
      <c r="I19" s="745"/>
      <c r="J19" s="745"/>
      <c r="K19" s="736"/>
      <c r="L19" s="735" t="s">
        <v>314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0.01</v>
      </c>
      <c r="M24" s="731"/>
      <c r="N24" s="389">
        <f>+L24*N56</f>
        <v>82.97762400000002</v>
      </c>
    </row>
    <row r="25" spans="2:14">
      <c r="B25" s="673" t="s">
        <v>235</v>
      </c>
      <c r="C25" s="674"/>
      <c r="D25" s="674"/>
      <c r="E25" s="674"/>
      <c r="F25" s="723"/>
      <c r="G25" s="729"/>
      <c r="H25" s="723"/>
      <c r="I25" s="730"/>
      <c r="J25" s="731"/>
      <c r="K25" s="388">
        <v>42016</v>
      </c>
      <c r="L25" s="721">
        <v>0.26669999999999999</v>
      </c>
      <c r="M25" s="722"/>
      <c r="N25" s="389">
        <f>+L25*K25</f>
        <v>11205.6672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11288.644823999999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7">
      <c r="B33" s="673" t="s">
        <v>448</v>
      </c>
      <c r="C33" s="674"/>
      <c r="D33" s="674"/>
      <c r="E33" s="674"/>
      <c r="F33" s="674"/>
      <c r="G33" s="674"/>
      <c r="H33" s="674"/>
      <c r="I33" s="723"/>
      <c r="J33" s="397" t="s">
        <v>314</v>
      </c>
      <c r="K33" s="398">
        <v>1</v>
      </c>
      <c r="L33" s="724">
        <v>119500</v>
      </c>
      <c r="M33" s="725"/>
      <c r="N33" s="389">
        <f>+L33*K33</f>
        <v>119500</v>
      </c>
      <c r="Q33" s="443"/>
    </row>
    <row r="34" spans="2:17">
      <c r="B34" s="673" t="s">
        <v>449</v>
      </c>
      <c r="C34" s="674"/>
      <c r="D34" s="674"/>
      <c r="E34" s="674"/>
      <c r="F34" s="674"/>
      <c r="G34" s="674"/>
      <c r="H34" s="674"/>
      <c r="I34" s="723"/>
      <c r="J34" s="397" t="s">
        <v>314</v>
      </c>
      <c r="K34" s="398">
        <v>1</v>
      </c>
      <c r="L34" s="724">
        <v>295000</v>
      </c>
      <c r="M34" s="725"/>
      <c r="N34" s="389">
        <f t="shared" ref="N34:N39" si="0">+L34*K34</f>
        <v>295000</v>
      </c>
      <c r="Q34" s="443"/>
    </row>
    <row r="35" spans="2:17">
      <c r="B35" s="673" t="s">
        <v>447</v>
      </c>
      <c r="C35" s="674"/>
      <c r="D35" s="674"/>
      <c r="E35" s="674"/>
      <c r="F35" s="674"/>
      <c r="G35" s="674"/>
      <c r="H35" s="674"/>
      <c r="I35" s="723"/>
      <c r="J35" s="397" t="s">
        <v>12</v>
      </c>
      <c r="K35" s="398">
        <v>0.03</v>
      </c>
      <c r="L35" s="724">
        <v>264281</v>
      </c>
      <c r="M35" s="725"/>
      <c r="N35" s="389">
        <f t="shared" si="0"/>
        <v>7928.4299999999994</v>
      </c>
      <c r="Q35" t="s">
        <v>447</v>
      </c>
    </row>
    <row r="36" spans="2:17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7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7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7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7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422428.43</v>
      </c>
    </row>
    <row r="41" spans="2:17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7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7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7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7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7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7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7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321</v>
      </c>
      <c r="C52" s="717"/>
      <c r="D52" s="717"/>
      <c r="E52" s="717"/>
      <c r="F52" s="717"/>
      <c r="G52" s="717"/>
      <c r="H52" s="718"/>
      <c r="I52" s="412">
        <f>27604*3</f>
        <v>82812</v>
      </c>
      <c r="J52" s="413">
        <v>167</v>
      </c>
      <c r="K52" s="414">
        <f>+J52*I52/100</f>
        <v>138296.04</v>
      </c>
      <c r="L52" s="801">
        <v>0.04</v>
      </c>
      <c r="M52" s="802"/>
      <c r="N52" s="415">
        <f>+L52*K52</f>
        <v>5531.8416000000007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0.04</v>
      </c>
      <c r="M53" s="802"/>
      <c r="N53" s="415">
        <f>+L53*K53</f>
        <v>2765.9208000000003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8297.7624000000014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442015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101663.45000000001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4420.1500000000005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30941.050000000003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137024.65000000002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579040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140625" style="98" bestFit="1" customWidth="1"/>
    <col min="2" max="2" width="16.28515625" style="98" customWidth="1"/>
    <col min="3" max="8" width="11.42578125" style="98"/>
    <col min="9" max="9" width="12.7109375" style="98" bestFit="1" customWidth="1"/>
    <col min="10" max="10" width="15.5703125" style="98" customWidth="1"/>
    <col min="11" max="11" width="18.7109375" style="98" customWidth="1"/>
    <col min="12" max="12" width="11.42578125" style="98"/>
    <col min="13" max="13" width="13.42578125" style="98" customWidth="1"/>
    <col min="14" max="14" width="17.42578125" style="98" customWidth="1"/>
    <col min="15" max="15" width="12" style="98" bestFit="1" customWidth="1"/>
    <col min="16" max="16384" width="11.42578125" style="98"/>
  </cols>
  <sheetData>
    <row r="1" spans="1:14" ht="15.75" thickBot="1"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30" customHeight="1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7.25" hidden="1" customHeigh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customHeight="1" thickBot="1">
      <c r="A4" s="98" t="s">
        <v>48</v>
      </c>
      <c r="B4" s="324">
        <v>600.03</v>
      </c>
      <c r="C4" s="208" t="s">
        <v>207</v>
      </c>
      <c r="D4" s="209"/>
      <c r="E4" s="209"/>
      <c r="F4" s="209"/>
      <c r="G4" s="209"/>
      <c r="H4" s="209"/>
      <c r="I4" s="209"/>
      <c r="J4" s="210"/>
      <c r="K4" s="211"/>
      <c r="L4" s="212" t="s">
        <v>47</v>
      </c>
      <c r="M4" s="213"/>
      <c r="N4" s="214"/>
    </row>
    <row r="5" spans="1:14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102" t="s">
        <v>138</v>
      </c>
      <c r="B9" s="600" t="str">
        <f>VLOOKUP(A9,[53]EQUIPOS!A6:D154,3,FALSE)</f>
        <v>Camioneta D-300</v>
      </c>
      <c r="C9" s="601"/>
      <c r="D9" s="601"/>
      <c r="E9" s="601"/>
      <c r="F9" s="601"/>
      <c r="G9" s="601"/>
      <c r="H9" s="603"/>
      <c r="I9" s="227"/>
      <c r="J9" s="228"/>
      <c r="K9" s="229">
        <v>42016</v>
      </c>
      <c r="L9" s="230"/>
      <c r="M9" s="231">
        <v>250</v>
      </c>
      <c r="N9" s="232">
        <f>K9/M9</f>
        <v>168.06399999999999</v>
      </c>
    </row>
    <row r="10" spans="1:14">
      <c r="A10" s="102" t="s">
        <v>208</v>
      </c>
      <c r="B10" s="600" t="str">
        <f>VLOOKUP(A10,[53]EQUIPOS!A7:D154,3,FALSE)</f>
        <v>Maquina térmica pegatachas</v>
      </c>
      <c r="C10" s="601"/>
      <c r="D10" s="601"/>
      <c r="E10" s="601"/>
      <c r="F10" s="601"/>
      <c r="G10" s="601"/>
      <c r="H10" s="603"/>
      <c r="I10" s="227"/>
      <c r="J10" s="228"/>
      <c r="K10" s="229">
        <v>25400</v>
      </c>
      <c r="L10" s="230"/>
      <c r="M10" s="231">
        <v>250</v>
      </c>
      <c r="N10" s="232">
        <f>K10/M10</f>
        <v>101.6</v>
      </c>
    </row>
    <row r="11" spans="1:14">
      <c r="A11" s="102"/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0.01</v>
      </c>
      <c r="N14" s="38">
        <f>N50*M14</f>
        <v>0.80672690000000002</v>
      </c>
    </row>
    <row r="15" spans="1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270.47072689999999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103" t="s">
        <v>209</v>
      </c>
      <c r="B21" s="252" t="str">
        <f>VLOOKUP(A21,[53]MATERIALES!A5:D373,3,FALSE)</f>
        <v xml:space="preserve">Resina termoplástica </v>
      </c>
      <c r="C21" s="253"/>
      <c r="D21" s="253"/>
      <c r="E21" s="253"/>
      <c r="F21" s="253"/>
      <c r="G21" s="253"/>
      <c r="H21" s="253"/>
      <c r="I21" s="228"/>
      <c r="J21" s="254" t="str">
        <f>VLOOKUP(A21,[53]MATERIALES!A4:D640,2,FALSE)</f>
        <v>kg</v>
      </c>
      <c r="K21" s="255">
        <v>0.08</v>
      </c>
      <c r="L21" s="227"/>
      <c r="M21" s="256">
        <v>9400</v>
      </c>
      <c r="N21" s="257">
        <f>K21*M21</f>
        <v>752</v>
      </c>
    </row>
    <row r="22" spans="1:14">
      <c r="A22" s="103" t="s">
        <v>210</v>
      </c>
      <c r="B22" s="252" t="s">
        <v>214</v>
      </c>
      <c r="C22" s="253"/>
      <c r="D22" s="253"/>
      <c r="E22" s="253"/>
      <c r="F22" s="253"/>
      <c r="G22" s="253"/>
      <c r="H22" s="253"/>
      <c r="I22" s="228"/>
      <c r="J22" s="254" t="s">
        <v>314</v>
      </c>
      <c r="K22" s="255">
        <v>1</v>
      </c>
      <c r="L22" s="227"/>
      <c r="M22" s="256">
        <v>5900</v>
      </c>
      <c r="N22" s="257">
        <f>K22*M22</f>
        <v>5900</v>
      </c>
    </row>
    <row r="23" spans="1:14">
      <c r="A23" s="10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A24" s="10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15" t="s">
        <v>58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>
        <f>SUM(N21:N27)</f>
        <v>6652</v>
      </c>
    </row>
    <row r="29" spans="1:14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>
      <c r="B30" s="248" t="s">
        <v>61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49"/>
    </row>
    <row r="31" spans="1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1:14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296" t="s">
        <v>66</v>
      </c>
      <c r="M32" s="297"/>
      <c r="N32" s="298" t="s">
        <v>54</v>
      </c>
    </row>
    <row r="33" spans="1:15">
      <c r="B33" s="620"/>
      <c r="C33" s="687"/>
      <c r="D33" s="687"/>
      <c r="E33" s="687"/>
      <c r="F33" s="687"/>
      <c r="G33" s="688"/>
      <c r="H33" s="267"/>
      <c r="I33" s="244"/>
      <c r="J33" s="268"/>
      <c r="K33" s="244"/>
      <c r="L33" s="711"/>
      <c r="M33" s="710"/>
      <c r="N33" s="269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15" t="s">
        <v>58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>
      <c r="B41" s="248" t="s">
        <v>68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249"/>
    </row>
    <row r="42" spans="1:15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1:15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458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1:15">
      <c r="A44" s="104" t="s">
        <v>73</v>
      </c>
      <c r="B44" s="280" t="str">
        <f>VLOOKUP(A44,'[53]MANO DE OBRA'!A8:D68,3,FALSE)</f>
        <v>Obrero (2)</v>
      </c>
      <c r="C44" s="270"/>
      <c r="D44" s="270"/>
      <c r="E44" s="270"/>
      <c r="F44" s="270"/>
      <c r="G44" s="270"/>
      <c r="H44" s="270"/>
      <c r="I44" s="281">
        <f>27604*2</f>
        <v>55208</v>
      </c>
      <c r="J44" s="35">
        <v>167</v>
      </c>
      <c r="K44" s="36">
        <f>+J44*I44/100</f>
        <v>92197.36</v>
      </c>
      <c r="L44" s="282"/>
      <c r="M44" s="37">
        <v>2000</v>
      </c>
      <c r="N44" s="38">
        <f>K44/M44</f>
        <v>46.098680000000002</v>
      </c>
      <c r="O44" s="105"/>
    </row>
    <row r="45" spans="1:15">
      <c r="A45" s="104" t="s">
        <v>81</v>
      </c>
      <c r="B45" s="280" t="str">
        <f>VLOOKUP(A45,'[53]MANO DE OBRA'!A8:D69,3,FALSE)</f>
        <v>Oficial</v>
      </c>
      <c r="C45" s="270"/>
      <c r="D45" s="270"/>
      <c r="E45" s="270"/>
      <c r="F45" s="270"/>
      <c r="G45" s="270"/>
      <c r="H45" s="270"/>
      <c r="I45" s="244">
        <v>41406</v>
      </c>
      <c r="J45" s="40">
        <v>167</v>
      </c>
      <c r="K45" s="41">
        <f>+J45*I45/100</f>
        <v>69148.02</v>
      </c>
      <c r="L45" s="282"/>
      <c r="M45" s="283">
        <v>2000</v>
      </c>
      <c r="N45" s="38">
        <f>K45/M45</f>
        <v>34.574010000000001</v>
      </c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215" t="s">
        <v>58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>
        <f>SUM(N44:N49)</f>
        <v>80.672690000000003</v>
      </c>
    </row>
    <row r="51" spans="2:14" ht="15.75" thickBot="1">
      <c r="B51" s="637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/>
    </row>
    <row r="52" spans="2:14" ht="15.75" thickBot="1">
      <c r="B52" s="808" t="s">
        <v>74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10"/>
      <c r="N52" s="106">
        <f>ROUND((N16+N28+N39+N50),0)</f>
        <v>7003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1610.69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70.03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490.21000000000004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2170.9300000000003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9174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B14:D14"/>
    <mergeCell ref="B52:M52"/>
    <mergeCell ref="B49:M49"/>
    <mergeCell ref="B51:M51"/>
    <mergeCell ref="I15:J15"/>
    <mergeCell ref="L15:M15"/>
    <mergeCell ref="B16:M16"/>
    <mergeCell ref="B20:I20"/>
    <mergeCell ref="L20:M20"/>
    <mergeCell ref="B15:H15"/>
    <mergeCell ref="B27:M27"/>
    <mergeCell ref="L37:M37"/>
    <mergeCell ref="B33:G33"/>
    <mergeCell ref="L33:M33"/>
    <mergeCell ref="B38:M38"/>
    <mergeCell ref="B48:H48"/>
    <mergeCell ref="L48:M48"/>
    <mergeCell ref="B43:H43"/>
    <mergeCell ref="L43:M43"/>
    <mergeCell ref="I12:J12"/>
    <mergeCell ref="L12:M12"/>
    <mergeCell ref="B13:H13"/>
    <mergeCell ref="B26:I26"/>
    <mergeCell ref="L26:M2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2"/>
  <sheetViews>
    <sheetView topLeftCell="B34" zoomScaleNormal="100" workbookViewId="0">
      <selection activeCell="N50" sqref="N50"/>
    </sheetView>
  </sheetViews>
  <sheetFormatPr baseColWidth="10" defaultRowHeight="15"/>
  <cols>
    <col min="1" max="1" width="10.28515625" style="29" bestFit="1" customWidth="1"/>
    <col min="2" max="2" width="16.28515625" style="29" customWidth="1"/>
    <col min="3" max="5" width="11.42578125" style="29"/>
    <col min="6" max="6" width="16.140625" style="29" customWidth="1"/>
    <col min="7" max="8" width="11.42578125" style="29"/>
    <col min="9" max="9" width="14.42578125" style="29" customWidth="1"/>
    <col min="10" max="10" width="15.5703125" style="29" customWidth="1"/>
    <col min="11" max="11" width="18.85546875" style="29" customWidth="1"/>
    <col min="12" max="12" width="11.42578125" style="29"/>
    <col min="13" max="13" width="13.42578125" style="29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5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5" ht="29.25" customHeight="1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5" ht="17.25" hidden="1" customHeigh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5" ht="15.75" thickBot="1">
      <c r="A4" s="29" t="s">
        <v>48</v>
      </c>
      <c r="B4" s="324">
        <v>600.04</v>
      </c>
      <c r="C4" s="208" t="s">
        <v>211</v>
      </c>
      <c r="D4" s="209"/>
      <c r="E4" s="209"/>
      <c r="F4" s="209"/>
      <c r="G4" s="209"/>
      <c r="H4" s="209"/>
      <c r="I4" s="209"/>
      <c r="J4" s="210"/>
      <c r="K4" s="211"/>
      <c r="L4" s="212" t="s">
        <v>20</v>
      </c>
      <c r="M4" s="213"/>
      <c r="N4" s="214"/>
    </row>
    <row r="5" spans="1:15" ht="6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5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5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5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5">
      <c r="A9" s="45" t="s">
        <v>212</v>
      </c>
      <c r="B9" s="600" t="str">
        <f>VLOOKUP(A9,[53]EQUIPOS!A6:D154,3,FALSE)</f>
        <v xml:space="preserve">Equipo de pintura (Compresor), Presión máxima de trabajo 3300 psi.
</v>
      </c>
      <c r="C9" s="601"/>
      <c r="D9" s="601"/>
      <c r="E9" s="601"/>
      <c r="F9" s="601"/>
      <c r="G9" s="601"/>
      <c r="H9" s="603"/>
      <c r="I9" s="227"/>
      <c r="J9" s="228"/>
      <c r="K9" s="229">
        <v>4860</v>
      </c>
      <c r="L9" s="230"/>
      <c r="M9" s="231">
        <v>6.1</v>
      </c>
      <c r="N9" s="232">
        <f>K9/M9</f>
        <v>796.72131147540983</v>
      </c>
    </row>
    <row r="10" spans="1:15">
      <c r="A10" s="45" t="s">
        <v>138</v>
      </c>
      <c r="B10" s="600" t="str">
        <f>VLOOKUP(A10,[53]EQUIPOS!A7:D154,3,FALSE)</f>
        <v>Camioneta D-300</v>
      </c>
      <c r="C10" s="601"/>
      <c r="D10" s="601"/>
      <c r="E10" s="601"/>
      <c r="F10" s="601"/>
      <c r="G10" s="601"/>
      <c r="H10" s="603"/>
      <c r="I10" s="227"/>
      <c r="J10" s="228"/>
      <c r="K10" s="229">
        <v>42016</v>
      </c>
      <c r="L10" s="230"/>
      <c r="M10" s="231">
        <v>6.1</v>
      </c>
      <c r="N10" s="232">
        <f>K10/M10</f>
        <v>6887.868852459017</v>
      </c>
    </row>
    <row r="11" spans="1:15">
      <c r="A11" s="45"/>
      <c r="B11" s="600" t="s">
        <v>231</v>
      </c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v>1745</v>
      </c>
      <c r="O11" s="459"/>
    </row>
    <row r="12" spans="1:15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5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5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5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5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9429.5901639344265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43" t="s">
        <v>140</v>
      </c>
      <c r="B21" s="252" t="str">
        <f>VLOOKUP(A21,[53]MATERIALES!A5:D373,3,FALSE)</f>
        <v>Esferas reflectivas</v>
      </c>
      <c r="C21" s="253"/>
      <c r="D21" s="253"/>
      <c r="E21" s="253"/>
      <c r="F21" s="253"/>
      <c r="G21" s="253"/>
      <c r="H21" s="253"/>
      <c r="I21" s="228"/>
      <c r="J21" s="254" t="str">
        <f>VLOOKUP(A21,[53]MATERIALES!A4:D640,2,FALSE)</f>
        <v>kg</v>
      </c>
      <c r="K21" s="255">
        <v>0.38200000000000001</v>
      </c>
      <c r="L21" s="227"/>
      <c r="M21" s="256">
        <v>5950</v>
      </c>
      <c r="N21" s="257">
        <f>K21*M21</f>
        <v>2272.9</v>
      </c>
    </row>
    <row r="22" spans="1:14">
      <c r="A22" s="43" t="s">
        <v>142</v>
      </c>
      <c r="B22" s="252" t="str">
        <f>VLOOKUP(A22,[53]MATERIALES!A6:D373,3,FALSE)</f>
        <v>Disolvente para pintura Trafico (acrílico)</v>
      </c>
      <c r="C22" s="253"/>
      <c r="D22" s="253"/>
      <c r="E22" s="253"/>
      <c r="F22" s="253"/>
      <c r="G22" s="253"/>
      <c r="H22" s="253"/>
      <c r="I22" s="228"/>
      <c r="J22" s="254" t="str">
        <f>VLOOKUP(A22,[53]MATERIALES!A5:D641,2,FALSE)</f>
        <v>gal</v>
      </c>
      <c r="K22" s="255">
        <v>0.05</v>
      </c>
      <c r="L22" s="227"/>
      <c r="M22" s="256">
        <v>29900</v>
      </c>
      <c r="N22" s="257">
        <f>K22*M22</f>
        <v>1495</v>
      </c>
    </row>
    <row r="23" spans="1:14">
      <c r="A23" s="43" t="s">
        <v>141</v>
      </c>
      <c r="B23" s="252" t="str">
        <f>VLOOKUP(A23,[53]MATERIALES!A6:D373,3,FALSE)</f>
        <v xml:space="preserve">Pintura acrílica pura para tráfico
</v>
      </c>
      <c r="C23" s="253"/>
      <c r="D23" s="253"/>
      <c r="E23" s="253"/>
      <c r="F23" s="253"/>
      <c r="G23" s="253"/>
      <c r="H23" s="253"/>
      <c r="I23" s="228"/>
      <c r="J23" s="254" t="str">
        <f>VLOOKUP(A23,[53]MATERIALES!A6:D642,2,FALSE)</f>
        <v>gal</v>
      </c>
      <c r="K23" s="255">
        <v>0.12</v>
      </c>
      <c r="L23" s="227"/>
      <c r="M23" s="256">
        <v>75000</v>
      </c>
      <c r="N23" s="257">
        <f>K23*M23</f>
        <v>9000</v>
      </c>
    </row>
    <row r="24" spans="1:14">
      <c r="A24" s="43"/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15" t="s">
        <v>58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>
        <f>SUM(N21:N27)</f>
        <v>12767.9</v>
      </c>
    </row>
    <row r="29" spans="1:14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>
      <c r="B30" s="248" t="s">
        <v>61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49"/>
    </row>
    <row r="31" spans="1:14" ht="15.75" thickBot="1">
      <c r="B31" s="21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1:14" ht="25.5">
      <c r="B32" s="292" t="s">
        <v>62</v>
      </c>
      <c r="C32" s="293"/>
      <c r="D32" s="293"/>
      <c r="E32" s="293"/>
      <c r="F32" s="293"/>
      <c r="G32" s="293"/>
      <c r="H32" s="294" t="s">
        <v>47</v>
      </c>
      <c r="I32" s="295" t="s">
        <v>63</v>
      </c>
      <c r="J32" s="289" t="s">
        <v>64</v>
      </c>
      <c r="K32" s="294" t="s">
        <v>65</v>
      </c>
      <c r="L32" s="296" t="s">
        <v>66</v>
      </c>
      <c r="M32" s="297"/>
      <c r="N32" s="298" t="s">
        <v>54</v>
      </c>
    </row>
    <row r="33" spans="1:15">
      <c r="B33" s="620"/>
      <c r="C33" s="687"/>
      <c r="D33" s="687"/>
      <c r="E33" s="687"/>
      <c r="F33" s="687"/>
      <c r="G33" s="688"/>
      <c r="H33" s="267"/>
      <c r="I33" s="244"/>
      <c r="J33" s="268"/>
      <c r="K33" s="244"/>
      <c r="L33" s="711"/>
      <c r="M33" s="710"/>
      <c r="N33" s="269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46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1:15">
      <c r="B39" s="215" t="s">
        <v>58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>
      <c r="B41" s="248" t="s">
        <v>68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249"/>
    </row>
    <row r="42" spans="1:15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1:15" ht="25.5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458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1:15">
      <c r="A44" s="46" t="s">
        <v>136</v>
      </c>
      <c r="B44" s="280" t="str">
        <f>VLOOKUP(A44,'[53]MANO DE OBRA'!A8:D68,3,FALSE)</f>
        <v>Obrero (5)</v>
      </c>
      <c r="C44" s="270"/>
      <c r="D44" s="270"/>
      <c r="E44" s="270"/>
      <c r="F44" s="270"/>
      <c r="G44" s="270"/>
      <c r="H44" s="270"/>
      <c r="I44" s="281">
        <f>27604*5</f>
        <v>138020</v>
      </c>
      <c r="J44" s="35">
        <v>167</v>
      </c>
      <c r="K44" s="36">
        <f>+J44*I44/100</f>
        <v>230493.4</v>
      </c>
      <c r="L44" s="282"/>
      <c r="M44" s="37">
        <v>48.8</v>
      </c>
      <c r="N44" s="38">
        <f>K44/M44</f>
        <v>4723.2254098360654</v>
      </c>
      <c r="O44" s="39"/>
    </row>
    <row r="45" spans="1:15">
      <c r="A45" s="46" t="s">
        <v>81</v>
      </c>
      <c r="B45" s="280" t="str">
        <f>VLOOKUP(A45,'[53]MANO DE OBRA'!A8:D69,3,FALSE)</f>
        <v>Oficial</v>
      </c>
      <c r="C45" s="270"/>
      <c r="D45" s="270"/>
      <c r="E45" s="270"/>
      <c r="F45" s="270"/>
      <c r="G45" s="270"/>
      <c r="H45" s="270"/>
      <c r="I45" s="244">
        <v>41406</v>
      </c>
      <c r="J45" s="40">
        <v>167</v>
      </c>
      <c r="K45" s="41">
        <f>+J45*I45/100</f>
        <v>69148.02</v>
      </c>
      <c r="L45" s="282"/>
      <c r="M45" s="283">
        <v>48.8</v>
      </c>
      <c r="N45" s="38">
        <f>K45/M45</f>
        <v>1416.9676229508198</v>
      </c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7" ht="15.75" thickBot="1"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7" ht="15.75" thickBot="1">
      <c r="B50" s="215" t="s">
        <v>58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>
        <f>SUM(N44:N49)</f>
        <v>6140.1930327868849</v>
      </c>
    </row>
    <row r="51" spans="2:17" ht="15.75" thickBot="1">
      <c r="B51" s="637"/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/>
    </row>
    <row r="52" spans="2:17" ht="15.75" thickBot="1">
      <c r="B52" s="805" t="s">
        <v>74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7"/>
      <c r="N52" s="33">
        <f>ROUND((N16+N28+N39+N50),0)</f>
        <v>28338</v>
      </c>
      <c r="Q52" s="120"/>
    </row>
    <row r="53" spans="2:17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7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7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7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7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6517.7400000000007</v>
      </c>
    </row>
    <row r="58" spans="2:17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283.38</v>
      </c>
    </row>
    <row r="59" spans="2:17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1983.66</v>
      </c>
    </row>
    <row r="60" spans="2:17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8784.7800000000007</v>
      </c>
    </row>
    <row r="61" spans="2:17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7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37123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C2:I2"/>
    <mergeCell ref="L2:M2"/>
    <mergeCell ref="C3:I3"/>
    <mergeCell ref="L3:M3"/>
    <mergeCell ref="B8:H8"/>
    <mergeCell ref="I8:J8"/>
    <mergeCell ref="L8:M8"/>
    <mergeCell ref="I12:J12"/>
    <mergeCell ref="L12:M12"/>
    <mergeCell ref="B13:H13"/>
    <mergeCell ref="B26:I26"/>
    <mergeCell ref="B9:H9"/>
    <mergeCell ref="I15:J15"/>
    <mergeCell ref="L15:M15"/>
    <mergeCell ref="B16:M16"/>
    <mergeCell ref="B20:I20"/>
    <mergeCell ref="L20:M20"/>
    <mergeCell ref="B10:H10"/>
    <mergeCell ref="B11:H11"/>
    <mergeCell ref="B12:H12"/>
    <mergeCell ref="B14:D14"/>
    <mergeCell ref="B15:H15"/>
    <mergeCell ref="L26:M26"/>
    <mergeCell ref="B52:M52"/>
    <mergeCell ref="B48:H48"/>
    <mergeCell ref="L48:M48"/>
    <mergeCell ref="B49:M49"/>
    <mergeCell ref="B51:M51"/>
    <mergeCell ref="B43:H43"/>
    <mergeCell ref="L43:M43"/>
    <mergeCell ref="B27:M27"/>
    <mergeCell ref="L37:M37"/>
    <mergeCell ref="B38:M38"/>
    <mergeCell ref="B33:G33"/>
    <mergeCell ref="L33:M3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 ht="15" customHeight="1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9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9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9" ht="15.75" thickBot="1">
      <c r="B19" s="384">
        <v>700.01</v>
      </c>
      <c r="C19" s="735" t="s">
        <v>450</v>
      </c>
      <c r="D19" s="745"/>
      <c r="E19" s="745"/>
      <c r="F19" s="745"/>
      <c r="G19" s="745"/>
      <c r="H19" s="745"/>
      <c r="I19" s="745"/>
      <c r="J19" s="745"/>
      <c r="K19" s="736"/>
      <c r="L19" s="735" t="s">
        <v>221</v>
      </c>
      <c r="M19" s="736"/>
      <c r="N19" s="385"/>
    </row>
    <row r="20" spans="2:19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9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9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9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9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0.01</v>
      </c>
      <c r="M24" s="731"/>
      <c r="N24" s="389">
        <f>+L24*N56</f>
        <v>253.54274000000001</v>
      </c>
    </row>
    <row r="25" spans="2:19">
      <c r="B25" s="673" t="s">
        <v>451</v>
      </c>
      <c r="C25" s="674"/>
      <c r="D25" s="674"/>
      <c r="E25" s="674"/>
      <c r="F25" s="723"/>
      <c r="G25" s="729"/>
      <c r="H25" s="723"/>
      <c r="I25" s="730"/>
      <c r="J25" s="731"/>
      <c r="K25" s="388"/>
      <c r="L25" s="721"/>
      <c r="M25" s="722"/>
      <c r="N25" s="389">
        <v>350</v>
      </c>
    </row>
    <row r="26" spans="2:19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9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9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603.54273999999998</v>
      </c>
    </row>
    <row r="29" spans="2:19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9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  <c r="R30">
        <v>3</v>
      </c>
      <c r="S30" t="s">
        <v>20</v>
      </c>
    </row>
    <row r="31" spans="2:19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9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20">
      <c r="B33" s="673" t="s">
        <v>452</v>
      </c>
      <c r="C33" s="674"/>
      <c r="D33" s="674"/>
      <c r="E33" s="674"/>
      <c r="F33" s="674"/>
      <c r="G33" s="674"/>
      <c r="H33" s="674"/>
      <c r="I33" s="723"/>
      <c r="J33" s="397" t="s">
        <v>314</v>
      </c>
      <c r="K33" s="398">
        <v>3.5</v>
      </c>
      <c r="L33" s="724">
        <v>6172</v>
      </c>
      <c r="M33" s="725"/>
      <c r="N33" s="389">
        <f>+L33*K33</f>
        <v>21602</v>
      </c>
      <c r="P33">
        <v>1</v>
      </c>
      <c r="Q33">
        <v>1</v>
      </c>
      <c r="R33">
        <v>1</v>
      </c>
      <c r="S33">
        <v>1</v>
      </c>
      <c r="T33">
        <v>9</v>
      </c>
    </row>
    <row r="34" spans="2:20">
      <c r="B34" s="673" t="s">
        <v>453</v>
      </c>
      <c r="C34" s="674"/>
      <c r="D34" s="674"/>
      <c r="E34" s="674"/>
      <c r="F34" s="674"/>
      <c r="G34" s="674"/>
      <c r="H34" s="674"/>
      <c r="I34" s="723"/>
      <c r="J34" s="397" t="s">
        <v>25</v>
      </c>
      <c r="K34" s="398">
        <v>0.5</v>
      </c>
      <c r="L34" s="724">
        <v>4178</v>
      </c>
      <c r="M34" s="725"/>
      <c r="N34" s="389">
        <f t="shared" ref="N34:N39" si="0">+L34*K34</f>
        <v>2089</v>
      </c>
    </row>
    <row r="35" spans="2:20">
      <c r="B35" s="673" t="s">
        <v>454</v>
      </c>
      <c r="C35" s="674"/>
      <c r="D35" s="674"/>
      <c r="E35" s="674"/>
      <c r="F35" s="674"/>
      <c r="G35" s="674"/>
      <c r="H35" s="674"/>
      <c r="I35" s="723"/>
      <c r="J35" s="397" t="s">
        <v>20</v>
      </c>
      <c r="K35" s="398">
        <v>1.1000000000000001</v>
      </c>
      <c r="L35" s="724">
        <v>10000</v>
      </c>
      <c r="M35" s="725"/>
      <c r="N35" s="389">
        <f t="shared" si="0"/>
        <v>11000</v>
      </c>
      <c r="S35">
        <f>13/3</f>
        <v>4.333333333333333</v>
      </c>
    </row>
    <row r="36" spans="2:20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20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20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20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20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34691</v>
      </c>
    </row>
    <row r="41" spans="2:20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20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20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20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20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20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20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20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299</v>
      </c>
      <c r="C52" s="717"/>
      <c r="D52" s="717"/>
      <c r="E52" s="717"/>
      <c r="F52" s="717"/>
      <c r="G52" s="717"/>
      <c r="H52" s="718"/>
      <c r="I52" s="412">
        <f>27604*4</f>
        <v>110416</v>
      </c>
      <c r="J52" s="413">
        <v>167</v>
      </c>
      <c r="K52" s="414">
        <f>+J52*I52/100</f>
        <v>184394.72</v>
      </c>
      <c r="L52" s="801">
        <v>0.1</v>
      </c>
      <c r="M52" s="802"/>
      <c r="N52" s="415">
        <f>+L52*K52</f>
        <v>18439.472000000002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0.1</v>
      </c>
      <c r="M53" s="802"/>
      <c r="N53" s="415">
        <f>+L53*K53</f>
        <v>6914.8020000000006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25354.274000000001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60649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13949.27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606.49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4245.43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18801.190000000002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79450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B51" sqref="B51:N60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3.285156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" width="12.5703125" style="29" bestFit="1" customWidth="1"/>
    <col min="17" max="16384" width="11.42578125" style="29"/>
  </cols>
  <sheetData>
    <row r="1" spans="1:14" ht="26.25" thickBot="1">
      <c r="B1" s="288" t="s">
        <v>45</v>
      </c>
      <c r="C1" s="596" t="s">
        <v>3</v>
      </c>
      <c r="D1" s="597"/>
      <c r="E1" s="597"/>
      <c r="F1" s="597"/>
      <c r="G1" s="597"/>
      <c r="H1" s="597"/>
      <c r="I1" s="597"/>
      <c r="J1" s="289"/>
      <c r="K1" s="290" t="s">
        <v>46</v>
      </c>
      <c r="L1" s="598" t="s">
        <v>47</v>
      </c>
      <c r="M1" s="599"/>
      <c r="N1" s="288" t="s">
        <v>5</v>
      </c>
    </row>
    <row r="2" spans="1:14" ht="15.75" hidden="1" customHeight="1" thickBot="1">
      <c r="B2" s="204" t="s">
        <v>45</v>
      </c>
      <c r="C2" s="604" t="s">
        <v>3</v>
      </c>
      <c r="D2" s="605"/>
      <c r="E2" s="605"/>
      <c r="F2" s="605"/>
      <c r="G2" s="605"/>
      <c r="H2" s="605"/>
      <c r="I2" s="605"/>
      <c r="J2" s="205"/>
      <c r="K2" s="206"/>
      <c r="L2" s="606" t="s">
        <v>47</v>
      </c>
      <c r="M2" s="607"/>
      <c r="N2" s="204" t="s">
        <v>5</v>
      </c>
    </row>
    <row r="3" spans="1:14" ht="15.75" thickBot="1">
      <c r="A3" s="29" t="s">
        <v>48</v>
      </c>
      <c r="B3" s="324">
        <v>100.02</v>
      </c>
      <c r="C3" s="208" t="s">
        <v>248</v>
      </c>
      <c r="D3" s="209"/>
      <c r="E3" s="209"/>
      <c r="F3" s="209"/>
      <c r="G3" s="209"/>
      <c r="H3" s="209"/>
      <c r="I3" s="209"/>
      <c r="J3" s="210"/>
      <c r="K3" s="211"/>
      <c r="L3" s="212" t="s">
        <v>227</v>
      </c>
      <c r="M3" s="213"/>
      <c r="N3" s="214"/>
    </row>
    <row r="4" spans="1:14" ht="5.25" customHeight="1"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7"/>
    </row>
    <row r="5" spans="1:14">
      <c r="B5" s="218" t="s">
        <v>50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1:14" ht="15.75" thickBot="1">
      <c r="B6" s="221"/>
      <c r="C6" s="216"/>
      <c r="D6" s="216"/>
      <c r="E6" s="216"/>
      <c r="F6" s="216"/>
      <c r="G6" s="216"/>
      <c r="H6" s="216"/>
      <c r="I6" s="222"/>
      <c r="J6" s="222"/>
      <c r="K6" s="216"/>
      <c r="L6" s="216"/>
      <c r="M6" s="216"/>
      <c r="N6" s="217"/>
    </row>
    <row r="7" spans="1:14">
      <c r="B7" s="608" t="s">
        <v>3</v>
      </c>
      <c r="C7" s="609"/>
      <c r="D7" s="609"/>
      <c r="E7" s="609"/>
      <c r="F7" s="609"/>
      <c r="G7" s="609"/>
      <c r="H7" s="610"/>
      <c r="I7" s="611" t="s">
        <v>51</v>
      </c>
      <c r="J7" s="612"/>
      <c r="K7" s="286" t="s">
        <v>52</v>
      </c>
      <c r="L7" s="613" t="s">
        <v>53</v>
      </c>
      <c r="M7" s="610"/>
      <c r="N7" s="287" t="s">
        <v>54</v>
      </c>
    </row>
    <row r="8" spans="1:14">
      <c r="B8" s="600" t="s">
        <v>231</v>
      </c>
      <c r="C8" s="601"/>
      <c r="D8" s="601"/>
      <c r="E8" s="601"/>
      <c r="F8" s="601"/>
      <c r="G8" s="601"/>
      <c r="H8" s="603"/>
      <c r="I8" s="227"/>
      <c r="J8" s="228"/>
      <c r="K8" s="229"/>
      <c r="L8" s="230"/>
      <c r="M8" s="231"/>
      <c r="N8" s="232">
        <f>25000+26723-36955</f>
        <v>14768</v>
      </c>
    </row>
    <row r="9" spans="1:14">
      <c r="B9" s="600" t="s">
        <v>235</v>
      </c>
      <c r="C9" s="601"/>
      <c r="D9" s="601"/>
      <c r="E9" s="601"/>
      <c r="F9" s="601"/>
      <c r="G9" s="601"/>
      <c r="H9" s="603"/>
      <c r="I9" s="227"/>
      <c r="J9" s="228"/>
      <c r="K9" s="229">
        <v>41600</v>
      </c>
      <c r="L9" s="230"/>
      <c r="M9" s="231">
        <v>0.13</v>
      </c>
      <c r="N9" s="232">
        <f>+K9/M9</f>
        <v>320000</v>
      </c>
    </row>
    <row r="10" spans="1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3"/>
    </row>
    <row r="11" spans="1:14">
      <c r="B11" s="600"/>
      <c r="C11" s="601"/>
      <c r="D11" s="601"/>
      <c r="E11" s="601"/>
      <c r="F11" s="601"/>
      <c r="G11" s="601"/>
      <c r="H11" s="603"/>
      <c r="I11" s="614"/>
      <c r="J11" s="615"/>
      <c r="K11" s="234"/>
      <c r="L11" s="616"/>
      <c r="M11" s="617"/>
      <c r="N11" s="235"/>
    </row>
    <row r="12" spans="1:14">
      <c r="B12" s="600"/>
      <c r="C12" s="601"/>
      <c r="D12" s="601"/>
      <c r="E12" s="602"/>
      <c r="F12" s="601"/>
      <c r="G12" s="601"/>
      <c r="H12" s="603"/>
      <c r="I12" s="236"/>
      <c r="J12" s="237"/>
      <c r="K12" s="234"/>
      <c r="L12" s="238"/>
      <c r="M12" s="239"/>
      <c r="N12" s="240"/>
    </row>
    <row r="13" spans="1:14">
      <c r="B13" s="620"/>
      <c r="C13" s="621"/>
      <c r="D13" s="621"/>
      <c r="E13" s="241"/>
      <c r="F13" s="242"/>
      <c r="G13" s="242"/>
      <c r="H13" s="243"/>
      <c r="I13" s="236"/>
      <c r="J13" s="237"/>
      <c r="K13" s="244"/>
      <c r="L13" s="238"/>
      <c r="M13" s="239"/>
      <c r="N13" s="38"/>
    </row>
    <row r="14" spans="1:14" ht="15.75" thickBot="1">
      <c r="B14" s="600"/>
      <c r="C14" s="601"/>
      <c r="D14" s="601"/>
      <c r="E14" s="601"/>
      <c r="F14" s="601"/>
      <c r="G14" s="601"/>
      <c r="H14" s="603"/>
      <c r="I14" s="622"/>
      <c r="J14" s="623"/>
      <c r="K14" s="245"/>
      <c r="L14" s="624"/>
      <c r="M14" s="625"/>
      <c r="N14" s="246"/>
    </row>
    <row r="15" spans="1:14" ht="15.75" thickBot="1">
      <c r="B15" s="626" t="s">
        <v>58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8"/>
      <c r="N15" s="247">
        <f>SUM(N8:N14)</f>
        <v>334768</v>
      </c>
    </row>
    <row r="16" spans="1:14">
      <c r="B16" s="221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</row>
    <row r="17" spans="2:14">
      <c r="B17" s="248" t="s">
        <v>59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49"/>
    </row>
    <row r="18" spans="2:14" ht="15.75" thickBot="1">
      <c r="B18" s="250"/>
      <c r="C18" s="222"/>
      <c r="D18" s="222"/>
      <c r="E18" s="222"/>
      <c r="F18" s="222"/>
      <c r="G18" s="222"/>
      <c r="H18" s="222"/>
      <c r="I18" s="222"/>
      <c r="J18" s="216"/>
      <c r="K18" s="216"/>
      <c r="L18" s="216"/>
      <c r="M18" s="216"/>
      <c r="N18" s="217"/>
    </row>
    <row r="19" spans="2:14">
      <c r="B19" s="608" t="s">
        <v>3</v>
      </c>
      <c r="C19" s="609"/>
      <c r="D19" s="609"/>
      <c r="E19" s="609"/>
      <c r="F19" s="609"/>
      <c r="G19" s="609"/>
      <c r="H19" s="609"/>
      <c r="I19" s="610"/>
      <c r="J19" s="291" t="s">
        <v>47</v>
      </c>
      <c r="K19" s="286" t="s">
        <v>5</v>
      </c>
      <c r="L19" s="613" t="s">
        <v>60</v>
      </c>
      <c r="M19" s="610"/>
      <c r="N19" s="287" t="s">
        <v>54</v>
      </c>
    </row>
    <row r="20" spans="2:14">
      <c r="B20" s="252" t="s">
        <v>228</v>
      </c>
      <c r="C20" s="253"/>
      <c r="D20" s="253"/>
      <c r="E20" s="253"/>
      <c r="F20" s="253"/>
      <c r="G20" s="253"/>
      <c r="H20" s="253"/>
      <c r="I20" s="228"/>
      <c r="J20" s="254" t="s">
        <v>232</v>
      </c>
      <c r="K20" s="255">
        <v>700</v>
      </c>
      <c r="L20" s="227"/>
      <c r="M20" s="313">
        <v>100</v>
      </c>
      <c r="N20" s="232">
        <f>+M20*K20</f>
        <v>70000</v>
      </c>
    </row>
    <row r="21" spans="2:14">
      <c r="B21" s="252" t="s">
        <v>229</v>
      </c>
      <c r="C21" s="253"/>
      <c r="D21" s="253"/>
      <c r="E21" s="253"/>
      <c r="F21" s="253"/>
      <c r="G21" s="253"/>
      <c r="H21" s="253"/>
      <c r="I21" s="228"/>
      <c r="J21" s="254" t="s">
        <v>233</v>
      </c>
      <c r="K21" s="255">
        <v>3</v>
      </c>
      <c r="L21" s="227"/>
      <c r="M21" s="313">
        <v>45000</v>
      </c>
      <c r="N21" s="232">
        <f t="shared" ref="N21:N25" si="0">+M21*K21</f>
        <v>135000</v>
      </c>
    </row>
    <row r="22" spans="2:14">
      <c r="B22" s="252" t="s">
        <v>230</v>
      </c>
      <c r="C22" s="253"/>
      <c r="D22" s="253"/>
      <c r="E22" s="253"/>
      <c r="F22" s="253"/>
      <c r="G22" s="253"/>
      <c r="H22" s="253"/>
      <c r="I22" s="228"/>
      <c r="J22" s="254" t="s">
        <v>234</v>
      </c>
      <c r="K22" s="255">
        <v>10</v>
      </c>
      <c r="L22" s="227"/>
      <c r="M22" s="313">
        <v>4600</v>
      </c>
      <c r="N22" s="232">
        <f t="shared" si="0"/>
        <v>46000</v>
      </c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32">
        <f t="shared" si="0"/>
        <v>0</v>
      </c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32">
        <f t="shared" si="0"/>
        <v>0</v>
      </c>
    </row>
    <row r="25" spans="2:14" ht="15.75" thickBot="1">
      <c r="B25" s="629"/>
      <c r="C25" s="630"/>
      <c r="D25" s="630"/>
      <c r="E25" s="630"/>
      <c r="F25" s="630"/>
      <c r="G25" s="630"/>
      <c r="H25" s="630"/>
      <c r="I25" s="615"/>
      <c r="J25" s="199"/>
      <c r="K25" s="258"/>
      <c r="L25" s="631"/>
      <c r="M25" s="632"/>
      <c r="N25" s="232">
        <f t="shared" si="0"/>
        <v>0</v>
      </c>
    </row>
    <row r="26" spans="2:14" ht="15.75" thickBot="1">
      <c r="B26" s="626" t="s">
        <v>58</v>
      </c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8"/>
      <c r="N26" s="260">
        <f>SUM(N20:N25)</f>
        <v>251000</v>
      </c>
    </row>
    <row r="27" spans="2:14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</row>
    <row r="28" spans="2:14">
      <c r="B28" s="248" t="s">
        <v>61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49"/>
    </row>
    <row r="29" spans="2:14" ht="15.75" thickBot="1"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7"/>
    </row>
    <row r="30" spans="2:14" ht="25.5">
      <c r="B30" s="292" t="s">
        <v>62</v>
      </c>
      <c r="C30" s="293"/>
      <c r="D30" s="293"/>
      <c r="E30" s="293"/>
      <c r="F30" s="293"/>
      <c r="G30" s="293"/>
      <c r="H30" s="294" t="s">
        <v>47</v>
      </c>
      <c r="I30" s="295" t="s">
        <v>63</v>
      </c>
      <c r="J30" s="289" t="s">
        <v>64</v>
      </c>
      <c r="K30" s="294" t="s">
        <v>65</v>
      </c>
      <c r="L30" s="633" t="s">
        <v>66</v>
      </c>
      <c r="M30" s="634"/>
      <c r="N30" s="298" t="s">
        <v>54</v>
      </c>
    </row>
    <row r="31" spans="2:14">
      <c r="B31" s="34"/>
      <c r="C31" s="266"/>
      <c r="D31" s="266"/>
      <c r="E31" s="266"/>
      <c r="F31" s="266"/>
      <c r="G31" s="266"/>
      <c r="H31" s="267"/>
      <c r="I31" s="244"/>
      <c r="J31" s="268"/>
      <c r="K31" s="244"/>
      <c r="L31" s="635"/>
      <c r="M31" s="636"/>
      <c r="N31" s="269">
        <f>K31*L31</f>
        <v>0</v>
      </c>
    </row>
    <row r="32" spans="2:14">
      <c r="B32" s="34"/>
      <c r="C32" s="270"/>
      <c r="D32" s="270"/>
      <c r="E32" s="270"/>
      <c r="F32" s="270"/>
      <c r="G32" s="270"/>
      <c r="H32" s="271"/>
      <c r="I32" s="244"/>
      <c r="J32" s="244"/>
      <c r="K32" s="244"/>
      <c r="L32" s="272"/>
      <c r="M32" s="273"/>
      <c r="N32" s="274"/>
    </row>
    <row r="33" spans="2:16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6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6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6" ht="15.75" thickBot="1">
      <c r="B36" s="275"/>
      <c r="C36" s="276"/>
      <c r="D36" s="276"/>
      <c r="E36" s="276"/>
      <c r="F36" s="276"/>
      <c r="G36" s="276"/>
      <c r="H36" s="277"/>
      <c r="I36" s="278"/>
      <c r="J36" s="278"/>
      <c r="K36" s="278"/>
      <c r="L36" s="618"/>
      <c r="M36" s="619"/>
      <c r="N36" s="259"/>
    </row>
    <row r="37" spans="2:16" ht="15.75" thickBot="1">
      <c r="B37" s="626" t="s">
        <v>58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8"/>
      <c r="N37" s="260">
        <f>N31+N32+N33+N34+N35</f>
        <v>0</v>
      </c>
    </row>
    <row r="38" spans="2:16">
      <c r="B38" s="21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7"/>
    </row>
    <row r="39" spans="2:16">
      <c r="B39" s="248" t="s">
        <v>68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49"/>
    </row>
    <row r="40" spans="2:16" ht="15.7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6" ht="25.5">
      <c r="B41" s="640" t="s">
        <v>69</v>
      </c>
      <c r="C41" s="598"/>
      <c r="D41" s="598"/>
      <c r="E41" s="598"/>
      <c r="F41" s="598"/>
      <c r="G41" s="598"/>
      <c r="H41" s="598"/>
      <c r="I41" s="294" t="s">
        <v>70</v>
      </c>
      <c r="J41" s="289" t="s">
        <v>71</v>
      </c>
      <c r="K41" s="295" t="s">
        <v>72</v>
      </c>
      <c r="L41" s="641" t="s">
        <v>53</v>
      </c>
      <c r="M41" s="642"/>
      <c r="N41" s="299" t="s">
        <v>54</v>
      </c>
    </row>
    <row r="42" spans="2:16">
      <c r="B42" s="280" t="s">
        <v>238</v>
      </c>
      <c r="C42" s="270"/>
      <c r="D42" s="270"/>
      <c r="E42" s="270"/>
      <c r="F42" s="270"/>
      <c r="G42" s="270"/>
      <c r="H42" s="270"/>
      <c r="I42" s="281">
        <v>120000</v>
      </c>
      <c r="J42" s="35">
        <v>167</v>
      </c>
      <c r="K42" s="36">
        <f>+J42*I42/100</f>
        <v>200400</v>
      </c>
      <c r="L42" s="282"/>
      <c r="M42" s="193">
        <v>0.15</v>
      </c>
      <c r="N42" s="38">
        <f>K42/M42</f>
        <v>1336000</v>
      </c>
      <c r="O42" s="39"/>
    </row>
    <row r="43" spans="2:16">
      <c r="B43" s="280" t="s">
        <v>236</v>
      </c>
      <c r="C43" s="270"/>
      <c r="D43" s="270"/>
      <c r="E43" s="270"/>
      <c r="F43" s="270"/>
      <c r="G43" s="270"/>
      <c r="H43" s="270"/>
      <c r="I43" s="281">
        <f>34505*2</f>
        <v>69010</v>
      </c>
      <c r="J43" s="35">
        <v>167</v>
      </c>
      <c r="K43" s="36">
        <f>+J43*I43/100</f>
        <v>115246.7</v>
      </c>
      <c r="L43" s="282"/>
      <c r="M43" s="303">
        <v>0.15</v>
      </c>
      <c r="N43" s="38">
        <f>K43/M43</f>
        <v>768311.33333333337</v>
      </c>
      <c r="P43" s="29">
        <f>27604*1.25</f>
        <v>34505</v>
      </c>
    </row>
    <row r="44" spans="2:16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304"/>
      <c r="N44" s="38"/>
    </row>
    <row r="45" spans="2:16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5"/>
      <c r="M45" s="284"/>
      <c r="N45" s="38"/>
    </row>
    <row r="46" spans="2:16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6" ht="15.75" thickBot="1">
      <c r="B47" s="643"/>
      <c r="C47" s="644"/>
      <c r="D47" s="644"/>
      <c r="E47" s="644"/>
      <c r="F47" s="644"/>
      <c r="G47" s="644"/>
      <c r="H47" s="644"/>
      <c r="I47" s="278"/>
      <c r="J47" s="278"/>
      <c r="K47" s="278"/>
      <c r="L47" s="645"/>
      <c r="M47" s="645"/>
      <c r="N47" s="259"/>
    </row>
    <row r="48" spans="2:16" ht="15.75" thickBot="1">
      <c r="B48" s="646" t="s">
        <v>58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8"/>
      <c r="N48" s="42">
        <f>SUM(N42:N47)</f>
        <v>2104311.3333333335</v>
      </c>
    </row>
    <row r="49" spans="2:16" ht="15.75" thickBot="1"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</row>
    <row r="50" spans="2:16" ht="15.75" thickBot="1">
      <c r="B50" s="637" t="s">
        <v>74</v>
      </c>
      <c r="C50" s="638"/>
      <c r="D50" s="638"/>
      <c r="E50" s="638"/>
      <c r="F50" s="638"/>
      <c r="G50" s="638"/>
      <c r="H50" s="638"/>
      <c r="I50" s="638"/>
      <c r="J50" s="638"/>
      <c r="K50" s="638"/>
      <c r="L50" s="638"/>
      <c r="M50" s="639"/>
      <c r="N50" s="300">
        <f>ROUND((N15+N26+N37+N48),0)</f>
        <v>2690079</v>
      </c>
      <c r="P50" s="119"/>
    </row>
    <row r="51" spans="2:16">
      <c r="B51" s="660" t="s">
        <v>432</v>
      </c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2"/>
    </row>
    <row r="52" spans="2:16">
      <c r="B52" s="663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4"/>
      <c r="N52" s="665"/>
    </row>
    <row r="53" spans="2:16" ht="15.75" thickBot="1">
      <c r="B53" s="666"/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8"/>
    </row>
    <row r="54" spans="2:16">
      <c r="B54" s="669" t="s">
        <v>433</v>
      </c>
      <c r="C54" s="670"/>
      <c r="D54" s="670"/>
      <c r="E54" s="670"/>
      <c r="F54" s="670"/>
      <c r="G54" s="670"/>
      <c r="H54" s="670"/>
      <c r="I54" s="402"/>
      <c r="J54" s="417"/>
      <c r="K54" s="410" t="s">
        <v>434</v>
      </c>
      <c r="L54" s="671" t="s">
        <v>156</v>
      </c>
      <c r="M54" s="672"/>
      <c r="N54" s="411"/>
    </row>
    <row r="55" spans="2:16">
      <c r="B55" s="673" t="s">
        <v>75</v>
      </c>
      <c r="C55" s="674"/>
      <c r="D55" s="674"/>
      <c r="E55" s="674"/>
      <c r="F55" s="674"/>
      <c r="G55" s="674"/>
      <c r="H55" s="674"/>
      <c r="I55" s="418"/>
      <c r="J55" s="419"/>
      <c r="K55" s="420">
        <v>0.23</v>
      </c>
      <c r="L55" s="650"/>
      <c r="M55" s="651"/>
      <c r="N55" s="421">
        <f>+N50*K55</f>
        <v>618718.17000000004</v>
      </c>
    </row>
    <row r="56" spans="2:16">
      <c r="B56" s="422" t="s">
        <v>435</v>
      </c>
      <c r="C56" s="399"/>
      <c r="D56" s="399"/>
      <c r="E56" s="399"/>
      <c r="F56" s="399"/>
      <c r="G56" s="399"/>
      <c r="H56" s="399"/>
      <c r="I56" s="418"/>
      <c r="J56" s="419"/>
      <c r="K56" s="420">
        <v>0.01</v>
      </c>
      <c r="L56" s="650"/>
      <c r="M56" s="651"/>
      <c r="N56" s="421">
        <f>+N50*K56</f>
        <v>26900.79</v>
      </c>
    </row>
    <row r="57" spans="2:16" ht="15.75" thickBot="1">
      <c r="B57" s="390" t="s">
        <v>76</v>
      </c>
      <c r="C57" s="391"/>
      <c r="D57" s="391"/>
      <c r="E57" s="391"/>
      <c r="F57" s="391"/>
      <c r="G57" s="391"/>
      <c r="H57" s="391"/>
      <c r="I57" s="423"/>
      <c r="J57" s="424"/>
      <c r="K57" s="420">
        <v>7.0000000000000007E-2</v>
      </c>
      <c r="L57" s="652"/>
      <c r="M57" s="653"/>
      <c r="N57" s="421">
        <f>+N50*K57</f>
        <v>188305.53000000003</v>
      </c>
    </row>
    <row r="58" spans="2:16" ht="15.75" thickBot="1">
      <c r="B58" s="654" t="s">
        <v>58</v>
      </c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6"/>
      <c r="N58" s="425">
        <f>N55+N56+N57</f>
        <v>833924.49000000011</v>
      </c>
    </row>
    <row r="59" spans="2:16" ht="15.75" thickBot="1">
      <c r="B59" s="381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82"/>
    </row>
    <row r="60" spans="2:16" ht="15.75" thickBot="1">
      <c r="B60" s="657" t="s">
        <v>436</v>
      </c>
      <c r="C60" s="658"/>
      <c r="D60" s="658"/>
      <c r="E60" s="658"/>
      <c r="F60" s="658"/>
      <c r="G60" s="658"/>
      <c r="H60" s="658"/>
      <c r="I60" s="658"/>
      <c r="J60" s="658"/>
      <c r="K60" s="658"/>
      <c r="L60" s="658"/>
      <c r="M60" s="659"/>
      <c r="N60" s="426">
        <f>ROUND((N58+N50),0)</f>
        <v>3524003</v>
      </c>
    </row>
  </sheetData>
  <mergeCells count="43"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  <mergeCell ref="B48:M48"/>
    <mergeCell ref="B50:M50"/>
    <mergeCell ref="L31:M31"/>
    <mergeCell ref="L36:M36"/>
    <mergeCell ref="B37:M37"/>
    <mergeCell ref="B41:H41"/>
    <mergeCell ref="L41:M41"/>
    <mergeCell ref="B47:H47"/>
    <mergeCell ref="L47:M47"/>
    <mergeCell ref="L30:M30"/>
    <mergeCell ref="B12:H12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L11:M11"/>
    <mergeCell ref="C1:I1"/>
    <mergeCell ref="L1:M1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2" workbookViewId="0">
      <selection activeCell="K63" sqref="K63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700.02</v>
      </c>
      <c r="C19" s="735" t="s">
        <v>455</v>
      </c>
      <c r="D19" s="745"/>
      <c r="E19" s="745"/>
      <c r="F19" s="745"/>
      <c r="G19" s="745"/>
      <c r="H19" s="745"/>
      <c r="I19" s="745"/>
      <c r="J19" s="745"/>
      <c r="K19" s="736"/>
      <c r="L19" s="735" t="s">
        <v>20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0.1</v>
      </c>
      <c r="M24" s="731"/>
      <c r="N24" s="389">
        <f>+L24*N56</f>
        <v>138.29604000000003</v>
      </c>
    </row>
    <row r="25" spans="2:14">
      <c r="B25" s="673" t="s">
        <v>320</v>
      </c>
      <c r="C25" s="674"/>
      <c r="D25" s="674"/>
      <c r="E25" s="674"/>
      <c r="F25" s="723"/>
      <c r="G25" s="729"/>
      <c r="H25" s="723"/>
      <c r="I25" s="730"/>
      <c r="J25" s="731"/>
      <c r="K25" s="388"/>
      <c r="L25" s="721"/>
      <c r="M25" s="722"/>
      <c r="N25" s="389">
        <v>650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788.29604000000006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456</v>
      </c>
      <c r="C33" s="674"/>
      <c r="D33" s="674"/>
      <c r="E33" s="674"/>
      <c r="F33" s="674"/>
      <c r="G33" s="674"/>
      <c r="H33" s="674"/>
      <c r="I33" s="723"/>
      <c r="J33" s="397" t="s">
        <v>314</v>
      </c>
      <c r="K33" s="398">
        <v>25</v>
      </c>
      <c r="L33" s="724">
        <v>200</v>
      </c>
      <c r="M33" s="725"/>
      <c r="N33" s="389">
        <f>+L33*K33</f>
        <v>5000</v>
      </c>
    </row>
    <row r="34" spans="2:14">
      <c r="B34" s="673" t="s">
        <v>457</v>
      </c>
      <c r="C34" s="674"/>
      <c r="D34" s="674"/>
      <c r="E34" s="674"/>
      <c r="F34" s="674"/>
      <c r="G34" s="674"/>
      <c r="H34" s="674"/>
      <c r="I34" s="723"/>
      <c r="J34" s="397" t="s">
        <v>12</v>
      </c>
      <c r="K34" s="398">
        <v>1E-3</v>
      </c>
      <c r="L34" s="724">
        <v>50000</v>
      </c>
      <c r="M34" s="725"/>
      <c r="N34" s="389">
        <f t="shared" ref="N34:N39" si="0">+L34*K34</f>
        <v>50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5050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321</v>
      </c>
      <c r="C52" s="717"/>
      <c r="D52" s="717"/>
      <c r="E52" s="717"/>
      <c r="F52" s="717"/>
      <c r="G52" s="717"/>
      <c r="H52" s="718"/>
      <c r="I52" s="412">
        <f>27604*3</f>
        <v>82812</v>
      </c>
      <c r="J52" s="413">
        <v>167</v>
      </c>
      <c r="K52" s="414">
        <f>+J52*I52/100</f>
        <v>138296.04</v>
      </c>
      <c r="L52" s="801">
        <v>0.01</v>
      </c>
      <c r="M52" s="802"/>
      <c r="N52" s="415">
        <f>+L52*K52</f>
        <v>1382.9604000000002</v>
      </c>
    </row>
    <row r="53" spans="2:14">
      <c r="B53" s="716"/>
      <c r="C53" s="717"/>
      <c r="D53" s="717"/>
      <c r="E53" s="717"/>
      <c r="F53" s="717"/>
      <c r="G53" s="717"/>
      <c r="H53" s="718"/>
      <c r="I53" s="412"/>
      <c r="J53" s="413"/>
      <c r="K53" s="414"/>
      <c r="L53" s="801"/>
      <c r="M53" s="802"/>
      <c r="N53" s="415">
        <f>+L53*K53</f>
        <v>0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1382.9604000000002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7221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1660.8300000000002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72.210000000000008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505.47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2238.5100000000002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9460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1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700.03</v>
      </c>
      <c r="C19" s="735" t="s">
        <v>458</v>
      </c>
      <c r="D19" s="745"/>
      <c r="E19" s="745"/>
      <c r="F19" s="745"/>
      <c r="G19" s="745"/>
      <c r="H19" s="745"/>
      <c r="I19" s="745"/>
      <c r="J19" s="745"/>
      <c r="K19" s="736"/>
      <c r="L19" s="735" t="s">
        <v>221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129.07630400000002</v>
      </c>
    </row>
    <row r="25" spans="2:14">
      <c r="B25" s="673" t="s">
        <v>320</v>
      </c>
      <c r="C25" s="674"/>
      <c r="D25" s="674"/>
      <c r="E25" s="674"/>
      <c r="F25" s="723"/>
      <c r="G25" s="729"/>
      <c r="H25" s="723"/>
      <c r="I25" s="730"/>
      <c r="J25" s="731"/>
      <c r="K25" s="388"/>
      <c r="L25" s="721"/>
      <c r="M25" s="722"/>
      <c r="N25" s="389">
        <v>560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689.07630400000005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310</v>
      </c>
      <c r="C33" s="674"/>
      <c r="D33" s="674"/>
      <c r="E33" s="674"/>
      <c r="F33" s="674"/>
      <c r="G33" s="674"/>
      <c r="H33" s="674"/>
      <c r="I33" s="723"/>
      <c r="J33" s="397" t="s">
        <v>221</v>
      </c>
      <c r="K33" s="398">
        <v>1.2</v>
      </c>
      <c r="L33" s="724">
        <v>23200</v>
      </c>
      <c r="M33" s="725"/>
      <c r="N33" s="389">
        <f>+L33*K33</f>
        <v>27840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27840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4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4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4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4">
      <c r="B52" s="716" t="s">
        <v>289</v>
      </c>
      <c r="C52" s="717"/>
      <c r="D52" s="717"/>
      <c r="E52" s="717"/>
      <c r="F52" s="717"/>
      <c r="G52" s="717"/>
      <c r="H52" s="718"/>
      <c r="I52" s="412">
        <f>27604*2</f>
        <v>55208</v>
      </c>
      <c r="J52" s="413">
        <v>167</v>
      </c>
      <c r="K52" s="414">
        <f>+J52*I52/100</f>
        <v>92197.36</v>
      </c>
      <c r="L52" s="801">
        <v>1.6E-2</v>
      </c>
      <c r="M52" s="802"/>
      <c r="N52" s="415">
        <f>+L52*K52</f>
        <v>1475.1577600000001</v>
      </c>
    </row>
    <row r="53" spans="2:14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1.6E-2</v>
      </c>
      <c r="M53" s="802"/>
      <c r="N53" s="415">
        <f>+L53*K53</f>
        <v>1106.36832</v>
      </c>
    </row>
    <row r="54" spans="2:14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4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4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2581.5260800000001</v>
      </c>
    </row>
    <row r="57" spans="2:14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4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31111</v>
      </c>
    </row>
    <row r="59" spans="2:14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4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4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4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14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7155.5300000000007</v>
      </c>
    </row>
    <row r="64" spans="2:14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311.11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2177.77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9644.41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40755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workbookViewId="0">
      <selection activeCell="B20" sqref="B20:N22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366"/>
      <c r="D11" s="366"/>
      <c r="E11" s="366"/>
      <c r="F11" s="366"/>
      <c r="G11" s="366"/>
      <c r="H11" s="366"/>
      <c r="I11" s="366"/>
      <c r="J11" s="366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366" t="s">
        <v>371</v>
      </c>
      <c r="G12" s="366"/>
      <c r="H12" s="366" t="s">
        <v>421</v>
      </c>
      <c r="I12" s="370"/>
      <c r="J12" s="366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3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700.04</v>
      </c>
      <c r="C19" s="735" t="s">
        <v>459</v>
      </c>
      <c r="D19" s="745"/>
      <c r="E19" s="745"/>
      <c r="F19" s="745"/>
      <c r="G19" s="745"/>
      <c r="H19" s="745"/>
      <c r="I19" s="745"/>
      <c r="J19" s="745"/>
      <c r="K19" s="736"/>
      <c r="L19" s="735" t="s">
        <v>221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933.49827000000005</v>
      </c>
    </row>
    <row r="25" spans="2:14">
      <c r="B25" s="673" t="s">
        <v>320</v>
      </c>
      <c r="C25" s="674"/>
      <c r="D25" s="674"/>
      <c r="E25" s="674"/>
      <c r="F25" s="723"/>
      <c r="G25" s="729"/>
      <c r="H25" s="723"/>
      <c r="I25" s="730"/>
      <c r="J25" s="731"/>
      <c r="K25" s="388"/>
      <c r="L25" s="721"/>
      <c r="M25" s="722"/>
      <c r="N25" s="389">
        <v>560</v>
      </c>
    </row>
    <row r="26" spans="2:14">
      <c r="B26" s="716"/>
      <c r="C26" s="717"/>
      <c r="D26" s="717"/>
      <c r="E26" s="717"/>
      <c r="F26" s="718"/>
      <c r="G26" s="729"/>
      <c r="H26" s="723"/>
      <c r="I26" s="730"/>
      <c r="J26" s="731"/>
      <c r="K26" s="388"/>
      <c r="L26" s="730"/>
      <c r="M26" s="731"/>
      <c r="N26" s="389">
        <f>+L26*K26</f>
        <v>0</v>
      </c>
    </row>
    <row r="27" spans="2:14" ht="15.75" thickBot="1">
      <c r="B27" s="712"/>
      <c r="C27" s="713"/>
      <c r="D27" s="713"/>
      <c r="E27" s="713"/>
      <c r="F27" s="728"/>
      <c r="G27" s="732"/>
      <c r="H27" s="728"/>
      <c r="I27" s="732"/>
      <c r="J27" s="728"/>
      <c r="K27" s="392"/>
      <c r="L27" s="733"/>
      <c r="M27" s="734"/>
      <c r="N27" s="389"/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1493.49827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394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9">
      <c r="B33" s="673" t="s">
        <v>460</v>
      </c>
      <c r="C33" s="674"/>
      <c r="D33" s="674"/>
      <c r="E33" s="674"/>
      <c r="F33" s="674"/>
      <c r="G33" s="674"/>
      <c r="H33" s="674"/>
      <c r="I33" s="723"/>
      <c r="J33" s="397" t="s">
        <v>314</v>
      </c>
      <c r="K33" s="398">
        <v>4.5</v>
      </c>
      <c r="L33" s="724">
        <v>120</v>
      </c>
      <c r="M33" s="725"/>
      <c r="N33" s="389">
        <f>+L33*K33</f>
        <v>540</v>
      </c>
    </row>
    <row r="34" spans="2:19">
      <c r="B34" s="673" t="s">
        <v>327</v>
      </c>
      <c r="C34" s="674"/>
      <c r="D34" s="674"/>
      <c r="E34" s="674"/>
      <c r="F34" s="674"/>
      <c r="G34" s="674"/>
      <c r="H34" s="674"/>
      <c r="I34" s="723"/>
      <c r="J34" s="397" t="s">
        <v>25</v>
      </c>
      <c r="K34" s="398">
        <v>28</v>
      </c>
      <c r="L34" s="724">
        <v>632</v>
      </c>
      <c r="M34" s="725"/>
      <c r="N34" s="389">
        <f t="shared" ref="N34:N39" si="0">+L34*K34</f>
        <v>17696</v>
      </c>
      <c r="P34">
        <f>2.1*0.1</f>
        <v>0.21000000000000002</v>
      </c>
      <c r="Q34">
        <f>+P34*1.6</f>
        <v>0.33600000000000008</v>
      </c>
      <c r="R34">
        <f>+Q34*0.1</f>
        <v>3.3600000000000012E-2</v>
      </c>
      <c r="S34">
        <f>+P34/10</f>
        <v>2.1000000000000001E-2</v>
      </c>
    </row>
    <row r="35" spans="2:19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9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9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9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9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9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18236</v>
      </c>
    </row>
    <row r="41" spans="2:19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9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9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9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02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9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9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9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9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20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20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20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20">
      <c r="B52" s="716" t="s">
        <v>321</v>
      </c>
      <c r="C52" s="717"/>
      <c r="D52" s="717"/>
      <c r="E52" s="717"/>
      <c r="F52" s="717"/>
      <c r="G52" s="717"/>
      <c r="H52" s="718"/>
      <c r="I52" s="412">
        <f>27604*3</f>
        <v>82812</v>
      </c>
      <c r="J52" s="413">
        <v>167</v>
      </c>
      <c r="K52" s="414">
        <f>+J52*I52/100</f>
        <v>138296.04</v>
      </c>
      <c r="L52" s="801">
        <v>0.09</v>
      </c>
      <c r="M52" s="802"/>
      <c r="N52" s="415">
        <f>+L52*K52</f>
        <v>12446.643599999999</v>
      </c>
      <c r="P52">
        <v>12</v>
      </c>
      <c r="Q52" t="s">
        <v>461</v>
      </c>
      <c r="S52">
        <f>+(1+0.7)/2*0.4</f>
        <v>0.34</v>
      </c>
      <c r="T52" t="s">
        <v>462</v>
      </c>
    </row>
    <row r="53" spans="2:20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0.09</v>
      </c>
      <c r="M53" s="802"/>
      <c r="N53" s="415">
        <f>+L53*K53</f>
        <v>6223.3217999999997</v>
      </c>
      <c r="P53">
        <v>35</v>
      </c>
      <c r="Q53" t="s">
        <v>463</v>
      </c>
      <c r="R53">
        <f>+P53*4.5</f>
        <v>157.5</v>
      </c>
      <c r="S53" t="s">
        <v>464</v>
      </c>
      <c r="T53">
        <f>+R53/120</f>
        <v>1.3125</v>
      </c>
    </row>
    <row r="54" spans="2:20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  <c r="P54">
        <f>3/35</f>
        <v>8.5714285714285715E-2</v>
      </c>
    </row>
    <row r="55" spans="2:20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20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18669.965400000001</v>
      </c>
    </row>
    <row r="57" spans="2:20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20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ROUND((N56+N47+N40+N28),0)</f>
        <v>38399</v>
      </c>
    </row>
    <row r="59" spans="2:20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20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20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20">
      <c r="B62" s="669" t="s">
        <v>433</v>
      </c>
      <c r="C62" s="670"/>
      <c r="D62" s="670"/>
      <c r="E62" s="670"/>
      <c r="F62" s="670"/>
      <c r="G62" s="670"/>
      <c r="H62" s="670"/>
      <c r="I62" s="402"/>
      <c r="J62" s="417"/>
      <c r="K62" s="410" t="s">
        <v>434</v>
      </c>
      <c r="L62" s="671" t="s">
        <v>156</v>
      </c>
      <c r="M62" s="672"/>
      <c r="N62" s="411"/>
    </row>
    <row r="63" spans="2:20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8831.77</v>
      </c>
    </row>
    <row r="64" spans="2:20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383.99</v>
      </c>
    </row>
    <row r="65" spans="2:14" ht="15.75" thickBot="1">
      <c r="B65" s="375" t="s">
        <v>76</v>
      </c>
      <c r="C65" s="376"/>
      <c r="D65" s="376"/>
      <c r="E65" s="376"/>
      <c r="F65" s="376"/>
      <c r="G65" s="376"/>
      <c r="H65" s="376"/>
      <c r="I65" s="423"/>
      <c r="J65" s="424"/>
      <c r="K65" s="420">
        <v>7.0000000000000007E-2</v>
      </c>
      <c r="L65" s="652"/>
      <c r="M65" s="653"/>
      <c r="N65" s="421">
        <f>+N58*K65</f>
        <v>2687.9300000000003</v>
      </c>
    </row>
    <row r="66" spans="2:14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11903.69</v>
      </c>
    </row>
    <row r="67" spans="2:14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</row>
    <row r="68" spans="2:14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50303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5" workbookViewId="0">
      <selection activeCell="A63" sqref="A63"/>
    </sheetView>
  </sheetViews>
  <sheetFormatPr baseColWidth="10" defaultRowHeight="15"/>
  <sheetData>
    <row r="1" spans="2:14" ht="15.75" thickBot="1"/>
    <row r="2" spans="2:14">
      <c r="B2" s="753"/>
      <c r="C2" s="755"/>
      <c r="D2" s="756"/>
      <c r="E2" s="756"/>
      <c r="F2" s="756"/>
      <c r="G2" s="756"/>
      <c r="H2" s="756"/>
      <c r="I2" s="756"/>
      <c r="J2" s="757"/>
      <c r="K2" s="758"/>
      <c r="L2" s="759"/>
      <c r="M2" s="759"/>
      <c r="N2" s="760"/>
    </row>
    <row r="3" spans="2:14">
      <c r="B3" s="754"/>
      <c r="C3" s="748" t="s">
        <v>409</v>
      </c>
      <c r="D3" s="749"/>
      <c r="E3" s="749"/>
      <c r="F3" s="749"/>
      <c r="G3" s="749"/>
      <c r="H3" s="749"/>
      <c r="I3" s="749"/>
      <c r="J3" s="750"/>
      <c r="K3" s="761"/>
      <c r="L3" s="762"/>
      <c r="M3" s="762"/>
      <c r="N3" s="763"/>
    </row>
    <row r="4" spans="2:14">
      <c r="B4" s="754"/>
      <c r="C4" s="775"/>
      <c r="D4" s="776"/>
      <c r="E4" s="776"/>
      <c r="F4" s="776"/>
      <c r="G4" s="776"/>
      <c r="H4" s="776"/>
      <c r="I4" s="776"/>
      <c r="J4" s="777"/>
      <c r="K4" s="764" t="s">
        <v>410</v>
      </c>
      <c r="L4" s="766"/>
      <c r="M4" s="767"/>
      <c r="N4" s="768"/>
    </row>
    <row r="5" spans="2:14">
      <c r="B5" s="754"/>
      <c r="C5" s="748" t="s">
        <v>411</v>
      </c>
      <c r="D5" s="749"/>
      <c r="E5" s="749"/>
      <c r="F5" s="749"/>
      <c r="G5" s="749"/>
      <c r="H5" s="749"/>
      <c r="I5" s="749"/>
      <c r="J5" s="750"/>
      <c r="K5" s="765"/>
      <c r="L5" s="769"/>
      <c r="M5" s="770"/>
      <c r="N5" s="771"/>
    </row>
    <row r="6" spans="2:14">
      <c r="B6" s="754"/>
      <c r="C6" s="772" t="s">
        <v>412</v>
      </c>
      <c r="D6" s="773"/>
      <c r="E6" s="773"/>
      <c r="F6" s="773"/>
      <c r="G6" s="773"/>
      <c r="H6" s="773"/>
      <c r="I6" s="773"/>
      <c r="J6" s="774"/>
      <c r="K6" s="764" t="s">
        <v>413</v>
      </c>
      <c r="L6" s="764">
        <v>1</v>
      </c>
      <c r="M6" s="764" t="s">
        <v>414</v>
      </c>
      <c r="N6" s="746">
        <v>1</v>
      </c>
    </row>
    <row r="7" spans="2:14">
      <c r="B7" s="754"/>
      <c r="C7" s="772"/>
      <c r="D7" s="773"/>
      <c r="E7" s="773"/>
      <c r="F7" s="773"/>
      <c r="G7" s="773"/>
      <c r="H7" s="773"/>
      <c r="I7" s="773"/>
      <c r="J7" s="774"/>
      <c r="K7" s="778"/>
      <c r="L7" s="778"/>
      <c r="M7" s="778"/>
      <c r="N7" s="747"/>
    </row>
    <row r="8" spans="2:14">
      <c r="B8" s="754"/>
      <c r="C8" s="748" t="s">
        <v>415</v>
      </c>
      <c r="D8" s="749"/>
      <c r="E8" s="749"/>
      <c r="F8" s="749"/>
      <c r="G8" s="749"/>
      <c r="H8" s="749"/>
      <c r="I8" s="749"/>
      <c r="J8" s="750"/>
      <c r="K8" s="778"/>
      <c r="L8" s="778"/>
      <c r="M8" s="778"/>
      <c r="N8" s="747"/>
    </row>
    <row r="9" spans="2:14" ht="15.75" thickBot="1">
      <c r="B9" s="356"/>
      <c r="C9" s="357"/>
      <c r="D9" s="357"/>
      <c r="E9" s="357"/>
      <c r="F9" s="357"/>
      <c r="G9" s="357"/>
      <c r="H9" s="357"/>
      <c r="I9" s="357"/>
      <c r="J9" s="357"/>
      <c r="K9" s="357"/>
      <c r="L9" s="358"/>
      <c r="M9" s="358"/>
      <c r="N9" s="359"/>
    </row>
    <row r="10" spans="2:14">
      <c r="B10" s="360"/>
      <c r="C10" s="361"/>
      <c r="D10" s="361"/>
      <c r="E10" s="361"/>
      <c r="F10" s="361"/>
      <c r="G10" s="361"/>
      <c r="H10" s="361"/>
      <c r="I10" s="361"/>
      <c r="J10" s="361"/>
      <c r="K10" s="362" t="s">
        <v>416</v>
      </c>
      <c r="L10" s="363" t="s">
        <v>417</v>
      </c>
      <c r="M10" s="363" t="s">
        <v>418</v>
      </c>
      <c r="N10" s="364" t="s">
        <v>419</v>
      </c>
    </row>
    <row r="11" spans="2:14">
      <c r="B11" s="365"/>
      <c r="C11" s="498"/>
      <c r="D11" s="498"/>
      <c r="E11" s="498"/>
      <c r="F11" s="498"/>
      <c r="G11" s="498"/>
      <c r="H11" s="498"/>
      <c r="I11" s="498"/>
      <c r="J11" s="498"/>
      <c r="K11" s="367"/>
      <c r="L11" s="368"/>
      <c r="M11" s="368"/>
      <c r="N11" s="369"/>
    </row>
    <row r="12" spans="2:14">
      <c r="B12" s="751" t="s">
        <v>420</v>
      </c>
      <c r="C12" s="752"/>
      <c r="D12" s="752"/>
      <c r="E12" s="752"/>
      <c r="F12" s="498" t="s">
        <v>371</v>
      </c>
      <c r="G12" s="498"/>
      <c r="H12" s="498" t="s">
        <v>421</v>
      </c>
      <c r="I12" s="370"/>
      <c r="J12" s="498"/>
      <c r="K12" s="367"/>
      <c r="L12" s="370"/>
      <c r="M12" s="370"/>
      <c r="N12" s="371"/>
    </row>
    <row r="13" spans="2:14"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2:14" ht="15.75" thickBot="1">
      <c r="B14" s="495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377"/>
    </row>
    <row r="15" spans="2:14" ht="15.75" thickBot="1">
      <c r="B15" s="378"/>
      <c r="C15" s="379"/>
      <c r="D15" s="379"/>
      <c r="E15" s="379"/>
      <c r="F15" s="379"/>
      <c r="G15" s="379"/>
      <c r="H15" s="370"/>
      <c r="I15" s="370"/>
      <c r="J15" s="379"/>
      <c r="K15" s="379"/>
      <c r="L15" s="379"/>
      <c r="M15" s="379"/>
      <c r="N15" s="380"/>
    </row>
    <row r="16" spans="2:14">
      <c r="B16" s="737" t="s">
        <v>422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9"/>
    </row>
    <row r="17" spans="2:14" ht="15.75" thickBot="1">
      <c r="B17" s="381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82"/>
    </row>
    <row r="18" spans="2:14">
      <c r="B18" s="383" t="s">
        <v>45</v>
      </c>
      <c r="C18" s="740" t="s">
        <v>3</v>
      </c>
      <c r="D18" s="741"/>
      <c r="E18" s="741"/>
      <c r="F18" s="741"/>
      <c r="G18" s="741"/>
      <c r="H18" s="741"/>
      <c r="I18" s="741"/>
      <c r="J18" s="741"/>
      <c r="K18" s="742"/>
      <c r="L18" s="743" t="s">
        <v>47</v>
      </c>
      <c r="M18" s="744"/>
      <c r="N18" s="383" t="s">
        <v>5</v>
      </c>
    </row>
    <row r="19" spans="2:14" ht="15.75" thickBot="1">
      <c r="B19" s="384">
        <v>700.05</v>
      </c>
      <c r="C19" s="735" t="s">
        <v>488</v>
      </c>
      <c r="D19" s="745"/>
      <c r="E19" s="745"/>
      <c r="F19" s="745"/>
      <c r="G19" s="745"/>
      <c r="H19" s="745"/>
      <c r="I19" s="745"/>
      <c r="J19" s="745"/>
      <c r="K19" s="736"/>
      <c r="L19" s="735" t="s">
        <v>221</v>
      </c>
      <c r="M19" s="736"/>
      <c r="N19" s="385"/>
    </row>
    <row r="20" spans="2:14">
      <c r="B20" s="660" t="s">
        <v>50</v>
      </c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2"/>
    </row>
    <row r="21" spans="2:14">
      <c r="B21" s="663"/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5"/>
    </row>
    <row r="22" spans="2:14" ht="15.75" thickBot="1"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8"/>
    </row>
    <row r="23" spans="2:14">
      <c r="B23" s="669" t="s">
        <v>3</v>
      </c>
      <c r="C23" s="779"/>
      <c r="D23" s="779"/>
      <c r="E23" s="779"/>
      <c r="F23" s="780"/>
      <c r="G23" s="726" t="s">
        <v>423</v>
      </c>
      <c r="H23" s="779"/>
      <c r="I23" s="781" t="s">
        <v>51</v>
      </c>
      <c r="J23" s="782"/>
      <c r="K23" s="386" t="s">
        <v>52</v>
      </c>
      <c r="L23" s="726" t="s">
        <v>53</v>
      </c>
      <c r="M23" s="727"/>
      <c r="N23" s="387" t="s">
        <v>54</v>
      </c>
    </row>
    <row r="24" spans="2:14">
      <c r="B24" s="673" t="s">
        <v>424</v>
      </c>
      <c r="C24" s="674"/>
      <c r="D24" s="674"/>
      <c r="E24" s="674"/>
      <c r="F24" s="723"/>
      <c r="G24" s="729"/>
      <c r="H24" s="723"/>
      <c r="I24" s="730"/>
      <c r="J24" s="731"/>
      <c r="K24" s="388"/>
      <c r="L24" s="783">
        <v>0.05</v>
      </c>
      <c r="M24" s="731"/>
      <c r="N24" s="389">
        <f>+L24*N56</f>
        <v>18.007296875000005</v>
      </c>
    </row>
    <row r="25" spans="2:14">
      <c r="B25" s="673" t="s">
        <v>364</v>
      </c>
      <c r="C25" s="674"/>
      <c r="D25" s="674"/>
      <c r="E25" s="674"/>
      <c r="F25" s="723"/>
      <c r="G25" s="729"/>
      <c r="H25" s="723"/>
      <c r="I25" s="730"/>
      <c r="J25" s="731"/>
      <c r="K25" s="388">
        <f>596240/9</f>
        <v>66248.888888888891</v>
      </c>
      <c r="L25" s="721">
        <f>0.002085*6</f>
        <v>1.251E-2</v>
      </c>
      <c r="M25" s="722"/>
      <c r="N25" s="389">
        <f>+L25*K25</f>
        <v>828.77359999999999</v>
      </c>
    </row>
    <row r="26" spans="2:14">
      <c r="B26" s="716" t="s">
        <v>485</v>
      </c>
      <c r="C26" s="717"/>
      <c r="D26" s="717"/>
      <c r="E26" s="717"/>
      <c r="F26" s="718"/>
      <c r="G26" s="729"/>
      <c r="H26" s="723"/>
      <c r="I26" s="730"/>
      <c r="J26" s="731"/>
      <c r="K26" s="388">
        <v>3000</v>
      </c>
      <c r="L26" s="730">
        <v>0.03</v>
      </c>
      <c r="M26" s="731"/>
      <c r="N26" s="389">
        <f>+L26*K26</f>
        <v>90</v>
      </c>
    </row>
    <row r="27" spans="2:14" ht="15.75" thickBot="1">
      <c r="B27" s="712" t="s">
        <v>489</v>
      </c>
      <c r="C27" s="713"/>
      <c r="D27" s="713"/>
      <c r="E27" s="713"/>
      <c r="F27" s="728"/>
      <c r="G27" s="732"/>
      <c r="H27" s="728"/>
      <c r="I27" s="732"/>
      <c r="J27" s="728"/>
      <c r="K27" s="392">
        <v>18000</v>
      </c>
      <c r="L27" s="811">
        <v>0.03</v>
      </c>
      <c r="M27" s="812"/>
      <c r="N27" s="389">
        <f>+L27*K27</f>
        <v>540</v>
      </c>
    </row>
    <row r="28" spans="2:14" ht="15.75" thickBot="1">
      <c r="B28" s="654" t="s">
        <v>58</v>
      </c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6"/>
      <c r="N28" s="393">
        <f>SUM(N24:N27)</f>
        <v>1476.7808968750001</v>
      </c>
    </row>
    <row r="29" spans="2:14">
      <c r="B29" s="660" t="s">
        <v>59</v>
      </c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2"/>
    </row>
    <row r="30" spans="2:14">
      <c r="B30" s="663"/>
      <c r="C30" s="664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5"/>
    </row>
    <row r="31" spans="2:14" ht="15.75" thickBot="1">
      <c r="B31" s="666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8"/>
    </row>
    <row r="32" spans="2:14">
      <c r="B32" s="669" t="s">
        <v>3</v>
      </c>
      <c r="C32" s="670"/>
      <c r="D32" s="670"/>
      <c r="E32" s="670"/>
      <c r="F32" s="670"/>
      <c r="G32" s="670"/>
      <c r="H32" s="670"/>
      <c r="I32" s="727"/>
      <c r="J32" s="497" t="s">
        <v>47</v>
      </c>
      <c r="K32" s="386" t="s">
        <v>5</v>
      </c>
      <c r="L32" s="726" t="s">
        <v>60</v>
      </c>
      <c r="M32" s="727"/>
      <c r="N32" s="387" t="s">
        <v>54</v>
      </c>
    </row>
    <row r="33" spans="2:14">
      <c r="B33" s="673" t="s">
        <v>486</v>
      </c>
      <c r="C33" s="674"/>
      <c r="D33" s="674"/>
      <c r="E33" s="674"/>
      <c r="F33" s="674"/>
      <c r="G33" s="674"/>
      <c r="H33" s="674"/>
      <c r="I33" s="723"/>
      <c r="J33" s="397" t="s">
        <v>487</v>
      </c>
      <c r="K33" s="398">
        <v>0.105</v>
      </c>
      <c r="L33" s="724">
        <v>1654</v>
      </c>
      <c r="M33" s="725"/>
      <c r="N33" s="389">
        <f>+L33*K33</f>
        <v>173.67</v>
      </c>
    </row>
    <row r="34" spans="2:14">
      <c r="B34" s="673"/>
      <c r="C34" s="674"/>
      <c r="D34" s="674"/>
      <c r="E34" s="674"/>
      <c r="F34" s="674"/>
      <c r="G34" s="674"/>
      <c r="H34" s="674"/>
      <c r="I34" s="723"/>
      <c r="J34" s="397"/>
      <c r="K34" s="398"/>
      <c r="L34" s="724"/>
      <c r="M34" s="725"/>
      <c r="N34" s="389">
        <f t="shared" ref="N34:N39" si="0">+L34*K34</f>
        <v>0</v>
      </c>
    </row>
    <row r="35" spans="2:14">
      <c r="B35" s="673"/>
      <c r="C35" s="674"/>
      <c r="D35" s="674"/>
      <c r="E35" s="674"/>
      <c r="F35" s="674"/>
      <c r="G35" s="674"/>
      <c r="H35" s="674"/>
      <c r="I35" s="723"/>
      <c r="J35" s="397"/>
      <c r="K35" s="398"/>
      <c r="L35" s="724"/>
      <c r="M35" s="725"/>
      <c r="N35" s="389">
        <f t="shared" si="0"/>
        <v>0</v>
      </c>
    </row>
    <row r="36" spans="2:14">
      <c r="B36" s="673"/>
      <c r="C36" s="674"/>
      <c r="D36" s="674"/>
      <c r="E36" s="674"/>
      <c r="F36" s="674"/>
      <c r="G36" s="674"/>
      <c r="H36" s="674"/>
      <c r="I36" s="723"/>
      <c r="J36" s="397"/>
      <c r="K36" s="398"/>
      <c r="L36" s="724"/>
      <c r="M36" s="725"/>
      <c r="N36" s="389">
        <f t="shared" si="0"/>
        <v>0</v>
      </c>
    </row>
    <row r="37" spans="2:14">
      <c r="B37" s="673"/>
      <c r="C37" s="674"/>
      <c r="D37" s="674"/>
      <c r="E37" s="674"/>
      <c r="F37" s="674"/>
      <c r="G37" s="674"/>
      <c r="H37" s="674"/>
      <c r="I37" s="723"/>
      <c r="J37" s="397"/>
      <c r="K37" s="398"/>
      <c r="L37" s="724"/>
      <c r="M37" s="725"/>
      <c r="N37" s="389">
        <f t="shared" si="0"/>
        <v>0</v>
      </c>
    </row>
    <row r="38" spans="2:14">
      <c r="B38" s="673"/>
      <c r="C38" s="674"/>
      <c r="D38" s="674"/>
      <c r="E38" s="674"/>
      <c r="F38" s="674"/>
      <c r="G38" s="674"/>
      <c r="H38" s="674"/>
      <c r="I38" s="723"/>
      <c r="J38" s="397"/>
      <c r="K38" s="398"/>
      <c r="L38" s="724"/>
      <c r="M38" s="725"/>
      <c r="N38" s="389">
        <f t="shared" si="0"/>
        <v>0</v>
      </c>
    </row>
    <row r="39" spans="2:14" ht="15.75" thickBot="1">
      <c r="B39" s="712"/>
      <c r="C39" s="713"/>
      <c r="D39" s="713"/>
      <c r="E39" s="713"/>
      <c r="F39" s="713"/>
      <c r="G39" s="713"/>
      <c r="H39" s="713"/>
      <c r="I39" s="728"/>
      <c r="J39" s="399"/>
      <c r="K39" s="400"/>
      <c r="L39" s="714"/>
      <c r="M39" s="715"/>
      <c r="N39" s="389">
        <f t="shared" si="0"/>
        <v>0</v>
      </c>
    </row>
    <row r="40" spans="2:14" ht="15.75" thickBot="1">
      <c r="B40" s="654" t="s">
        <v>58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6"/>
      <c r="N40" s="401">
        <f>SUM(N33:N39)</f>
        <v>173.67</v>
      </c>
    </row>
    <row r="41" spans="2:14">
      <c r="B41" s="660" t="s">
        <v>61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2"/>
    </row>
    <row r="42" spans="2:14">
      <c r="B42" s="663"/>
      <c r="C42" s="664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5"/>
    </row>
    <row r="43" spans="2:14" ht="15.75" thickBot="1">
      <c r="B43" s="666"/>
      <c r="C43" s="667"/>
      <c r="D43" s="667"/>
      <c r="E43" s="667"/>
      <c r="F43" s="667"/>
      <c r="G43" s="667"/>
      <c r="H43" s="667"/>
      <c r="I43" s="667"/>
      <c r="J43" s="667"/>
      <c r="K43" s="667"/>
      <c r="L43" s="667"/>
      <c r="M43" s="667"/>
      <c r="N43" s="668"/>
    </row>
    <row r="44" spans="2:14">
      <c r="B44" s="669" t="s">
        <v>62</v>
      </c>
      <c r="C44" s="670"/>
      <c r="D44" s="670"/>
      <c r="E44" s="670"/>
      <c r="F44" s="670"/>
      <c r="G44" s="670"/>
      <c r="H44" s="670"/>
      <c r="I44" s="386" t="s">
        <v>428</v>
      </c>
      <c r="J44" s="491" t="s">
        <v>429</v>
      </c>
      <c r="K44" s="403" t="s">
        <v>430</v>
      </c>
      <c r="L44" s="726" t="s">
        <v>66</v>
      </c>
      <c r="M44" s="727"/>
      <c r="N44" s="387" t="s">
        <v>54</v>
      </c>
    </row>
    <row r="45" spans="2:14">
      <c r="B45" s="673"/>
      <c r="C45" s="674"/>
      <c r="D45" s="674"/>
      <c r="E45" s="674"/>
      <c r="F45" s="674"/>
      <c r="G45" s="674"/>
      <c r="H45" s="674"/>
      <c r="I45" s="404"/>
      <c r="J45" s="405"/>
      <c r="K45" s="404"/>
      <c r="L45" s="721"/>
      <c r="M45" s="722"/>
      <c r="N45" s="389">
        <f>+L45*K45</f>
        <v>0</v>
      </c>
    </row>
    <row r="46" spans="2:14" ht="15.75" thickBot="1">
      <c r="B46" s="712"/>
      <c r="C46" s="713"/>
      <c r="D46" s="713"/>
      <c r="E46" s="713"/>
      <c r="F46" s="713"/>
      <c r="G46" s="713"/>
      <c r="H46" s="713"/>
      <c r="I46" s="406"/>
      <c r="J46" s="407"/>
      <c r="K46" s="406"/>
      <c r="L46" s="714"/>
      <c r="M46" s="715"/>
      <c r="N46" s="408"/>
    </row>
    <row r="47" spans="2:14" ht="15.75" thickBot="1">
      <c r="B47" s="654" t="s">
        <v>58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393">
        <f>SUM(N45:N46)</f>
        <v>0</v>
      </c>
    </row>
    <row r="48" spans="2:14">
      <c r="B48" s="660" t="s">
        <v>68</v>
      </c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2"/>
    </row>
    <row r="49" spans="2:16">
      <c r="B49" s="663"/>
      <c r="C49" s="664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5"/>
    </row>
    <row r="50" spans="2:16" ht="15.75" thickBot="1">
      <c r="B50" s="666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8"/>
    </row>
    <row r="51" spans="2:16">
      <c r="B51" s="669" t="s">
        <v>69</v>
      </c>
      <c r="C51" s="670"/>
      <c r="D51" s="670"/>
      <c r="E51" s="670"/>
      <c r="F51" s="670"/>
      <c r="G51" s="670"/>
      <c r="H51" s="670"/>
      <c r="I51" s="386" t="s">
        <v>70</v>
      </c>
      <c r="J51" s="409" t="s">
        <v>431</v>
      </c>
      <c r="K51" s="410" t="s">
        <v>72</v>
      </c>
      <c r="L51" s="671" t="s">
        <v>53</v>
      </c>
      <c r="M51" s="672"/>
      <c r="N51" s="411" t="s">
        <v>54</v>
      </c>
    </row>
    <row r="52" spans="2:16">
      <c r="B52" s="716" t="s">
        <v>407</v>
      </c>
      <c r="C52" s="717"/>
      <c r="D52" s="717"/>
      <c r="E52" s="717"/>
      <c r="F52" s="717"/>
      <c r="G52" s="717"/>
      <c r="H52" s="718"/>
      <c r="I52" s="412">
        <f>27604</f>
        <v>27604</v>
      </c>
      <c r="J52" s="413">
        <v>167</v>
      </c>
      <c r="K52" s="414">
        <f>+J52*I52/100</f>
        <v>46098.68</v>
      </c>
      <c r="L52" s="801">
        <v>3.1250000000000002E-3</v>
      </c>
      <c r="M52" s="802"/>
      <c r="N52" s="415">
        <f>+L52*K52</f>
        <v>144.05837500000001</v>
      </c>
    </row>
    <row r="53" spans="2:16">
      <c r="B53" s="716" t="s">
        <v>285</v>
      </c>
      <c r="C53" s="717"/>
      <c r="D53" s="717"/>
      <c r="E53" s="717"/>
      <c r="F53" s="717"/>
      <c r="G53" s="717"/>
      <c r="H53" s="718"/>
      <c r="I53" s="412">
        <v>41406</v>
      </c>
      <c r="J53" s="413">
        <v>167</v>
      </c>
      <c r="K53" s="414">
        <f>+J53*I53/100</f>
        <v>69148.02</v>
      </c>
      <c r="L53" s="801">
        <v>3.1250000000000002E-3</v>
      </c>
      <c r="M53" s="802"/>
      <c r="N53" s="415">
        <f>+L53*K53</f>
        <v>216.08756250000002</v>
      </c>
    </row>
    <row r="54" spans="2:16">
      <c r="B54" s="716"/>
      <c r="C54" s="717"/>
      <c r="D54" s="717"/>
      <c r="E54" s="717"/>
      <c r="F54" s="717"/>
      <c r="G54" s="717"/>
      <c r="H54" s="718"/>
      <c r="I54" s="412"/>
      <c r="J54" s="413"/>
      <c r="K54" s="414"/>
      <c r="L54" s="721"/>
      <c r="M54" s="722"/>
      <c r="N54" s="415"/>
    </row>
    <row r="55" spans="2:16" ht="15.75" thickBot="1">
      <c r="B55" s="712"/>
      <c r="C55" s="713"/>
      <c r="D55" s="713"/>
      <c r="E55" s="713"/>
      <c r="F55" s="713"/>
      <c r="G55" s="713"/>
      <c r="H55" s="713"/>
      <c r="I55" s="406"/>
      <c r="J55" s="407"/>
      <c r="K55" s="406"/>
      <c r="L55" s="714"/>
      <c r="M55" s="715"/>
      <c r="N55" s="408"/>
    </row>
    <row r="56" spans="2:16" ht="15.75" thickBot="1">
      <c r="B56" s="654" t="s">
        <v>58</v>
      </c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6"/>
      <c r="N56" s="401">
        <f>SUM(N52:N55)</f>
        <v>360.14593750000006</v>
      </c>
    </row>
    <row r="57" spans="2:16" ht="15.75" thickBot="1">
      <c r="B57" s="381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82"/>
    </row>
    <row r="58" spans="2:16" ht="15.75" thickBot="1">
      <c r="B58" s="657" t="s">
        <v>74</v>
      </c>
      <c r="C58" s="658"/>
      <c r="D58" s="658"/>
      <c r="E58" s="658"/>
      <c r="F58" s="658"/>
      <c r="G58" s="658"/>
      <c r="H58" s="658"/>
      <c r="I58" s="658"/>
      <c r="J58" s="658"/>
      <c r="K58" s="658"/>
      <c r="L58" s="658"/>
      <c r="M58" s="659"/>
      <c r="N58" s="416">
        <f>ROUND((N56+N47+N40+N28),2)</f>
        <v>2010.6</v>
      </c>
      <c r="P58" s="476"/>
    </row>
    <row r="59" spans="2:16">
      <c r="B59" s="660" t="s">
        <v>432</v>
      </c>
      <c r="C59" s="661"/>
      <c r="D59" s="661"/>
      <c r="E59" s="661"/>
      <c r="F59" s="661"/>
      <c r="G59" s="661"/>
      <c r="H59" s="661"/>
      <c r="I59" s="661"/>
      <c r="J59" s="661"/>
      <c r="K59" s="661"/>
      <c r="L59" s="661"/>
      <c r="M59" s="661"/>
      <c r="N59" s="662"/>
    </row>
    <row r="60" spans="2:16">
      <c r="B60" s="663"/>
      <c r="C60" s="664"/>
      <c r="D60" s="664"/>
      <c r="E60" s="664"/>
      <c r="F60" s="664"/>
      <c r="G60" s="664"/>
      <c r="H60" s="664"/>
      <c r="I60" s="664"/>
      <c r="J60" s="664"/>
      <c r="K60" s="664"/>
      <c r="L60" s="664"/>
      <c r="M60" s="664"/>
      <c r="N60" s="665"/>
    </row>
    <row r="61" spans="2:16" ht="15.75" thickBot="1">
      <c r="B61" s="666"/>
      <c r="C61" s="667"/>
      <c r="D61" s="667"/>
      <c r="E61" s="667"/>
      <c r="F61" s="667"/>
      <c r="G61" s="667"/>
      <c r="H61" s="667"/>
      <c r="I61" s="667"/>
      <c r="J61" s="667"/>
      <c r="K61" s="667"/>
      <c r="L61" s="667"/>
      <c r="M61" s="667"/>
      <c r="N61" s="668"/>
    </row>
    <row r="62" spans="2:16">
      <c r="B62" s="669" t="s">
        <v>433</v>
      </c>
      <c r="C62" s="670"/>
      <c r="D62" s="670"/>
      <c r="E62" s="670"/>
      <c r="F62" s="670"/>
      <c r="G62" s="670"/>
      <c r="H62" s="670"/>
      <c r="I62" s="491"/>
      <c r="J62" s="492"/>
      <c r="K62" s="410" t="s">
        <v>434</v>
      </c>
      <c r="L62" s="671" t="s">
        <v>156</v>
      </c>
      <c r="M62" s="672"/>
      <c r="N62" s="411"/>
    </row>
    <row r="63" spans="2:16">
      <c r="B63" s="673" t="s">
        <v>75</v>
      </c>
      <c r="C63" s="674"/>
      <c r="D63" s="674"/>
      <c r="E63" s="674"/>
      <c r="F63" s="674"/>
      <c r="G63" s="674"/>
      <c r="H63" s="674"/>
      <c r="I63" s="418"/>
      <c r="J63" s="419"/>
      <c r="K63" s="420">
        <v>0.23</v>
      </c>
      <c r="L63" s="650"/>
      <c r="M63" s="651"/>
      <c r="N63" s="421">
        <f>+N58*K63</f>
        <v>462.43799999999999</v>
      </c>
      <c r="O63" s="478"/>
    </row>
    <row r="64" spans="2:16">
      <c r="B64" s="422" t="s">
        <v>435</v>
      </c>
      <c r="C64" s="399"/>
      <c r="D64" s="399"/>
      <c r="E64" s="399"/>
      <c r="F64" s="399"/>
      <c r="G64" s="399"/>
      <c r="H64" s="399"/>
      <c r="I64" s="418"/>
      <c r="J64" s="419"/>
      <c r="K64" s="420">
        <v>0.01</v>
      </c>
      <c r="L64" s="650"/>
      <c r="M64" s="651"/>
      <c r="N64" s="421">
        <f>+N58*K64</f>
        <v>20.105999999999998</v>
      </c>
      <c r="O64" s="478"/>
    </row>
    <row r="65" spans="2:15" ht="15.75" thickBot="1">
      <c r="B65" s="495" t="s">
        <v>76</v>
      </c>
      <c r="C65" s="496"/>
      <c r="D65" s="496"/>
      <c r="E65" s="496"/>
      <c r="F65" s="496"/>
      <c r="G65" s="496"/>
      <c r="H65" s="496"/>
      <c r="I65" s="423"/>
      <c r="J65" s="424"/>
      <c r="K65" s="420">
        <v>7.0000000000000007E-2</v>
      </c>
      <c r="L65" s="652"/>
      <c r="M65" s="653"/>
      <c r="N65" s="421">
        <f>+N58*K65</f>
        <v>140.74200000000002</v>
      </c>
      <c r="O65" s="478"/>
    </row>
    <row r="66" spans="2:15" ht="15.75" thickBot="1">
      <c r="B66" s="654" t="s">
        <v>58</v>
      </c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6"/>
      <c r="N66" s="425">
        <f>N63+N64+N65</f>
        <v>623.28600000000006</v>
      </c>
      <c r="O66" s="478"/>
    </row>
    <row r="67" spans="2:15" ht="15.75" thickBot="1">
      <c r="B67" s="381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82"/>
      <c r="O67" s="478"/>
    </row>
    <row r="68" spans="2:15" ht="15.75" thickBot="1">
      <c r="B68" s="657" t="s">
        <v>436</v>
      </c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9"/>
      <c r="N68" s="426">
        <f>ROUND((N66+N58),0)</f>
        <v>2634</v>
      </c>
    </row>
  </sheetData>
  <mergeCells count="90">
    <mergeCell ref="C6:J7"/>
    <mergeCell ref="K6:K8"/>
    <mergeCell ref="C2:J2"/>
    <mergeCell ref="K2:N3"/>
    <mergeCell ref="C3:J3"/>
    <mergeCell ref="C4:J4"/>
    <mergeCell ref="K4:K5"/>
    <mergeCell ref="L4:N5"/>
    <mergeCell ref="C5:J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B24:F24"/>
    <mergeCell ref="G24:H24"/>
    <mergeCell ref="I24:J24"/>
    <mergeCell ref="L24:M24"/>
    <mergeCell ref="B25:F25"/>
    <mergeCell ref="G25:H25"/>
    <mergeCell ref="I25:J25"/>
    <mergeCell ref="L25:M25"/>
    <mergeCell ref="B26:F26"/>
    <mergeCell ref="G26:H26"/>
    <mergeCell ref="I26:J26"/>
    <mergeCell ref="L26:M26"/>
    <mergeCell ref="B27:F27"/>
    <mergeCell ref="G27:H27"/>
    <mergeCell ref="I27:J27"/>
    <mergeCell ref="L27:M27"/>
    <mergeCell ref="B28:M28"/>
    <mergeCell ref="B29:N31"/>
    <mergeCell ref="B32:I32"/>
    <mergeCell ref="L32:M32"/>
    <mergeCell ref="B33:I33"/>
    <mergeCell ref="L33:M33"/>
    <mergeCell ref="B34:I34"/>
    <mergeCell ref="L34:M34"/>
    <mergeCell ref="B35:I35"/>
    <mergeCell ref="L35:M35"/>
    <mergeCell ref="B36:I36"/>
    <mergeCell ref="L36:M36"/>
    <mergeCell ref="B37:I37"/>
    <mergeCell ref="L37:M37"/>
    <mergeCell ref="B38:I38"/>
    <mergeCell ref="L38:M38"/>
    <mergeCell ref="B39:I39"/>
    <mergeCell ref="L39:M39"/>
    <mergeCell ref="B40:M40"/>
    <mergeCell ref="B41:N43"/>
    <mergeCell ref="B44:H44"/>
    <mergeCell ref="L44:M44"/>
    <mergeCell ref="B45:H45"/>
    <mergeCell ref="L45:M45"/>
    <mergeCell ref="B46:H46"/>
    <mergeCell ref="L46:M46"/>
    <mergeCell ref="B47:M47"/>
    <mergeCell ref="B48:N50"/>
    <mergeCell ref="B51:H51"/>
    <mergeCell ref="L51:M51"/>
    <mergeCell ref="B52:H52"/>
    <mergeCell ref="L52:M52"/>
    <mergeCell ref="B53:H53"/>
    <mergeCell ref="L53:M53"/>
    <mergeCell ref="B54:H54"/>
    <mergeCell ref="L54:M54"/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1"/>
  <sheetViews>
    <sheetView topLeftCell="A31" zoomScaleNormal="100" workbookViewId="0">
      <selection activeCell="N65" sqref="N65"/>
    </sheetView>
  </sheetViews>
  <sheetFormatPr baseColWidth="10" defaultRowHeight="15"/>
  <cols>
    <col min="1" max="1" width="10.42578125" style="29" bestFit="1" customWidth="1"/>
    <col min="2" max="2" width="17" style="29" customWidth="1"/>
    <col min="3" max="5" width="11.42578125" style="29"/>
    <col min="6" max="6" width="15.5703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2" width="11.42578125" style="29"/>
    <col min="13" max="13" width="10.140625" style="29" customWidth="1"/>
    <col min="14" max="14" width="17.42578125" style="29" customWidth="1"/>
    <col min="15" max="15" width="12" style="29" bestFit="1" customWidth="1"/>
    <col min="16" max="16384" width="11.42578125" style="29"/>
  </cols>
  <sheetData>
    <row r="1" spans="1:18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8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8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8" ht="41.25" customHeight="1" thickBot="1">
      <c r="A4" s="29" t="s">
        <v>48</v>
      </c>
      <c r="B4" s="207">
        <v>800.01</v>
      </c>
      <c r="C4" s="208" t="s">
        <v>145</v>
      </c>
      <c r="D4" s="209"/>
      <c r="E4" s="209"/>
      <c r="F4" s="209"/>
      <c r="G4" s="209"/>
      <c r="H4" s="209"/>
      <c r="I4" s="209"/>
      <c r="J4" s="210"/>
      <c r="K4" s="211"/>
      <c r="L4" s="212" t="s">
        <v>134</v>
      </c>
      <c r="M4" s="213"/>
      <c r="N4" s="214"/>
    </row>
    <row r="5" spans="1:18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8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8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8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  <c r="Q8" s="107">
        <v>640000</v>
      </c>
      <c r="R8" s="29" t="s">
        <v>218</v>
      </c>
    </row>
    <row r="9" spans="1:18">
      <c r="A9" s="29" t="s">
        <v>106</v>
      </c>
      <c r="B9" s="600" t="str">
        <f>VLOOKUP(A9,[52]EQUIPOS!A6:D154,3,FALSE)</f>
        <v>Volqueta 6 m3</v>
      </c>
      <c r="C9" s="601"/>
      <c r="D9" s="601"/>
      <c r="E9" s="601"/>
      <c r="F9" s="601"/>
      <c r="G9" s="601"/>
      <c r="H9" s="603"/>
      <c r="I9" s="227"/>
      <c r="J9" s="228"/>
      <c r="K9" s="229">
        <v>80000</v>
      </c>
      <c r="L9" s="230"/>
      <c r="M9" s="231">
        <v>70</v>
      </c>
      <c r="N9" s="232">
        <f>K9/M9</f>
        <v>1142.8571428571429</v>
      </c>
      <c r="Q9" s="29">
        <v>8</v>
      </c>
      <c r="R9" s="29" t="s">
        <v>215</v>
      </c>
    </row>
    <row r="10" spans="1:18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  <c r="Q10" s="29">
        <v>25</v>
      </c>
      <c r="R10" s="29" t="s">
        <v>216</v>
      </c>
    </row>
    <row r="11" spans="1:18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  <c r="Q11" s="29">
        <v>4</v>
      </c>
      <c r="R11" s="29" t="s">
        <v>217</v>
      </c>
    </row>
    <row r="12" spans="1:18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  <c r="Q12" s="29">
        <v>6</v>
      </c>
      <c r="R12" s="29" t="s">
        <v>220</v>
      </c>
    </row>
    <row r="13" spans="1:18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  <c r="Q13" s="29">
        <v>24</v>
      </c>
      <c r="R13" s="29" t="s">
        <v>12</v>
      </c>
    </row>
    <row r="14" spans="1:18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  <c r="Q14" s="29">
        <v>100</v>
      </c>
      <c r="R14" s="29" t="s">
        <v>216</v>
      </c>
    </row>
    <row r="15" spans="1:18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1:18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1142.8571428571429</v>
      </c>
      <c r="Q16" s="29">
        <f>+Q13*Q14</f>
        <v>2400</v>
      </c>
      <c r="R16" s="29" t="s">
        <v>219</v>
      </c>
    </row>
    <row r="17" spans="2:17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7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  <c r="Q18" s="29">
        <f>+Q16/Q9</f>
        <v>300</v>
      </c>
    </row>
    <row r="19" spans="2:17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7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7"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/>
    </row>
    <row r="22" spans="2:17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2:17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2:17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2:17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2:17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2:17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2:17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2:17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7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7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2:17">
      <c r="B32" s="34"/>
      <c r="C32" s="266"/>
      <c r="D32" s="266"/>
      <c r="E32" s="266"/>
      <c r="F32" s="266"/>
      <c r="G32" s="266"/>
      <c r="H32" s="267"/>
      <c r="I32" s="244"/>
      <c r="J32" s="268"/>
      <c r="K32" s="244"/>
      <c r="L32" s="635"/>
      <c r="M32" s="636"/>
      <c r="N32" s="269"/>
    </row>
    <row r="33" spans="2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2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2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2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2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2:15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/>
    </row>
    <row r="39" spans="2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2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2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2:15">
      <c r="B43" s="280"/>
      <c r="C43" s="270"/>
      <c r="D43" s="270"/>
      <c r="E43" s="270"/>
      <c r="F43" s="270"/>
      <c r="G43" s="270"/>
      <c r="H43" s="270"/>
      <c r="I43" s="281"/>
      <c r="J43" s="35"/>
      <c r="K43" s="36"/>
      <c r="L43" s="282"/>
      <c r="M43" s="37"/>
      <c r="N43" s="38"/>
      <c r="O43" s="39"/>
    </row>
    <row r="44" spans="2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2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2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2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2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/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1143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262.89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11.43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80.010000000000005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354.33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1497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C2:I2"/>
    <mergeCell ref="L2:M2"/>
    <mergeCell ref="L12:M1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B52" sqref="B52:N61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14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4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4" ht="15.75" thickBot="1">
      <c r="A4" s="29" t="s">
        <v>48</v>
      </c>
      <c r="B4" s="324">
        <v>100.03</v>
      </c>
      <c r="C4" s="208" t="s">
        <v>374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4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4">
      <c r="A9" s="29" t="s">
        <v>77</v>
      </c>
      <c r="B9" s="600"/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/>
    </row>
    <row r="10" spans="1:14">
      <c r="A10" s="29" t="s">
        <v>78</v>
      </c>
      <c r="B10" s="600" t="s">
        <v>389</v>
      </c>
      <c r="C10" s="601"/>
      <c r="D10" s="601"/>
      <c r="E10" s="601"/>
      <c r="F10" s="601"/>
      <c r="G10" s="601"/>
      <c r="H10" s="603"/>
      <c r="I10" s="227"/>
      <c r="J10" s="228"/>
      <c r="K10" s="229">
        <v>42000</v>
      </c>
      <c r="L10" s="230"/>
      <c r="M10" s="231">
        <v>2.5</v>
      </c>
      <c r="N10" s="232">
        <f>K10/M10</f>
        <v>16800</v>
      </c>
    </row>
    <row r="11" spans="1:14">
      <c r="A11" s="29" t="s">
        <v>79</v>
      </c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4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4" ht="15.75" thickBot="1">
      <c r="B15" s="600" t="s">
        <v>57</v>
      </c>
      <c r="C15" s="601"/>
      <c r="D15" s="601"/>
      <c r="E15" s="601"/>
      <c r="F15" s="601"/>
      <c r="G15" s="601"/>
      <c r="H15" s="603"/>
      <c r="I15" s="622"/>
      <c r="J15" s="623"/>
      <c r="K15" s="245"/>
      <c r="L15" s="624">
        <v>0.02</v>
      </c>
      <c r="M15" s="625"/>
      <c r="N15" s="246">
        <f>N49*L15</f>
        <v>737.57888000000003</v>
      </c>
    </row>
    <row r="16" spans="1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17537.578880000001</v>
      </c>
    </row>
    <row r="17" spans="1:16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6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6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6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6"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/>
    </row>
    <row r="22" spans="1:16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1:16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6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6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6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6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6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6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6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6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6">
      <c r="A32" s="29" t="s">
        <v>80</v>
      </c>
      <c r="B32" s="34" t="s">
        <v>390</v>
      </c>
      <c r="C32" s="266"/>
      <c r="D32" s="266"/>
      <c r="E32" s="266"/>
      <c r="F32" s="266"/>
      <c r="G32" s="266"/>
      <c r="H32" s="267" t="str">
        <f>VLOOKUP(A32,[52]TRANSPORTE!A6:D120,2,FALSE)</f>
        <v>m3k</v>
      </c>
      <c r="I32" s="244">
        <v>1.4</v>
      </c>
      <c r="J32" s="268">
        <v>25</v>
      </c>
      <c r="K32" s="244">
        <v>25</v>
      </c>
      <c r="L32" s="635">
        <v>1143</v>
      </c>
      <c r="M32" s="636"/>
      <c r="N32" s="269">
        <f>K32*L32</f>
        <v>28575</v>
      </c>
      <c r="P32" s="29" t="s">
        <v>390</v>
      </c>
    </row>
    <row r="33" spans="1:17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7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7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7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7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7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>
        <f>N32+N33+N34+N35+N36</f>
        <v>28575</v>
      </c>
    </row>
    <row r="39" spans="1:17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7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7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7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7">
      <c r="A43" s="29" t="s">
        <v>73</v>
      </c>
      <c r="B43" s="280" t="str">
        <f>VLOOKUP(A43,'[52]MANO DE OBRA'!A8:D68,3,FALSE)</f>
        <v>Obrero (2)</v>
      </c>
      <c r="C43" s="270"/>
      <c r="D43" s="270"/>
      <c r="E43" s="270"/>
      <c r="F43" s="270"/>
      <c r="G43" s="270"/>
      <c r="H43" s="270"/>
      <c r="I43" s="281">
        <f>27604*2</f>
        <v>55208</v>
      </c>
      <c r="J43" s="35">
        <v>167</v>
      </c>
      <c r="K43" s="36">
        <f>+J43*I43/100</f>
        <v>92197.36</v>
      </c>
      <c r="L43" s="282"/>
      <c r="M43" s="37">
        <v>2.5</v>
      </c>
      <c r="N43" s="38">
        <f>K43/M43</f>
        <v>36878.944000000003</v>
      </c>
      <c r="O43" s="39"/>
      <c r="P43" s="29">
        <v>27604</v>
      </c>
      <c r="Q43" s="29">
        <f>+P43*30</f>
        <v>828120</v>
      </c>
    </row>
    <row r="44" spans="1:17">
      <c r="A44" s="29" t="s">
        <v>81</v>
      </c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7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7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7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7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36878.944000000003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82992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19088.16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829.92000000000007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5809.4400000000005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25727.520000000004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108720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51:M51"/>
    <mergeCell ref="B38:M38"/>
    <mergeCell ref="B42:H42"/>
    <mergeCell ref="L42:M42"/>
    <mergeCell ref="B48:H48"/>
    <mergeCell ref="L48:M48"/>
    <mergeCell ref="B49:M49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topLeftCell="A31" zoomScaleNormal="100" workbookViewId="0">
      <selection activeCell="B52" sqref="B52:N61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20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20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20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20" ht="15.75" thickBot="1">
      <c r="A4" s="29" t="s">
        <v>48</v>
      </c>
      <c r="B4" s="324">
        <v>100.04</v>
      </c>
      <c r="C4" s="208" t="s">
        <v>273</v>
      </c>
      <c r="D4" s="209"/>
      <c r="E4" s="209"/>
      <c r="F4" s="209"/>
      <c r="G4" s="209"/>
      <c r="H4" s="209"/>
      <c r="I4" s="209"/>
      <c r="J4" s="210"/>
      <c r="K4" s="211"/>
      <c r="L4" s="212" t="s">
        <v>221</v>
      </c>
      <c r="M4" s="213"/>
      <c r="N4" s="214"/>
    </row>
    <row r="5" spans="1:20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20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20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20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20">
      <c r="A9" s="29" t="s">
        <v>77</v>
      </c>
      <c r="B9" s="600" t="str">
        <f>VLOOKUP(A9,[52]EQUIPOS!A6:D154,3,FALSE)</f>
        <v>Retroexcavadora sobre oruga, potencia 138 HP, balde de 1,5 m3.</v>
      </c>
      <c r="C9" s="601"/>
      <c r="D9" s="601"/>
      <c r="E9" s="601"/>
      <c r="F9" s="601"/>
      <c r="G9" s="601"/>
      <c r="H9" s="603"/>
      <c r="I9" s="227"/>
      <c r="J9" s="228"/>
      <c r="K9" s="229">
        <v>210000</v>
      </c>
      <c r="L9" s="230"/>
      <c r="M9" s="231">
        <v>100</v>
      </c>
      <c r="N9" s="232">
        <f>K9/M9</f>
        <v>2100</v>
      </c>
    </row>
    <row r="10" spans="1:20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/>
      <c r="S10" s="29">
        <f>200000*1.19</f>
        <v>238000</v>
      </c>
      <c r="T10" s="29">
        <f>+S10/8</f>
        <v>29750</v>
      </c>
    </row>
    <row r="11" spans="1:20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20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20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20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20" ht="15.75" thickBot="1">
      <c r="B15" s="600" t="s">
        <v>57</v>
      </c>
      <c r="C15" s="601"/>
      <c r="D15" s="601"/>
      <c r="E15" s="601"/>
      <c r="F15" s="601"/>
      <c r="G15" s="601"/>
      <c r="H15" s="603"/>
      <c r="I15" s="622"/>
      <c r="J15" s="623"/>
      <c r="K15" s="245"/>
      <c r="L15" s="624">
        <v>0.02</v>
      </c>
      <c r="M15" s="625"/>
      <c r="N15" s="246">
        <f>N49*L15</f>
        <v>36.878944000000004</v>
      </c>
    </row>
    <row r="16" spans="1:20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2136.878944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/>
    </row>
    <row r="22" spans="1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1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/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A32" s="29" t="s">
        <v>80</v>
      </c>
      <c r="B32" s="34" t="str">
        <f>VLOOKUP(A32,[52]TRANSPORTE!A5:D94,3,FALSE)</f>
        <v>Transporte de material de demolición</v>
      </c>
      <c r="C32" s="266"/>
      <c r="D32" s="266"/>
      <c r="E32" s="266"/>
      <c r="F32" s="266"/>
      <c r="G32" s="266"/>
      <c r="H32" s="267" t="str">
        <f>VLOOKUP(A32,[52]TRANSPORTE!A6:D120,2,FALSE)</f>
        <v>m3k</v>
      </c>
      <c r="I32" s="244">
        <v>0.65</v>
      </c>
      <c r="J32" s="268">
        <v>25</v>
      </c>
      <c r="K32" s="244">
        <f>I32*J32</f>
        <v>16.25</v>
      </c>
      <c r="L32" s="635">
        <v>1143</v>
      </c>
      <c r="M32" s="636"/>
      <c r="N32" s="269">
        <f>K32*L32</f>
        <v>18573.75</v>
      </c>
    </row>
    <row r="33" spans="1:17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7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7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7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7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7" ht="15.75" thickBot="1">
      <c r="B38" s="646" t="s">
        <v>58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8"/>
      <c r="N38" s="279">
        <f>N32+N33+N34+N35+N36</f>
        <v>18573.75</v>
      </c>
    </row>
    <row r="39" spans="1:17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7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7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7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7">
      <c r="A43" s="29" t="s">
        <v>73</v>
      </c>
      <c r="B43" s="280" t="str">
        <f>VLOOKUP(A43,'[52]MANO DE OBRA'!A8:D68,3,FALSE)</f>
        <v>Obrero (2)</v>
      </c>
      <c r="C43" s="270"/>
      <c r="D43" s="270"/>
      <c r="E43" s="270"/>
      <c r="F43" s="270"/>
      <c r="G43" s="270"/>
      <c r="H43" s="270"/>
      <c r="I43" s="281">
        <f>27604*2</f>
        <v>55208</v>
      </c>
      <c r="J43" s="35">
        <v>167</v>
      </c>
      <c r="K43" s="36">
        <f>+J43*I43/100</f>
        <v>92197.36</v>
      </c>
      <c r="L43" s="282"/>
      <c r="M43" s="37">
        <v>0.02</v>
      </c>
      <c r="N43" s="38">
        <f>+M43*K43</f>
        <v>1843.9472000000001</v>
      </c>
      <c r="O43" s="39"/>
      <c r="P43" s="29">
        <v>27604</v>
      </c>
      <c r="Q43" s="29">
        <f>+P43*30</f>
        <v>828120</v>
      </c>
    </row>
    <row r="44" spans="1:17">
      <c r="A44" s="29" t="s">
        <v>81</v>
      </c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7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7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7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7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1843.9472000000001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22555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5187.6500000000005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225.55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1578.8500000000001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6992.0500000000011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29547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41" sqref="B41:N45"/>
    </sheetView>
  </sheetViews>
  <sheetFormatPr baseColWidth="10" defaultRowHeight="15"/>
  <cols>
    <col min="9" max="9" width="12.85546875" bestFit="1" customWidth="1"/>
    <col min="10" max="10" width="19" bestFit="1" customWidth="1"/>
    <col min="11" max="11" width="15.42578125" bestFit="1" customWidth="1"/>
    <col min="14" max="14" width="13" bestFit="1" customWidth="1"/>
  </cols>
  <sheetData>
    <row r="1" spans="2:14" ht="15.75" thickBot="1"/>
    <row r="2" spans="2:14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2:14" ht="15.75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2:14" ht="15.75" thickBot="1">
      <c r="B4" s="324">
        <v>100.05</v>
      </c>
      <c r="C4" s="208" t="s">
        <v>282</v>
      </c>
      <c r="D4" s="209"/>
      <c r="E4" s="209"/>
      <c r="F4" s="209"/>
      <c r="G4" s="209"/>
      <c r="H4" s="209"/>
      <c r="I4" s="209"/>
      <c r="J4" s="210"/>
      <c r="K4" s="211"/>
      <c r="L4" s="212" t="s">
        <v>20</v>
      </c>
      <c r="M4" s="213"/>
      <c r="N4" s="214"/>
    </row>
    <row r="5" spans="2:14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2:14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2:14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2:14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2:14">
      <c r="B9" s="600"/>
      <c r="C9" s="601"/>
      <c r="D9" s="601"/>
      <c r="E9" s="601"/>
      <c r="F9" s="601"/>
      <c r="G9" s="601"/>
      <c r="H9" s="603"/>
      <c r="I9" s="227"/>
      <c r="J9" s="228"/>
      <c r="K9" s="229"/>
      <c r="L9" s="230"/>
      <c r="M9" s="231"/>
      <c r="N9" s="232">
        <f>+M9*K9</f>
        <v>0</v>
      </c>
    </row>
    <row r="10" spans="2:14">
      <c r="B10" s="600"/>
      <c r="C10" s="601"/>
      <c r="D10" s="601"/>
      <c r="E10" s="601"/>
      <c r="F10" s="601"/>
      <c r="G10" s="601"/>
      <c r="H10" s="603"/>
      <c r="I10" s="227"/>
      <c r="J10" s="228"/>
      <c r="K10" s="229"/>
      <c r="L10" s="230"/>
      <c r="M10" s="231"/>
      <c r="N10" s="232">
        <f t="shared" ref="N10:N13" si="0">+M10*K10</f>
        <v>0</v>
      </c>
    </row>
    <row r="11" spans="2:14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>
        <f t="shared" si="0"/>
        <v>0</v>
      </c>
    </row>
    <row r="12" spans="2:14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>
        <f t="shared" si="0"/>
        <v>0</v>
      </c>
    </row>
    <row r="13" spans="2:14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>
        <f t="shared" si="0"/>
        <v>0</v>
      </c>
    </row>
    <row r="14" spans="2:14">
      <c r="B14" s="620" t="s">
        <v>57</v>
      </c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>
        <v>0.05</v>
      </c>
      <c r="N14" s="38">
        <f>+M14*N50</f>
        <v>126.77137</v>
      </c>
    </row>
    <row r="15" spans="2:14" ht="15.75" thickBot="1">
      <c r="B15" s="600"/>
      <c r="C15" s="601"/>
      <c r="D15" s="601"/>
      <c r="E15" s="601"/>
      <c r="F15" s="601"/>
      <c r="G15" s="601"/>
      <c r="H15" s="603"/>
      <c r="I15" s="622"/>
      <c r="J15" s="623"/>
      <c r="K15" s="245"/>
      <c r="L15" s="624"/>
      <c r="M15" s="625"/>
      <c r="N15" s="246"/>
    </row>
    <row r="16" spans="2:14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126.77137</v>
      </c>
    </row>
    <row r="17" spans="2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2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2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2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2:14"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>
        <f>+M21*K21</f>
        <v>0</v>
      </c>
    </row>
    <row r="22" spans="2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>
        <f t="shared" ref="N22:N27" si="1">+M22*K22</f>
        <v>0</v>
      </c>
    </row>
    <row r="23" spans="2:14"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>
        <f t="shared" si="1"/>
        <v>0</v>
      </c>
    </row>
    <row r="24" spans="2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>
        <f t="shared" si="1"/>
        <v>0</v>
      </c>
    </row>
    <row r="25" spans="2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>
        <f t="shared" si="1"/>
        <v>0</v>
      </c>
    </row>
    <row r="26" spans="2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>
        <f t="shared" si="1"/>
        <v>0</v>
      </c>
    </row>
    <row r="27" spans="2:14" ht="15.75" thickBot="1">
      <c r="B27" s="626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 t="shared" si="1"/>
        <v>0</v>
      </c>
    </row>
    <row r="28" spans="2:14">
      <c r="B28" s="215" t="s">
        <v>58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>
        <f>SUM(N21:N27)</f>
        <v>0</v>
      </c>
    </row>
    <row r="29" spans="2:14">
      <c r="B29" s="24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2:14" ht="15.75" thickBot="1">
      <c r="B30" s="215" t="s">
        <v>61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2:14">
      <c r="B31" s="261"/>
      <c r="C31" s="262"/>
      <c r="D31" s="262"/>
      <c r="E31" s="262"/>
      <c r="F31" s="262"/>
      <c r="G31" s="262"/>
      <c r="H31" s="263"/>
      <c r="I31" s="264"/>
      <c r="J31" s="205"/>
      <c r="K31" s="263"/>
      <c r="L31" s="680"/>
      <c r="M31" s="681"/>
      <c r="N31" s="265"/>
    </row>
    <row r="32" spans="2:14">
      <c r="B32" s="305" t="s">
        <v>62</v>
      </c>
      <c r="C32" s="306"/>
      <c r="D32" s="306"/>
      <c r="E32" s="306"/>
      <c r="F32" s="306"/>
      <c r="G32" s="306"/>
      <c r="H32" s="307" t="s">
        <v>47</v>
      </c>
      <c r="I32" s="308" t="s">
        <v>63</v>
      </c>
      <c r="J32" s="309" t="s">
        <v>64</v>
      </c>
      <c r="K32" s="308" t="s">
        <v>65</v>
      </c>
      <c r="L32" s="678" t="s">
        <v>66</v>
      </c>
      <c r="M32" s="679"/>
      <c r="N32" s="310" t="s">
        <v>54</v>
      </c>
    </row>
    <row r="33" spans="2:16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>
        <f>+L33*K33</f>
        <v>0</v>
      </c>
    </row>
    <row r="34" spans="2:16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>
        <f t="shared" ref="N34:N38" si="2">+L34*K34</f>
        <v>0</v>
      </c>
    </row>
    <row r="35" spans="2:16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>
        <f t="shared" si="2"/>
        <v>0</v>
      </c>
    </row>
    <row r="36" spans="2:16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>
        <f t="shared" si="2"/>
        <v>0</v>
      </c>
    </row>
    <row r="37" spans="2:16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>
        <f t="shared" si="2"/>
        <v>0</v>
      </c>
    </row>
    <row r="38" spans="2:16" ht="15.75" thickBot="1">
      <c r="B38" s="626"/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8"/>
      <c r="N38" s="247">
        <f t="shared" si="2"/>
        <v>0</v>
      </c>
    </row>
    <row r="39" spans="2:16">
      <c r="B39" s="215" t="s">
        <v>58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>
        <f>SUM(N33:N38)</f>
        <v>0</v>
      </c>
    </row>
    <row r="40" spans="2:16">
      <c r="B40" s="24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2:16">
      <c r="B41" s="248" t="s">
        <v>68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249"/>
    </row>
    <row r="42" spans="2:16" ht="15.75" thickBot="1">
      <c r="B42" s="215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</row>
    <row r="43" spans="2:16" ht="15" customHeight="1">
      <c r="B43" s="640" t="s">
        <v>69</v>
      </c>
      <c r="C43" s="598"/>
      <c r="D43" s="598"/>
      <c r="E43" s="598"/>
      <c r="F43" s="598"/>
      <c r="G43" s="598"/>
      <c r="H43" s="598"/>
      <c r="I43" s="294" t="s">
        <v>70</v>
      </c>
      <c r="J43" s="458" t="s">
        <v>71</v>
      </c>
      <c r="K43" s="295" t="s">
        <v>72</v>
      </c>
      <c r="L43" s="641" t="s">
        <v>53</v>
      </c>
      <c r="M43" s="642"/>
      <c r="N43" s="299" t="s">
        <v>54</v>
      </c>
    </row>
    <row r="44" spans="2:16">
      <c r="B44" s="280" t="s">
        <v>299</v>
      </c>
      <c r="C44" s="270"/>
      <c r="D44" s="270"/>
      <c r="E44" s="270"/>
      <c r="F44" s="270"/>
      <c r="G44" s="270"/>
      <c r="H44" s="270"/>
      <c r="I44" s="281">
        <f>27604*4</f>
        <v>110416</v>
      </c>
      <c r="J44" s="35">
        <v>167</v>
      </c>
      <c r="K44" s="36">
        <f>+J44*I44/100</f>
        <v>184394.72</v>
      </c>
      <c r="L44" s="282"/>
      <c r="M44" s="37">
        <v>0.01</v>
      </c>
      <c r="N44" s="38">
        <f>+M44*K44</f>
        <v>1843.9472000000001</v>
      </c>
      <c r="P44">
        <f>1/100</f>
        <v>0.01</v>
      </c>
    </row>
    <row r="45" spans="2:16">
      <c r="B45" s="280" t="s">
        <v>285</v>
      </c>
      <c r="C45" s="270"/>
      <c r="D45" s="270"/>
      <c r="E45" s="270"/>
      <c r="F45" s="270"/>
      <c r="G45" s="270"/>
      <c r="H45" s="270"/>
      <c r="I45" s="244">
        <v>41406</v>
      </c>
      <c r="J45" s="40">
        <v>167</v>
      </c>
      <c r="K45" s="41">
        <f>+J45*I45/100</f>
        <v>69148.02</v>
      </c>
      <c r="L45" s="282"/>
      <c r="M45" s="283">
        <v>0.01</v>
      </c>
      <c r="N45" s="38">
        <f>+M45*K45</f>
        <v>691.48020000000008</v>
      </c>
    </row>
    <row r="46" spans="2:16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2"/>
      <c r="M46" s="284"/>
      <c r="N46" s="321"/>
    </row>
    <row r="47" spans="2:16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21"/>
    </row>
    <row r="48" spans="2:16">
      <c r="B48" s="280"/>
      <c r="C48" s="270"/>
      <c r="D48" s="270"/>
      <c r="E48" s="270"/>
      <c r="F48" s="270"/>
      <c r="G48" s="270"/>
      <c r="H48" s="270"/>
      <c r="I48" s="244"/>
      <c r="J48" s="40"/>
      <c r="K48" s="41"/>
      <c r="L48" s="285"/>
      <c r="M48" s="284"/>
      <c r="N48" s="321"/>
    </row>
    <row r="49" spans="2:14" ht="15.75" thickBot="1">
      <c r="B49" s="643"/>
      <c r="C49" s="644"/>
      <c r="D49" s="644"/>
      <c r="E49" s="644"/>
      <c r="F49" s="644"/>
      <c r="G49" s="644"/>
      <c r="H49" s="644"/>
      <c r="I49" s="278"/>
      <c r="J49" s="278"/>
      <c r="K49" s="278"/>
      <c r="L49" s="645"/>
      <c r="M49" s="645"/>
      <c r="N49" s="321"/>
    </row>
    <row r="50" spans="2:14" ht="15.75" thickBot="1">
      <c r="B50" s="626" t="s">
        <v>58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14">
        <f>SUM(N44:N49)</f>
        <v>2535.4274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247"/>
    </row>
    <row r="52" spans="2:14" ht="15.75" thickBot="1">
      <c r="B52" s="675" t="s">
        <v>74</v>
      </c>
      <c r="C52" s="676"/>
      <c r="D52" s="676"/>
      <c r="E52" s="676"/>
      <c r="F52" s="676"/>
      <c r="G52" s="676"/>
      <c r="H52" s="676"/>
      <c r="I52" s="676"/>
      <c r="J52" s="676"/>
      <c r="K52" s="676"/>
      <c r="L52" s="676"/>
      <c r="M52" s="677"/>
      <c r="N52" s="311">
        <f>+ROUND((N50+N38+N27+N16),0)</f>
        <v>2662</v>
      </c>
    </row>
    <row r="53" spans="2:14">
      <c r="B53" s="660" t="s">
        <v>432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2"/>
    </row>
    <row r="54" spans="2:14">
      <c r="B54" s="663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4"/>
      <c r="N54" s="665"/>
    </row>
    <row r="55" spans="2:14" ht="15.75" thickBot="1">
      <c r="B55" s="666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8"/>
    </row>
    <row r="56" spans="2:14">
      <c r="B56" s="669" t="s">
        <v>433</v>
      </c>
      <c r="C56" s="670"/>
      <c r="D56" s="670"/>
      <c r="E56" s="670"/>
      <c r="F56" s="670"/>
      <c r="G56" s="670"/>
      <c r="H56" s="670"/>
      <c r="I56" s="402"/>
      <c r="J56" s="417"/>
      <c r="K56" s="410" t="s">
        <v>434</v>
      </c>
      <c r="L56" s="671" t="s">
        <v>156</v>
      </c>
      <c r="M56" s="672"/>
      <c r="N56" s="411"/>
    </row>
    <row r="57" spans="2:14">
      <c r="B57" s="673" t="s">
        <v>75</v>
      </c>
      <c r="C57" s="674"/>
      <c r="D57" s="674"/>
      <c r="E57" s="674"/>
      <c r="F57" s="674"/>
      <c r="G57" s="674"/>
      <c r="H57" s="674"/>
      <c r="I57" s="418"/>
      <c r="J57" s="419"/>
      <c r="K57" s="420">
        <v>0.23</v>
      </c>
      <c r="L57" s="650"/>
      <c r="M57" s="651"/>
      <c r="N57" s="421">
        <f>+N52*K57</f>
        <v>612.26</v>
      </c>
    </row>
    <row r="58" spans="2:14">
      <c r="B58" s="422" t="s">
        <v>435</v>
      </c>
      <c r="C58" s="399"/>
      <c r="D58" s="399"/>
      <c r="E58" s="399"/>
      <c r="F58" s="399"/>
      <c r="G58" s="399"/>
      <c r="H58" s="399"/>
      <c r="I58" s="418"/>
      <c r="J58" s="419"/>
      <c r="K58" s="420">
        <v>0.01</v>
      </c>
      <c r="L58" s="650"/>
      <c r="M58" s="651"/>
      <c r="N58" s="421">
        <f>+N52*K58</f>
        <v>26.62</v>
      </c>
    </row>
    <row r="59" spans="2:14" ht="15.75" thickBot="1">
      <c r="B59" s="390" t="s">
        <v>76</v>
      </c>
      <c r="C59" s="391"/>
      <c r="D59" s="391"/>
      <c r="E59" s="391"/>
      <c r="F59" s="391"/>
      <c r="G59" s="391"/>
      <c r="H59" s="391"/>
      <c r="I59" s="423"/>
      <c r="J59" s="424"/>
      <c r="K59" s="420">
        <v>7.0000000000000007E-2</v>
      </c>
      <c r="L59" s="652"/>
      <c r="M59" s="653"/>
      <c r="N59" s="421">
        <f>+N52*K59</f>
        <v>186.34000000000003</v>
      </c>
    </row>
    <row r="60" spans="2:14" ht="15.75" thickBot="1">
      <c r="B60" s="654" t="s">
        <v>58</v>
      </c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6"/>
      <c r="N60" s="425">
        <f>N57+N58+N59</f>
        <v>825.22</v>
      </c>
    </row>
    <row r="61" spans="2:14" ht="15.75" thickBot="1">
      <c r="B61" s="381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82"/>
    </row>
    <row r="62" spans="2:14" ht="15.75" thickBot="1">
      <c r="B62" s="657" t="s">
        <v>436</v>
      </c>
      <c r="C62" s="658"/>
      <c r="D62" s="658"/>
      <c r="E62" s="658"/>
      <c r="F62" s="658"/>
      <c r="G62" s="658"/>
      <c r="H62" s="658"/>
      <c r="I62" s="658"/>
      <c r="J62" s="658"/>
      <c r="K62" s="658"/>
      <c r="L62" s="658"/>
      <c r="M62" s="659"/>
      <c r="N62" s="426">
        <f>ROUND((N60+N52),0)</f>
        <v>3487</v>
      </c>
    </row>
  </sheetData>
  <mergeCells count="44"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  <mergeCell ref="B26:I26"/>
    <mergeCell ref="L26:M26"/>
    <mergeCell ref="B27:M27"/>
    <mergeCell ref="B52:M52"/>
    <mergeCell ref="B43:H43"/>
    <mergeCell ref="L43:M43"/>
    <mergeCell ref="B49:H49"/>
    <mergeCell ref="L49:M49"/>
    <mergeCell ref="B50:M50"/>
    <mergeCell ref="L32:M32"/>
    <mergeCell ref="B51:M51"/>
    <mergeCell ref="L31:M31"/>
    <mergeCell ref="L37:M37"/>
    <mergeCell ref="B38:M38"/>
    <mergeCell ref="B16:M16"/>
    <mergeCell ref="B20:I20"/>
    <mergeCell ref="L20:M20"/>
    <mergeCell ref="B9:H9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C2:I2"/>
    <mergeCell ref="L2:M2"/>
    <mergeCell ref="C3:I3"/>
    <mergeCell ref="L3:M3"/>
    <mergeCell ref="B8:H8"/>
    <mergeCell ref="I8:J8"/>
    <mergeCell ref="L8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topLeftCell="A37" zoomScaleNormal="100" workbookViewId="0">
      <selection activeCell="K80" sqref="K80"/>
    </sheetView>
  </sheetViews>
  <sheetFormatPr baseColWidth="10" defaultRowHeight="15"/>
  <cols>
    <col min="1" max="1" width="8.85546875" style="29" customWidth="1"/>
    <col min="2" max="2" width="17" style="29" customWidth="1"/>
    <col min="3" max="5" width="11.42578125" style="29"/>
    <col min="6" max="6" width="14.42578125" style="29" customWidth="1"/>
    <col min="7" max="8" width="11.42578125" style="29"/>
    <col min="9" max="9" width="12.5703125" style="29" bestFit="1" customWidth="1"/>
    <col min="10" max="10" width="15.5703125" style="29" customWidth="1"/>
    <col min="11" max="11" width="17.5703125" style="29" bestFit="1" customWidth="1"/>
    <col min="12" max="13" width="11.42578125" style="29"/>
    <col min="14" max="14" width="17.42578125" style="29" customWidth="1"/>
    <col min="15" max="15" width="12" style="29" bestFit="1" customWidth="1"/>
    <col min="16" max="16384" width="11.42578125" style="29"/>
  </cols>
  <sheetData>
    <row r="1" spans="1:16" ht="15.75" thickBot="1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6" ht="26.25" thickBot="1">
      <c r="B2" s="288" t="s">
        <v>45</v>
      </c>
      <c r="C2" s="596" t="s">
        <v>3</v>
      </c>
      <c r="D2" s="597"/>
      <c r="E2" s="597"/>
      <c r="F2" s="597"/>
      <c r="G2" s="597"/>
      <c r="H2" s="597"/>
      <c r="I2" s="597"/>
      <c r="J2" s="289"/>
      <c r="K2" s="290" t="s">
        <v>46</v>
      </c>
      <c r="L2" s="598" t="s">
        <v>47</v>
      </c>
      <c r="M2" s="599"/>
      <c r="N2" s="288" t="s">
        <v>5</v>
      </c>
    </row>
    <row r="3" spans="1:16" ht="15.75" hidden="1" customHeight="1" thickBot="1">
      <c r="B3" s="204" t="s">
        <v>45</v>
      </c>
      <c r="C3" s="604" t="s">
        <v>3</v>
      </c>
      <c r="D3" s="605"/>
      <c r="E3" s="605"/>
      <c r="F3" s="605"/>
      <c r="G3" s="605"/>
      <c r="H3" s="605"/>
      <c r="I3" s="605"/>
      <c r="J3" s="205"/>
      <c r="K3" s="206"/>
      <c r="L3" s="606" t="s">
        <v>47</v>
      </c>
      <c r="M3" s="607"/>
      <c r="N3" s="204" t="s">
        <v>5</v>
      </c>
    </row>
    <row r="4" spans="1:16" ht="15.75" thickBot="1">
      <c r="A4" s="29" t="s">
        <v>48</v>
      </c>
      <c r="B4" s="324">
        <v>100.06</v>
      </c>
      <c r="C4" s="208" t="s">
        <v>83</v>
      </c>
      <c r="D4" s="209"/>
      <c r="E4" s="209"/>
      <c r="F4" s="209"/>
      <c r="G4" s="209"/>
      <c r="H4" s="209"/>
      <c r="I4" s="209"/>
      <c r="J4" s="210"/>
      <c r="K4" s="211"/>
      <c r="L4" s="212" t="s">
        <v>12</v>
      </c>
      <c r="M4" s="213"/>
      <c r="N4" s="214"/>
    </row>
    <row r="5" spans="1:16" ht="5.25" customHeight="1">
      <c r="B5" s="215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</row>
    <row r="6" spans="1:16">
      <c r="B6" s="218" t="s">
        <v>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20"/>
    </row>
    <row r="7" spans="1:16" ht="15.75" thickBot="1">
      <c r="B7" s="221"/>
      <c r="C7" s="216"/>
      <c r="D7" s="216"/>
      <c r="E7" s="216"/>
      <c r="F7" s="216"/>
      <c r="G7" s="216"/>
      <c r="H7" s="216"/>
      <c r="I7" s="222"/>
      <c r="J7" s="222"/>
      <c r="K7" s="216"/>
      <c r="L7" s="216"/>
      <c r="M7" s="216"/>
      <c r="N7" s="217"/>
    </row>
    <row r="8" spans="1:16">
      <c r="B8" s="608" t="s">
        <v>3</v>
      </c>
      <c r="C8" s="609"/>
      <c r="D8" s="609"/>
      <c r="E8" s="609"/>
      <c r="F8" s="609"/>
      <c r="G8" s="609"/>
      <c r="H8" s="610"/>
      <c r="I8" s="611" t="s">
        <v>51</v>
      </c>
      <c r="J8" s="612"/>
      <c r="K8" s="286" t="s">
        <v>52</v>
      </c>
      <c r="L8" s="613" t="s">
        <v>53</v>
      </c>
      <c r="M8" s="610"/>
      <c r="N8" s="287" t="s">
        <v>54</v>
      </c>
    </row>
    <row r="9" spans="1:16">
      <c r="A9" s="43" t="s">
        <v>77</v>
      </c>
      <c r="B9" s="600" t="str">
        <f>VLOOKUP(A9,[52]EQUIPOS!A6:D154,3,FALSE)</f>
        <v>Retroexcavadora sobre oruga, potencia 138 HP, balde de 1,5 m3.</v>
      </c>
      <c r="C9" s="601"/>
      <c r="D9" s="601"/>
      <c r="E9" s="601"/>
      <c r="F9" s="601"/>
      <c r="G9" s="601"/>
      <c r="H9" s="603"/>
      <c r="I9" s="227"/>
      <c r="J9" s="228"/>
      <c r="K9" s="229">
        <f>VLOOKUP(A9,[52]EQUIPOS!A6:D163,4,FALSE)</f>
        <v>210000</v>
      </c>
      <c r="L9" s="230"/>
      <c r="M9" s="231">
        <v>40</v>
      </c>
      <c r="N9" s="232">
        <f>K9/M9</f>
        <v>5250</v>
      </c>
      <c r="P9" s="29">
        <f>500/8</f>
        <v>62.5</v>
      </c>
    </row>
    <row r="10" spans="1:16">
      <c r="A10" s="43" t="s">
        <v>84</v>
      </c>
      <c r="B10" s="600" t="str">
        <f>VLOOKUP(A10,[52]EQUIPOS!A7:D154,3,FALSE)</f>
        <v xml:space="preserve">Buldozer, Potencia al volante de 140 HP, motor de 2200 RPM, longitud de hoja 4,80m. </v>
      </c>
      <c r="C10" s="601"/>
      <c r="D10" s="601"/>
      <c r="E10" s="601"/>
      <c r="F10" s="601"/>
      <c r="G10" s="601"/>
      <c r="H10" s="603"/>
      <c r="I10" s="227"/>
      <c r="J10" s="228"/>
      <c r="K10" s="229">
        <f>VLOOKUP(A10,[52]EQUIPOS!A7:D164,4,FALSE)</f>
        <v>189400</v>
      </c>
      <c r="L10" s="230"/>
      <c r="M10" s="231">
        <v>60</v>
      </c>
      <c r="N10" s="232">
        <f>K10/M10</f>
        <v>3156.6666666666665</v>
      </c>
    </row>
    <row r="11" spans="1:16">
      <c r="B11" s="600"/>
      <c r="C11" s="601"/>
      <c r="D11" s="601"/>
      <c r="E11" s="601"/>
      <c r="F11" s="601"/>
      <c r="G11" s="601"/>
      <c r="H11" s="603"/>
      <c r="I11" s="227"/>
      <c r="J11" s="228"/>
      <c r="K11" s="229"/>
      <c r="L11" s="230"/>
      <c r="M11" s="231"/>
      <c r="N11" s="233"/>
    </row>
    <row r="12" spans="1:16">
      <c r="B12" s="600"/>
      <c r="C12" s="601"/>
      <c r="D12" s="601"/>
      <c r="E12" s="601"/>
      <c r="F12" s="601"/>
      <c r="G12" s="601"/>
      <c r="H12" s="603"/>
      <c r="I12" s="614"/>
      <c r="J12" s="615"/>
      <c r="K12" s="234"/>
      <c r="L12" s="616"/>
      <c r="M12" s="617"/>
      <c r="N12" s="235"/>
    </row>
    <row r="13" spans="1:16">
      <c r="B13" s="600"/>
      <c r="C13" s="601"/>
      <c r="D13" s="601"/>
      <c r="E13" s="602"/>
      <c r="F13" s="601"/>
      <c r="G13" s="601"/>
      <c r="H13" s="603"/>
      <c r="I13" s="236"/>
      <c r="J13" s="237"/>
      <c r="K13" s="234"/>
      <c r="L13" s="238"/>
      <c r="M13" s="239"/>
      <c r="N13" s="240"/>
    </row>
    <row r="14" spans="1:16">
      <c r="B14" s="620"/>
      <c r="C14" s="621"/>
      <c r="D14" s="621"/>
      <c r="E14" s="241"/>
      <c r="F14" s="242"/>
      <c r="G14" s="242"/>
      <c r="H14" s="243"/>
      <c r="I14" s="236"/>
      <c r="J14" s="237"/>
      <c r="K14" s="244"/>
      <c r="L14" s="238"/>
      <c r="M14" s="239"/>
      <c r="N14" s="38"/>
    </row>
    <row r="15" spans="1:16" ht="15.75" thickBot="1">
      <c r="B15" s="600" t="s">
        <v>57</v>
      </c>
      <c r="C15" s="601"/>
      <c r="D15" s="601"/>
      <c r="E15" s="601"/>
      <c r="F15" s="601"/>
      <c r="G15" s="601"/>
      <c r="H15" s="603"/>
      <c r="I15" s="622"/>
      <c r="J15" s="623"/>
      <c r="K15" s="245"/>
      <c r="L15" s="624">
        <v>0.01</v>
      </c>
      <c r="M15" s="625"/>
      <c r="N15" s="246">
        <f>N49*L15</f>
        <v>9.219736000000001</v>
      </c>
    </row>
    <row r="16" spans="1:16" ht="15.75" thickBot="1">
      <c r="B16" s="626" t="s">
        <v>58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8"/>
      <c r="N16" s="247">
        <f>SUM(N9:N15)</f>
        <v>8415.8864026666652</v>
      </c>
    </row>
    <row r="17" spans="1:14">
      <c r="B17" s="22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</row>
    <row r="18" spans="1:14">
      <c r="B18" s="248" t="s">
        <v>59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49"/>
    </row>
    <row r="19" spans="1:14" ht="15.75" thickBot="1">
      <c r="B19" s="250"/>
      <c r="C19" s="222"/>
      <c r="D19" s="222"/>
      <c r="E19" s="222"/>
      <c r="F19" s="222"/>
      <c r="G19" s="222"/>
      <c r="H19" s="222"/>
      <c r="I19" s="222"/>
      <c r="J19" s="216"/>
      <c r="K19" s="216"/>
      <c r="L19" s="216"/>
      <c r="M19" s="216"/>
      <c r="N19" s="217"/>
    </row>
    <row r="20" spans="1:14">
      <c r="B20" s="608" t="s">
        <v>3</v>
      </c>
      <c r="C20" s="609"/>
      <c r="D20" s="609"/>
      <c r="E20" s="609"/>
      <c r="F20" s="609"/>
      <c r="G20" s="609"/>
      <c r="H20" s="609"/>
      <c r="I20" s="610"/>
      <c r="J20" s="291" t="s">
        <v>47</v>
      </c>
      <c r="K20" s="286" t="s">
        <v>5</v>
      </c>
      <c r="L20" s="613" t="s">
        <v>60</v>
      </c>
      <c r="M20" s="610"/>
      <c r="N20" s="287" t="s">
        <v>54</v>
      </c>
    </row>
    <row r="21" spans="1:14">
      <c r="A21" s="29" t="s">
        <v>85</v>
      </c>
      <c r="B21" s="252"/>
      <c r="C21" s="253"/>
      <c r="D21" s="253"/>
      <c r="E21" s="253"/>
      <c r="F21" s="253"/>
      <c r="G21" s="253"/>
      <c r="H21" s="253"/>
      <c r="I21" s="228"/>
      <c r="J21" s="254"/>
      <c r="K21" s="255"/>
      <c r="L21" s="227"/>
      <c r="M21" s="256"/>
      <c r="N21" s="257"/>
    </row>
    <row r="22" spans="1:14">
      <c r="B22" s="252"/>
      <c r="C22" s="253"/>
      <c r="D22" s="253"/>
      <c r="E22" s="253"/>
      <c r="F22" s="253"/>
      <c r="G22" s="253"/>
      <c r="H22" s="253"/>
      <c r="I22" s="228"/>
      <c r="J22" s="254"/>
      <c r="K22" s="255"/>
      <c r="L22" s="227"/>
      <c r="M22" s="256"/>
      <c r="N22" s="257"/>
    </row>
    <row r="23" spans="1:14">
      <c r="A23" s="43"/>
      <c r="B23" s="252"/>
      <c r="C23" s="253"/>
      <c r="D23" s="253"/>
      <c r="E23" s="253"/>
      <c r="F23" s="253"/>
      <c r="G23" s="253"/>
      <c r="H23" s="253"/>
      <c r="I23" s="228"/>
      <c r="J23" s="254"/>
      <c r="K23" s="255"/>
      <c r="L23" s="227"/>
      <c r="M23" s="256"/>
      <c r="N23" s="257"/>
    </row>
    <row r="24" spans="1:14">
      <c r="B24" s="252"/>
      <c r="C24" s="253"/>
      <c r="D24" s="253"/>
      <c r="E24" s="253"/>
      <c r="F24" s="253"/>
      <c r="G24" s="253"/>
      <c r="H24" s="253"/>
      <c r="I24" s="228"/>
      <c r="J24" s="254"/>
      <c r="K24" s="255"/>
      <c r="L24" s="227"/>
      <c r="M24" s="256"/>
      <c r="N24" s="257"/>
    </row>
    <row r="25" spans="1:14">
      <c r="B25" s="252"/>
      <c r="C25" s="253"/>
      <c r="D25" s="253"/>
      <c r="E25" s="253"/>
      <c r="F25" s="253"/>
      <c r="G25" s="253"/>
      <c r="H25" s="253"/>
      <c r="I25" s="228"/>
      <c r="J25" s="254"/>
      <c r="K25" s="255"/>
      <c r="L25" s="227"/>
      <c r="M25" s="256"/>
      <c r="N25" s="257"/>
    </row>
    <row r="26" spans="1:14" ht="15.75" thickBot="1">
      <c r="B26" s="629"/>
      <c r="C26" s="630"/>
      <c r="D26" s="630"/>
      <c r="E26" s="630"/>
      <c r="F26" s="630"/>
      <c r="G26" s="630"/>
      <c r="H26" s="630"/>
      <c r="I26" s="615"/>
      <c r="J26" s="199"/>
      <c r="K26" s="258"/>
      <c r="L26" s="631"/>
      <c r="M26" s="632"/>
      <c r="N26" s="259"/>
    </row>
    <row r="27" spans="1:14" ht="15.75" thickBot="1">
      <c r="B27" s="626" t="s">
        <v>58</v>
      </c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628"/>
      <c r="N27" s="260">
        <f>SUM(N21:N26)</f>
        <v>0</v>
      </c>
    </row>
    <row r="28" spans="1:14">
      <c r="B28" s="215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>
      <c r="B29" s="248" t="s">
        <v>61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49"/>
    </row>
    <row r="30" spans="1:14" ht="15.75" thickBot="1"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7"/>
    </row>
    <row r="31" spans="1:14" ht="25.5">
      <c r="B31" s="292" t="s">
        <v>62</v>
      </c>
      <c r="C31" s="293"/>
      <c r="D31" s="293"/>
      <c r="E31" s="293"/>
      <c r="F31" s="293"/>
      <c r="G31" s="293"/>
      <c r="H31" s="294" t="s">
        <v>47</v>
      </c>
      <c r="I31" s="295" t="s">
        <v>63</v>
      </c>
      <c r="J31" s="289" t="s">
        <v>64</v>
      </c>
      <c r="K31" s="294" t="s">
        <v>65</v>
      </c>
      <c r="L31" s="633" t="s">
        <v>66</v>
      </c>
      <c r="M31" s="634"/>
      <c r="N31" s="298" t="s">
        <v>54</v>
      </c>
    </row>
    <row r="32" spans="1:14">
      <c r="B32" s="34"/>
      <c r="C32" s="266"/>
      <c r="D32" s="266"/>
      <c r="E32" s="266"/>
      <c r="F32" s="266"/>
      <c r="G32" s="266"/>
      <c r="H32" s="267"/>
      <c r="I32" s="244"/>
      <c r="J32" s="268"/>
      <c r="K32" s="244"/>
      <c r="L32" s="635"/>
      <c r="M32" s="636"/>
      <c r="N32" s="269"/>
    </row>
    <row r="33" spans="1:15">
      <c r="B33" s="34"/>
      <c r="C33" s="270"/>
      <c r="D33" s="270"/>
      <c r="E33" s="270"/>
      <c r="F33" s="270"/>
      <c r="G33" s="270"/>
      <c r="H33" s="271"/>
      <c r="I33" s="244"/>
      <c r="J33" s="244"/>
      <c r="K33" s="244"/>
      <c r="L33" s="272"/>
      <c r="M33" s="273"/>
      <c r="N33" s="274"/>
    </row>
    <row r="34" spans="1:15">
      <c r="B34" s="34"/>
      <c r="C34" s="270"/>
      <c r="D34" s="270"/>
      <c r="E34" s="270"/>
      <c r="F34" s="270"/>
      <c r="G34" s="270"/>
      <c r="H34" s="271"/>
      <c r="I34" s="244"/>
      <c r="J34" s="244"/>
      <c r="K34" s="244"/>
      <c r="L34" s="272"/>
      <c r="M34" s="273"/>
      <c r="N34" s="274"/>
    </row>
    <row r="35" spans="1:15">
      <c r="B35" s="34"/>
      <c r="C35" s="270"/>
      <c r="D35" s="270"/>
      <c r="E35" s="270"/>
      <c r="F35" s="270"/>
      <c r="G35" s="270"/>
      <c r="H35" s="271"/>
      <c r="I35" s="244"/>
      <c r="J35" s="244"/>
      <c r="K35" s="244"/>
      <c r="L35" s="272"/>
      <c r="M35" s="273"/>
      <c r="N35" s="274"/>
    </row>
    <row r="36" spans="1:15">
      <c r="B36" s="34"/>
      <c r="C36" s="270"/>
      <c r="D36" s="270"/>
      <c r="E36" s="270"/>
      <c r="F36" s="270"/>
      <c r="G36" s="270"/>
      <c r="H36" s="271"/>
      <c r="I36" s="244"/>
      <c r="J36" s="244"/>
      <c r="K36" s="244"/>
      <c r="L36" s="272"/>
      <c r="M36" s="273"/>
      <c r="N36" s="274"/>
    </row>
    <row r="37" spans="1:15" ht="15.75" thickBot="1">
      <c r="B37" s="275"/>
      <c r="C37" s="276"/>
      <c r="D37" s="276"/>
      <c r="E37" s="276"/>
      <c r="F37" s="276"/>
      <c r="G37" s="276"/>
      <c r="H37" s="277"/>
      <c r="I37" s="278"/>
      <c r="J37" s="278"/>
      <c r="K37" s="278"/>
      <c r="L37" s="618"/>
      <c r="M37" s="619"/>
      <c r="N37" s="259"/>
    </row>
    <row r="38" spans="1:15" ht="15.75" thickBot="1">
      <c r="B38" s="626" t="s">
        <v>58</v>
      </c>
      <c r="C38" s="627"/>
      <c r="D38" s="627"/>
      <c r="E38" s="627"/>
      <c r="F38" s="627"/>
      <c r="G38" s="627"/>
      <c r="H38" s="627"/>
      <c r="I38" s="627"/>
      <c r="J38" s="627"/>
      <c r="K38" s="627"/>
      <c r="L38" s="627"/>
      <c r="M38" s="628"/>
      <c r="N38" s="260"/>
    </row>
    <row r="39" spans="1:15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7"/>
    </row>
    <row r="40" spans="1:15">
      <c r="B40" s="248" t="s">
        <v>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49"/>
    </row>
    <row r="41" spans="1:15" ht="15.75" thickBot="1"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</row>
    <row r="42" spans="1:15" ht="25.5">
      <c r="B42" s="640" t="s">
        <v>69</v>
      </c>
      <c r="C42" s="598"/>
      <c r="D42" s="598"/>
      <c r="E42" s="598"/>
      <c r="F42" s="598"/>
      <c r="G42" s="598"/>
      <c r="H42" s="598"/>
      <c r="I42" s="294" t="s">
        <v>70</v>
      </c>
      <c r="J42" s="289" t="s">
        <v>71</v>
      </c>
      <c r="K42" s="295" t="s">
        <v>72</v>
      </c>
      <c r="L42" s="641" t="s">
        <v>53</v>
      </c>
      <c r="M42" s="642"/>
      <c r="N42" s="299" t="s">
        <v>54</v>
      </c>
    </row>
    <row r="43" spans="1:15">
      <c r="A43" s="29" t="s">
        <v>86</v>
      </c>
      <c r="B43" s="280" t="str">
        <f>VLOOKUP(A43,'[52]MANO DE OBRA'!A8:D68,3,FALSE)</f>
        <v xml:space="preserve">Obrero </v>
      </c>
      <c r="C43" s="270"/>
      <c r="D43" s="270"/>
      <c r="E43" s="270"/>
      <c r="F43" s="270"/>
      <c r="G43" s="270"/>
      <c r="H43" s="270"/>
      <c r="I43" s="281">
        <v>27604</v>
      </c>
      <c r="J43" s="35">
        <v>167</v>
      </c>
      <c r="K43" s="36">
        <f>+I43*J43/100</f>
        <v>46098.68</v>
      </c>
      <c r="L43" s="282"/>
      <c r="M43" s="37">
        <v>50</v>
      </c>
      <c r="N43" s="38">
        <f>K43/M43</f>
        <v>921.97360000000003</v>
      </c>
      <c r="O43" s="39"/>
    </row>
    <row r="44" spans="1:15">
      <c r="B44" s="280"/>
      <c r="C44" s="270"/>
      <c r="D44" s="270"/>
      <c r="E44" s="270"/>
      <c r="F44" s="270"/>
      <c r="G44" s="270"/>
      <c r="H44" s="270"/>
      <c r="I44" s="244"/>
      <c r="J44" s="40"/>
      <c r="K44" s="41"/>
      <c r="L44" s="282"/>
      <c r="M44" s="283"/>
      <c r="N44" s="38"/>
    </row>
    <row r="45" spans="1:15">
      <c r="B45" s="280"/>
      <c r="C45" s="270"/>
      <c r="D45" s="270"/>
      <c r="E45" s="270"/>
      <c r="F45" s="270"/>
      <c r="G45" s="270"/>
      <c r="H45" s="270"/>
      <c r="I45" s="244"/>
      <c r="J45" s="40"/>
      <c r="K45" s="41"/>
      <c r="L45" s="282"/>
      <c r="M45" s="284"/>
      <c r="N45" s="38"/>
    </row>
    <row r="46" spans="1:15">
      <c r="B46" s="280"/>
      <c r="C46" s="270"/>
      <c r="D46" s="270"/>
      <c r="E46" s="270"/>
      <c r="F46" s="270"/>
      <c r="G46" s="270"/>
      <c r="H46" s="270"/>
      <c r="I46" s="244"/>
      <c r="J46" s="40"/>
      <c r="K46" s="41"/>
      <c r="L46" s="285"/>
      <c r="M46" s="284"/>
      <c r="N46" s="38"/>
    </row>
    <row r="47" spans="1:15">
      <c r="B47" s="280"/>
      <c r="C47" s="270"/>
      <c r="D47" s="270"/>
      <c r="E47" s="270"/>
      <c r="F47" s="270"/>
      <c r="G47" s="270"/>
      <c r="H47" s="270"/>
      <c r="I47" s="244"/>
      <c r="J47" s="40"/>
      <c r="K47" s="41"/>
      <c r="L47" s="285"/>
      <c r="M47" s="284"/>
      <c r="N47" s="38"/>
    </row>
    <row r="48" spans="1:15" ht="15.75" thickBot="1">
      <c r="B48" s="643"/>
      <c r="C48" s="644"/>
      <c r="D48" s="644"/>
      <c r="E48" s="644"/>
      <c r="F48" s="644"/>
      <c r="G48" s="644"/>
      <c r="H48" s="644"/>
      <c r="I48" s="278"/>
      <c r="J48" s="278"/>
      <c r="K48" s="278"/>
      <c r="L48" s="645"/>
      <c r="M48" s="645"/>
      <c r="N48" s="259"/>
    </row>
    <row r="49" spans="2:14" ht="15.75" thickBot="1">
      <c r="B49" s="646" t="s">
        <v>58</v>
      </c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8"/>
      <c r="N49" s="42">
        <f>SUM(N43:N48)</f>
        <v>921.97360000000003</v>
      </c>
    </row>
    <row r="50" spans="2:14" ht="15.75" thickBot="1">
      <c r="B50" s="215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</row>
    <row r="51" spans="2:14" ht="15.75" thickBot="1">
      <c r="B51" s="637" t="s">
        <v>74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9"/>
      <c r="N51" s="300">
        <f>ROUND((N16+N27+N38+N49),0)</f>
        <v>9338</v>
      </c>
    </row>
    <row r="52" spans="2:14">
      <c r="B52" s="660" t="s">
        <v>432</v>
      </c>
      <c r="C52" s="661"/>
      <c r="D52" s="661"/>
      <c r="E52" s="661"/>
      <c r="F52" s="661"/>
      <c r="G52" s="661"/>
      <c r="H52" s="661"/>
      <c r="I52" s="661"/>
      <c r="J52" s="661"/>
      <c r="K52" s="661"/>
      <c r="L52" s="661"/>
      <c r="M52" s="661"/>
      <c r="N52" s="662"/>
    </row>
    <row r="53" spans="2:14">
      <c r="B53" s="663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</row>
    <row r="54" spans="2:14" ht="15.75" thickBot="1">
      <c r="B54" s="666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8"/>
    </row>
    <row r="55" spans="2:14">
      <c r="B55" s="669" t="s">
        <v>433</v>
      </c>
      <c r="C55" s="670"/>
      <c r="D55" s="670"/>
      <c r="E55" s="670"/>
      <c r="F55" s="670"/>
      <c r="G55" s="670"/>
      <c r="H55" s="670"/>
      <c r="I55" s="402"/>
      <c r="J55" s="417"/>
      <c r="K55" s="410" t="s">
        <v>434</v>
      </c>
      <c r="L55" s="671" t="s">
        <v>156</v>
      </c>
      <c r="M55" s="672"/>
      <c r="N55" s="411"/>
    </row>
    <row r="56" spans="2:14">
      <c r="B56" s="673" t="s">
        <v>75</v>
      </c>
      <c r="C56" s="674"/>
      <c r="D56" s="674"/>
      <c r="E56" s="674"/>
      <c r="F56" s="674"/>
      <c r="G56" s="674"/>
      <c r="H56" s="674"/>
      <c r="I56" s="418"/>
      <c r="J56" s="419"/>
      <c r="K56" s="420">
        <v>0.23</v>
      </c>
      <c r="L56" s="650"/>
      <c r="M56" s="651"/>
      <c r="N56" s="421">
        <f>+N51*K56</f>
        <v>2147.7400000000002</v>
      </c>
    </row>
    <row r="57" spans="2:14">
      <c r="B57" s="422" t="s">
        <v>435</v>
      </c>
      <c r="C57" s="399"/>
      <c r="D57" s="399"/>
      <c r="E57" s="399"/>
      <c r="F57" s="399"/>
      <c r="G57" s="399"/>
      <c r="H57" s="399"/>
      <c r="I57" s="418"/>
      <c r="J57" s="419"/>
      <c r="K57" s="420">
        <v>0.01</v>
      </c>
      <c r="L57" s="650"/>
      <c r="M57" s="651"/>
      <c r="N57" s="421">
        <f>+N51*K57</f>
        <v>93.38</v>
      </c>
    </row>
    <row r="58" spans="2:14" ht="15.75" thickBot="1">
      <c r="B58" s="390" t="s">
        <v>76</v>
      </c>
      <c r="C58" s="391"/>
      <c r="D58" s="391"/>
      <c r="E58" s="391"/>
      <c r="F58" s="391"/>
      <c r="G58" s="391"/>
      <c r="H58" s="391"/>
      <c r="I58" s="423"/>
      <c r="J58" s="424"/>
      <c r="K58" s="420">
        <v>7.0000000000000007E-2</v>
      </c>
      <c r="L58" s="652"/>
      <c r="M58" s="653"/>
      <c r="N58" s="421">
        <f>+N51*K58</f>
        <v>653.66000000000008</v>
      </c>
    </row>
    <row r="59" spans="2:14" ht="15.75" thickBot="1">
      <c r="B59" s="654" t="s">
        <v>58</v>
      </c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6"/>
      <c r="N59" s="425">
        <f>N56+N57+N58</f>
        <v>2894.7800000000007</v>
      </c>
    </row>
    <row r="60" spans="2:14" ht="15.75" thickBot="1">
      <c r="B60" s="381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82"/>
    </row>
    <row r="61" spans="2:14" ht="15.75" thickBot="1">
      <c r="B61" s="657" t="s">
        <v>436</v>
      </c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9"/>
      <c r="N61" s="426">
        <f>ROUND((N59+N51),0)</f>
        <v>12233</v>
      </c>
    </row>
  </sheetData>
  <mergeCells count="43"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  <mergeCell ref="B51:M51"/>
    <mergeCell ref="B38:M38"/>
    <mergeCell ref="B42:H42"/>
    <mergeCell ref="L42:M42"/>
    <mergeCell ref="B48:H48"/>
    <mergeCell ref="L48:M48"/>
    <mergeCell ref="B49:M49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4</vt:i4>
      </vt:variant>
    </vt:vector>
  </HeadingPairs>
  <TitlesOfParts>
    <vt:vector size="58" baseType="lpstr">
      <vt:lpstr>Ppto1</vt:lpstr>
      <vt:lpstr>AIU1</vt:lpstr>
      <vt:lpstr>Cantidades</vt:lpstr>
      <vt:lpstr>100.01</vt:lpstr>
      <vt:lpstr>100.02</vt:lpstr>
      <vt:lpstr>100,03</vt:lpstr>
      <vt:lpstr>100,04</vt:lpstr>
      <vt:lpstr>100,05</vt:lpstr>
      <vt:lpstr>100,06</vt:lpstr>
      <vt:lpstr>100,07</vt:lpstr>
      <vt:lpstr>200,01</vt:lpstr>
      <vt:lpstr>200,02</vt:lpstr>
      <vt:lpstr>200,03</vt:lpstr>
      <vt:lpstr>200,04</vt:lpstr>
      <vt:lpstr>300,01</vt:lpstr>
      <vt:lpstr>300,02</vt:lpstr>
      <vt:lpstr>300,03</vt:lpstr>
      <vt:lpstr>300,04</vt:lpstr>
      <vt:lpstr>400,01</vt:lpstr>
      <vt:lpstr>400,02</vt:lpstr>
      <vt:lpstr>400,03</vt:lpstr>
      <vt:lpstr>400,04</vt:lpstr>
      <vt:lpstr>500,01</vt:lpstr>
      <vt:lpstr>500,02</vt:lpstr>
      <vt:lpstr>500,03</vt:lpstr>
      <vt:lpstr>500,04</vt:lpstr>
      <vt:lpstr>500,05</vt:lpstr>
      <vt:lpstr>500,06</vt:lpstr>
      <vt:lpstr>500,07</vt:lpstr>
      <vt:lpstr>500,08</vt:lpstr>
      <vt:lpstr>500,09</vt:lpstr>
      <vt:lpstr>500,10</vt:lpstr>
      <vt:lpstr>500,11</vt:lpstr>
      <vt:lpstr>500,12</vt:lpstr>
      <vt:lpstr>500,13</vt:lpstr>
      <vt:lpstr>500,14</vt:lpstr>
      <vt:lpstr>500,15</vt:lpstr>
      <vt:lpstr>500,16</vt:lpstr>
      <vt:lpstr>500,17</vt:lpstr>
      <vt:lpstr>500,18</vt:lpstr>
      <vt:lpstr>500,19</vt:lpstr>
      <vt:lpstr>500,20</vt:lpstr>
      <vt:lpstr>500,21</vt:lpstr>
      <vt:lpstr>500,22</vt:lpstr>
      <vt:lpstr>600,01</vt:lpstr>
      <vt:lpstr>600,02</vt:lpstr>
      <vt:lpstr>600,03</vt:lpstr>
      <vt:lpstr>600,04</vt:lpstr>
      <vt:lpstr>700,01</vt:lpstr>
      <vt:lpstr>700,02</vt:lpstr>
      <vt:lpstr>700,03</vt:lpstr>
      <vt:lpstr>700,04</vt:lpstr>
      <vt:lpstr>700,05</vt:lpstr>
      <vt:lpstr>800,01</vt:lpstr>
      <vt:lpstr>'AIU1'!Área_de_impresión</vt:lpstr>
      <vt:lpstr>Cantidades!Área_de_impresión</vt:lpstr>
      <vt:lpstr>Ppto1!Área_de_impresión</vt:lpstr>
      <vt:lpstr>Cantidades!Títulos_a_imprimir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2019-12-17T21:48:58Z</dcterms:modified>
</cp:coreProperties>
</file>