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9\SEGUIMIENTO PDD 2019\SGTO IV TRIMESTRE PDD 2019\PROGR INSTRUM IV TRIMESTRE 2019\"/>
    </mc:Choice>
  </mc:AlternateContent>
  <bookViews>
    <workbookView xWindow="-105" yWindow="-105" windowWidth="19425" windowHeight="10425"/>
  </bookViews>
  <sheets>
    <sheet name="PA ADMINISTRATIVA" sheetId="2" r:id="rId1"/>
    <sheet name="PA PLANEACION" sheetId="3" r:id="rId2"/>
    <sheet name="PA HACIENDA" sheetId="4" r:id="rId3"/>
    <sheet name="PA AGUAS INFRA" sheetId="5" r:id="rId4"/>
    <sheet name="PA INTERIOR" sheetId="20" r:id="rId5"/>
    <sheet name="PA CULTURA" sheetId="21" r:id="rId6"/>
    <sheet name="PA TURISMO" sheetId="22" r:id="rId7"/>
    <sheet name="PA AGRICULTURA" sheetId="10" r:id="rId8"/>
    <sheet name="PA PRIVADA" sheetId="23" r:id="rId9"/>
    <sheet name="PA EDUCACIÓN" sheetId="24" r:id="rId10"/>
    <sheet name="PA FAMILIA" sheetId="13" r:id="rId11"/>
    <sheet name="PA REPR JUDICIAL" sheetId="14" r:id="rId12"/>
    <sheet name="PA SALUD" sheetId="25" r:id="rId13"/>
    <sheet name="PA TIC" sheetId="19" r:id="rId14"/>
    <sheet name="PA INDEPORTES" sheetId="26" r:id="rId15"/>
    <sheet name="PA PROMOTORA" sheetId="16" r:id="rId16"/>
    <sheet name="PA IDTQ" sheetId="1" r:id="rId17"/>
  </sheets>
  <externalReferences>
    <externalReference r:id="rId18"/>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6">#REF!</definedName>
    <definedName name="_1._Apoyo_con_equipos_para_la_seguridad_vial_Licenciamiento_de_software_para_comunicaciones" localSheetId="14">#REF!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5">#REF!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Print_Area" localSheetId="1">'PA PLANEACION'!$A$1:$AQ$10</definedName>
    <definedName name="CODIGO_DIVIPOLA" localSheetId="0">#REF!</definedName>
    <definedName name="CODIGO_DIVIPOLA" localSheetId="7">#REF!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6">#REF!</definedName>
    <definedName name="CODIGO_DIVIPOLA" localSheetId="14">#REF!</definedName>
    <definedName name="CODIGO_DIVIPOLA" localSheetId="4">#REF!</definedName>
    <definedName name="CODIGO_DIVIPOLA" localSheetId="1">#REF!</definedName>
    <definedName name="CODIGO_DIVIPOLA" localSheetId="8">#REF!</definedName>
    <definedName name="CODIGO_DIVIPOLA" localSheetId="15">#REF!</definedName>
    <definedName name="CODIGO_DIVIPOLA" localSheetId="11">#REF!</definedName>
    <definedName name="CODIGO_DIVIPOLA" localSheetId="12">#REF!</definedName>
    <definedName name="CODIGO_DIVIPOLA" localSheetId="6">#REF!</definedName>
    <definedName name="CODIGO_DIVIPOLA">#REF!</definedName>
    <definedName name="DboREGISTRO_LEY_617" localSheetId="0">#REF!</definedName>
    <definedName name="DboREGISTRO_LEY_617" localSheetId="7">#REF!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6">#REF!</definedName>
    <definedName name="DboREGISTRO_LEY_617" localSheetId="14">#REF!</definedName>
    <definedName name="DboREGISTRO_LEY_617" localSheetId="4">#REF!</definedName>
    <definedName name="DboREGISTRO_LEY_617" localSheetId="1">#REF!</definedName>
    <definedName name="DboREGISTRO_LEY_617" localSheetId="8">#REF!</definedName>
    <definedName name="DboREGISTRO_LEY_617" localSheetId="15">#REF!</definedName>
    <definedName name="DboREGISTRO_LEY_617" localSheetId="11">#REF!</definedName>
    <definedName name="DboREGISTRO_LEY_617" localSheetId="12">#REF!</definedName>
    <definedName name="DboREGISTRO_LEY_617" localSheetId="6">#REF!</definedName>
    <definedName name="DboREGISTRO_LEY_617">#REF!</definedName>
    <definedName name="ññ" localSheetId="0">#REF!</definedName>
    <definedName name="ññ" localSheetId="7">#REF!</definedName>
    <definedName name="ññ" localSheetId="3">#REF!</definedName>
    <definedName name="ññ" localSheetId="5">#REF!</definedName>
    <definedName name="ññ" localSheetId="9">#REF!</definedName>
    <definedName name="ññ" localSheetId="10">#REF!</definedName>
    <definedName name="ññ" localSheetId="2">#REF!</definedName>
    <definedName name="ññ" localSheetId="16">#REF!</definedName>
    <definedName name="ññ" localSheetId="14">#REF!</definedName>
    <definedName name="ññ" localSheetId="4">#REF!</definedName>
    <definedName name="ññ" localSheetId="1">#REF!</definedName>
    <definedName name="ññ" localSheetId="8">#REF!</definedName>
    <definedName name="ññ" localSheetId="15">#REF!</definedName>
    <definedName name="ññ" localSheetId="11">#REF!</definedName>
    <definedName name="ññ" localSheetId="12">#REF!</definedName>
    <definedName name="ññ" localSheetId="6">#REF!</definedName>
    <definedName name="ññ">#REF!</definedName>
    <definedName name="_xlnm.Print_Titles" localSheetId="1">'PA PLANEACION'!$1:$7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7" i="26" l="1"/>
  <c r="R54" i="26"/>
  <c r="Q54" i="26" s="1"/>
  <c r="R49" i="26"/>
  <c r="Q49" i="26"/>
  <c r="R37" i="26"/>
  <c r="Q44" i="26" s="1"/>
  <c r="Q37" i="26"/>
  <c r="R29" i="26"/>
  <c r="Q33" i="26" s="1"/>
  <c r="Q29" i="26"/>
  <c r="AN23" i="26"/>
  <c r="R23" i="26"/>
  <c r="Q23" i="26"/>
  <c r="R20" i="26"/>
  <c r="Q20" i="26" s="1"/>
  <c r="R12" i="26"/>
  <c r="Q18" i="26" s="1"/>
  <c r="Q12" i="26"/>
  <c r="R57" i="26" l="1"/>
  <c r="Q31" i="26"/>
  <c r="Q40" i="26"/>
  <c r="Q357" i="25" l="1"/>
  <c r="R356" i="25"/>
  <c r="Q360" i="25" s="1"/>
  <c r="V351" i="25"/>
  <c r="AD349" i="25"/>
  <c r="R349" i="25"/>
  <c r="Q349" i="25" s="1"/>
  <c r="AD338" i="25"/>
  <c r="R338" i="25"/>
  <c r="Q344" i="25" s="1"/>
  <c r="Q338" i="25"/>
  <c r="V336" i="25"/>
  <c r="R328" i="25" s="1"/>
  <c r="Q328" i="25" s="1"/>
  <c r="V335" i="25"/>
  <c r="V329" i="25"/>
  <c r="V328" i="25"/>
  <c r="Q326" i="25"/>
  <c r="R323" i="25"/>
  <c r="Q323" i="25"/>
  <c r="R319" i="25"/>
  <c r="Q319" i="25"/>
  <c r="V314" i="25"/>
  <c r="V309" i="25"/>
  <c r="V308" i="25"/>
  <c r="R302" i="25" s="1"/>
  <c r="V307" i="25"/>
  <c r="V306" i="25"/>
  <c r="V303" i="25"/>
  <c r="V294" i="25"/>
  <c r="R288" i="25" s="1"/>
  <c r="V291" i="25"/>
  <c r="V284" i="25"/>
  <c r="V283" i="25"/>
  <c r="R274" i="25" s="1"/>
  <c r="V282" i="25"/>
  <c r="AC274" i="25"/>
  <c r="AC288" i="25" s="1"/>
  <c r="AC302" i="25" s="1"/>
  <c r="AC319" i="25" s="1"/>
  <c r="AC323" i="25" s="1"/>
  <c r="AC328" i="25" s="1"/>
  <c r="AC338" i="25" s="1"/>
  <c r="AC349" i="25" s="1"/>
  <c r="AC356" i="25" s="1"/>
  <c r="V273" i="25"/>
  <c r="V272" i="25"/>
  <c r="V270" i="25"/>
  <c r="V265" i="25"/>
  <c r="V263" i="25"/>
  <c r="V262" i="25"/>
  <c r="V261" i="25"/>
  <c r="V260" i="25"/>
  <c r="V259" i="25"/>
  <c r="AD258" i="25"/>
  <c r="AD274" i="25" s="1"/>
  <c r="AD288" i="25" s="1"/>
  <c r="AD302" i="25" s="1"/>
  <c r="AC258" i="25"/>
  <c r="V258" i="25"/>
  <c r="R258" i="25" s="1"/>
  <c r="V256" i="25"/>
  <c r="V251" i="25"/>
  <c r="R249" i="25"/>
  <c r="Q256" i="25" s="1"/>
  <c r="Q249" i="25"/>
  <c r="Q233" i="25"/>
  <c r="R217" i="25"/>
  <c r="Q240" i="25" s="1"/>
  <c r="Q217" i="25"/>
  <c r="Q208" i="25"/>
  <c r="Q206" i="25"/>
  <c r="AO201" i="25"/>
  <c r="R201" i="25"/>
  <c r="Q201" i="25" s="1"/>
  <c r="R189" i="25"/>
  <c r="Q189" i="25" s="1"/>
  <c r="R179" i="25"/>
  <c r="Q183" i="25" s="1"/>
  <c r="Q179" i="25"/>
  <c r="V174" i="25"/>
  <c r="V173" i="25"/>
  <c r="R154" i="25" s="1"/>
  <c r="V170" i="25"/>
  <c r="V169" i="25"/>
  <c r="V158" i="25"/>
  <c r="V156" i="25"/>
  <c r="AD154" i="25"/>
  <c r="AD179" i="25" s="1"/>
  <c r="AD189" i="25" s="1"/>
  <c r="AD201" i="25" s="1"/>
  <c r="AC154" i="25"/>
  <c r="AC179" i="25" s="1"/>
  <c r="AC189" i="25" s="1"/>
  <c r="AC201" i="25" s="1"/>
  <c r="V153" i="25"/>
  <c r="V151" i="25"/>
  <c r="V149" i="25"/>
  <c r="V147" i="25"/>
  <c r="V145" i="25"/>
  <c r="V143" i="25"/>
  <c r="V141" i="25"/>
  <c r="V139" i="25"/>
  <c r="V135" i="25"/>
  <c r="V132" i="25"/>
  <c r="R130" i="25" s="1"/>
  <c r="V130" i="25"/>
  <c r="V123" i="25"/>
  <c r="V122" i="25"/>
  <c r="R120" i="25" s="1"/>
  <c r="V121" i="25"/>
  <c r="AN120" i="25"/>
  <c r="V120" i="25"/>
  <c r="Q115" i="25"/>
  <c r="Q111" i="25"/>
  <c r="AE106" i="25"/>
  <c r="R106" i="25"/>
  <c r="Q106" i="25"/>
  <c r="Q100" i="25"/>
  <c r="Q95" i="25"/>
  <c r="AE84" i="25"/>
  <c r="AD84" i="25"/>
  <c r="AD106" i="25" s="1"/>
  <c r="R84" i="25"/>
  <c r="Q84" i="25" s="1"/>
  <c r="V77" i="25"/>
  <c r="V76" i="25"/>
  <c r="V75" i="25"/>
  <c r="V74" i="25"/>
  <c r="V73" i="25"/>
  <c r="V69" i="25"/>
  <c r="V68" i="25"/>
  <c r="R55" i="25" s="1"/>
  <c r="AG55" i="25"/>
  <c r="AD55" i="25"/>
  <c r="AC55" i="25"/>
  <c r="AC84" i="25" s="1"/>
  <c r="AC106" i="25" s="1"/>
  <c r="V53" i="25"/>
  <c r="V51" i="25"/>
  <c r="V50" i="25"/>
  <c r="V48" i="25"/>
  <c r="Q48" i="25" s="1"/>
  <c r="R48" i="25"/>
  <c r="V18" i="25"/>
  <c r="V16" i="25"/>
  <c r="V13" i="25"/>
  <c r="R12" i="25"/>
  <c r="Q32" i="25" s="1"/>
  <c r="Q12" i="25"/>
  <c r="R363" i="25" l="1"/>
  <c r="Q130" i="25"/>
  <c r="Q146" i="25"/>
  <c r="Q55" i="25"/>
  <c r="Q61" i="25"/>
  <c r="Q78" i="25"/>
  <c r="Q66" i="25"/>
  <c r="Q125" i="25"/>
  <c r="Q120" i="25"/>
  <c r="Q280" i="25"/>
  <c r="Q274" i="25"/>
  <c r="Q291" i="25"/>
  <c r="Q288" i="25"/>
  <c r="Q296" i="25"/>
  <c r="Q50" i="25"/>
  <c r="Q195" i="25"/>
  <c r="Q22" i="25"/>
  <c r="Q224" i="25"/>
  <c r="Q342" i="25"/>
  <c r="V363" i="25"/>
  <c r="V122" i="24"/>
  <c r="V121" i="24"/>
  <c r="AN117" i="24"/>
  <c r="R117" i="24"/>
  <c r="Q118" i="24" s="1"/>
  <c r="Q117" i="24"/>
  <c r="AN115" i="24"/>
  <c r="V115" i="24"/>
  <c r="R115" i="24" s="1"/>
  <c r="Q115" i="24" s="1"/>
  <c r="V111" i="24"/>
  <c r="R111" i="24"/>
  <c r="Q111" i="24" s="1"/>
  <c r="R108" i="24"/>
  <c r="Q109" i="24" s="1"/>
  <c r="R102" i="24"/>
  <c r="Q102" i="24" s="1"/>
  <c r="V101" i="24"/>
  <c r="V97" i="24"/>
  <c r="R89" i="24"/>
  <c r="V86" i="24"/>
  <c r="V85" i="24"/>
  <c r="V84" i="24"/>
  <c r="R84" i="24" s="1"/>
  <c r="V82" i="24"/>
  <c r="V80" i="24"/>
  <c r="V78" i="24"/>
  <c r="V77" i="24"/>
  <c r="V76" i="24"/>
  <c r="V74" i="24"/>
  <c r="V73" i="24"/>
  <c r="V71" i="24"/>
  <c r="V70" i="24"/>
  <c r="V69" i="24"/>
  <c r="V68" i="24"/>
  <c r="V67" i="24"/>
  <c r="V62" i="24"/>
  <c r="V61" i="24"/>
  <c r="V60" i="24"/>
  <c r="V58" i="24"/>
  <c r="V57" i="24"/>
  <c r="V55" i="24"/>
  <c r="V54" i="24"/>
  <c r="V46" i="24"/>
  <c r="R44" i="24" s="1"/>
  <c r="V41" i="24"/>
  <c r="V40" i="24"/>
  <c r="V39" i="24"/>
  <c r="V38" i="24"/>
  <c r="V37" i="24"/>
  <c r="V36" i="24"/>
  <c r="V35" i="24"/>
  <c r="V28" i="24"/>
  <c r="R27" i="24" s="1"/>
  <c r="Q33" i="24" s="1"/>
  <c r="V25" i="24"/>
  <c r="V22" i="24"/>
  <c r="V20" i="24"/>
  <c r="V17" i="24"/>
  <c r="V16" i="24"/>
  <c r="V15" i="24"/>
  <c r="V14" i="24"/>
  <c r="V12" i="24"/>
  <c r="AN11" i="24"/>
  <c r="R54" i="24" l="1"/>
  <c r="R37" i="24"/>
  <c r="Q57" i="24"/>
  <c r="Q58" i="24"/>
  <c r="Q84" i="24"/>
  <c r="Q108" i="24"/>
  <c r="Q74" i="24"/>
  <c r="V123" i="24"/>
  <c r="R121" i="24"/>
  <c r="Q121" i="24" s="1"/>
  <c r="Q45" i="24"/>
  <c r="Q49" i="24"/>
  <c r="Q48" i="24"/>
  <c r="Q63" i="24"/>
  <c r="Q71" i="24"/>
  <c r="Q56" i="24"/>
  <c r="Q54" i="24"/>
  <c r="Q67" i="24"/>
  <c r="Q66" i="24"/>
  <c r="Q60" i="24"/>
  <c r="Q29" i="24"/>
  <c r="Q35" i="24"/>
  <c r="R76" i="24"/>
  <c r="Q80" i="24" s="1"/>
  <c r="R95" i="24"/>
  <c r="R11" i="24"/>
  <c r="Q27" i="24"/>
  <c r="Q30" i="24"/>
  <c r="Q32" i="24"/>
  <c r="Q98" i="24" l="1"/>
  <c r="Q95" i="24"/>
  <c r="Q100" i="24"/>
  <c r="Q96" i="24"/>
  <c r="Q78" i="24"/>
  <c r="Q76" i="24"/>
  <c r="Q82" i="24"/>
  <c r="R123" i="24"/>
  <c r="Q15" i="24"/>
  <c r="Q11" i="24"/>
  <c r="Q22" i="24"/>
  <c r="T24" i="23" l="1"/>
  <c r="T22" i="23"/>
  <c r="T20" i="23"/>
  <c r="AL19" i="23"/>
  <c r="AL16" i="23"/>
  <c r="P16" i="23"/>
  <c r="O16" i="23" s="1"/>
  <c r="T15" i="23"/>
  <c r="P12" i="23" s="1"/>
  <c r="T13" i="23"/>
  <c r="AL12" i="23"/>
  <c r="P19" i="23" l="1"/>
  <c r="O19" i="23" s="1"/>
  <c r="T25" i="23"/>
  <c r="P25" i="23"/>
  <c r="O12" i="23"/>
  <c r="V57" i="22"/>
  <c r="V56" i="22"/>
  <c r="V55" i="22"/>
  <c r="V54" i="22"/>
  <c r="AN53" i="22"/>
  <c r="V51" i="22"/>
  <c r="V49" i="22"/>
  <c r="V47" i="22"/>
  <c r="AN46" i="22"/>
  <c r="V46" i="22"/>
  <c r="AN43" i="22"/>
  <c r="R43" i="22"/>
  <c r="Q44" i="22" s="1"/>
  <c r="V40" i="22"/>
  <c r="V39" i="22"/>
  <c r="V38" i="22"/>
  <c r="AN37" i="22"/>
  <c r="R37" i="22"/>
  <c r="Q39" i="22" s="1"/>
  <c r="Q37" i="22"/>
  <c r="V35" i="22"/>
  <c r="V29" i="22"/>
  <c r="AN28" i="22"/>
  <c r="R28" i="22"/>
  <c r="Q34" i="22" s="1"/>
  <c r="V19" i="22"/>
  <c r="R18" i="22" s="1"/>
  <c r="AN18" i="22"/>
  <c r="M18" i="22"/>
  <c r="V14" i="22"/>
  <c r="AN13" i="22"/>
  <c r="R13" i="22"/>
  <c r="Q17" i="22" s="1"/>
  <c r="Q13" i="22"/>
  <c r="R53" i="22" l="1"/>
  <c r="V58" i="22"/>
  <c r="Q28" i="22"/>
  <c r="R46" i="22"/>
  <c r="Q46" i="22" s="1"/>
  <c r="Q40" i="22"/>
  <c r="Q31" i="22"/>
  <c r="Q43" i="22"/>
  <c r="Q24" i="22"/>
  <c r="Q21" i="22"/>
  <c r="Q53" i="22"/>
  <c r="Q33" i="22"/>
  <c r="Q18" i="22"/>
  <c r="R58" i="22" l="1"/>
  <c r="V55" i="21"/>
  <c r="V54" i="21"/>
  <c r="V53" i="21"/>
  <c r="V52" i="21"/>
  <c r="AN50" i="21"/>
  <c r="V50" i="21"/>
  <c r="R50" i="21" s="1"/>
  <c r="V47" i="21"/>
  <c r="R42" i="21" s="1"/>
  <c r="Q42" i="21" s="1"/>
  <c r="V46" i="21"/>
  <c r="V44" i="21"/>
  <c r="AN42" i="21"/>
  <c r="V42" i="21"/>
  <c r="V39" i="21"/>
  <c r="V38" i="21"/>
  <c r="V37" i="21"/>
  <c r="V36" i="21"/>
  <c r="V35" i="21"/>
  <c r="V34" i="21"/>
  <c r="V33" i="21"/>
  <c r="AN32" i="21"/>
  <c r="V32" i="21"/>
  <c r="V30" i="21"/>
  <c r="R28" i="21" s="1"/>
  <c r="AN28" i="21"/>
  <c r="V28" i="21"/>
  <c r="V26" i="21"/>
  <c r="V24" i="21"/>
  <c r="V22" i="21"/>
  <c r="AN15" i="21"/>
  <c r="V15" i="21"/>
  <c r="R15" i="21" s="1"/>
  <c r="V14" i="21"/>
  <c r="V56" i="21" s="1"/>
  <c r="AN12" i="21"/>
  <c r="R32" i="21" l="1"/>
  <c r="Q32" i="21" s="1"/>
  <c r="Q53" i="21"/>
  <c r="Q28" i="21"/>
  <c r="Q23" i="21"/>
  <c r="Q19" i="21"/>
  <c r="Q15" i="21"/>
  <c r="Q50" i="21"/>
  <c r="R12" i="21"/>
  <c r="R56" i="21" l="1"/>
  <c r="Q12" i="21"/>
  <c r="R206" i="20" l="1"/>
  <c r="Q206" i="20"/>
  <c r="AN199" i="20"/>
  <c r="R199" i="20"/>
  <c r="Q199" i="20"/>
  <c r="V191" i="20"/>
  <c r="V190" i="20"/>
  <c r="M190" i="20"/>
  <c r="V189" i="20"/>
  <c r="V183" i="20"/>
  <c r="V182" i="20"/>
  <c r="V181" i="20"/>
  <c r="V180" i="20"/>
  <c r="V177" i="20"/>
  <c r="V175" i="20"/>
  <c r="V173" i="20"/>
  <c r="V171" i="20"/>
  <c r="AN170" i="20"/>
  <c r="V170" i="20"/>
  <c r="V166" i="20"/>
  <c r="V165" i="20"/>
  <c r="AN164" i="20"/>
  <c r="V164" i="20"/>
  <c r="V162" i="20"/>
  <c r="V161" i="20"/>
  <c r="V160" i="20"/>
  <c r="V159" i="20"/>
  <c r="V158" i="20"/>
  <c r="V157" i="20"/>
  <c r="V155" i="20"/>
  <c r="V154" i="20"/>
  <c r="V153" i="20"/>
  <c r="V152" i="20"/>
  <c r="V151" i="20"/>
  <c r="V150" i="20"/>
  <c r="V147" i="20"/>
  <c r="V145" i="20"/>
  <c r="V144" i="20"/>
  <c r="V143" i="20"/>
  <c r="V142" i="20"/>
  <c r="V140" i="20"/>
  <c r="V139" i="20"/>
  <c r="V138" i="20"/>
  <c r="V137" i="20"/>
  <c r="V136" i="20"/>
  <c r="V134" i="20"/>
  <c r="V133" i="20"/>
  <c r="M133" i="20"/>
  <c r="V130" i="20"/>
  <c r="V128" i="20"/>
  <c r="V125" i="20"/>
  <c r="V124" i="20"/>
  <c r="V123" i="20"/>
  <c r="V122" i="20"/>
  <c r="V121" i="20"/>
  <c r="V119" i="20"/>
  <c r="V118" i="20"/>
  <c r="V117" i="20"/>
  <c r="V115" i="20"/>
  <c r="V114" i="20"/>
  <c r="AN113" i="20"/>
  <c r="V113" i="20"/>
  <c r="V110" i="20"/>
  <c r="V109" i="20"/>
  <c r="V107" i="20"/>
  <c r="V105" i="20"/>
  <c r="V104" i="20"/>
  <c r="AN102" i="20"/>
  <c r="V98" i="20"/>
  <c r="V97" i="20"/>
  <c r="V95" i="20"/>
  <c r="V93" i="20"/>
  <c r="V90" i="20"/>
  <c r="V89" i="20"/>
  <c r="V88" i="20"/>
  <c r="V87" i="20"/>
  <c r="V83" i="20"/>
  <c r="V82" i="20"/>
  <c r="V81" i="20"/>
  <c r="V80" i="20"/>
  <c r="V79" i="20"/>
  <c r="V78" i="20"/>
  <c r="V77" i="20"/>
  <c r="V74" i="20"/>
  <c r="V73" i="20"/>
  <c r="V72" i="20"/>
  <c r="AN71" i="20"/>
  <c r="V71" i="20"/>
  <c r="R71" i="20" s="1"/>
  <c r="V67" i="20"/>
  <c r="V66" i="20"/>
  <c r="V65" i="20"/>
  <c r="V64" i="20"/>
  <c r="V63" i="20"/>
  <c r="V62" i="20"/>
  <c r="V61" i="20"/>
  <c r="V60" i="20"/>
  <c r="V59" i="20"/>
  <c r="V57" i="20"/>
  <c r="V55" i="20"/>
  <c r="AN54" i="20"/>
  <c r="V54" i="20"/>
  <c r="V52" i="20"/>
  <c r="V51" i="20"/>
  <c r="V50" i="20"/>
  <c r="V49" i="20"/>
  <c r="V47" i="20"/>
  <c r="V46" i="20"/>
  <c r="V44" i="20"/>
  <c r="V43" i="20"/>
  <c r="V41" i="20"/>
  <c r="V39" i="20"/>
  <c r="V38" i="20"/>
  <c r="V37" i="20"/>
  <c r="V36" i="20"/>
  <c r="V35" i="20"/>
  <c r="V34" i="20"/>
  <c r="V33" i="20"/>
  <c r="V31" i="20"/>
  <c r="V29" i="20"/>
  <c r="V27" i="20"/>
  <c r="V26" i="20"/>
  <c r="V25" i="20"/>
  <c r="V24" i="20"/>
  <c r="V23" i="20"/>
  <c r="V22" i="20"/>
  <c r="V21" i="20"/>
  <c r="V19" i="20"/>
  <c r="V18" i="20"/>
  <c r="R13" i="20" s="1"/>
  <c r="Q15" i="20" s="1"/>
  <c r="V17" i="20"/>
  <c r="V16" i="20"/>
  <c r="M16" i="20"/>
  <c r="V14" i="20"/>
  <c r="AN13" i="20"/>
  <c r="R164" i="20" l="1"/>
  <c r="R113" i="20"/>
  <c r="V211" i="20"/>
  <c r="R102" i="20"/>
  <c r="Q104" i="20" s="1"/>
  <c r="R133" i="20"/>
  <c r="Q135" i="20" s="1"/>
  <c r="R170" i="20"/>
  <c r="Q170" i="20" s="1"/>
  <c r="R54" i="20"/>
  <c r="Q68" i="20" s="1"/>
  <c r="Q109" i="20"/>
  <c r="Q166" i="20"/>
  <c r="Q164" i="20"/>
  <c r="Q94" i="20"/>
  <c r="Q97" i="20"/>
  <c r="Q86" i="20"/>
  <c r="Q71" i="20"/>
  <c r="Q84" i="20"/>
  <c r="Q133" i="20"/>
  <c r="Q113" i="20"/>
  <c r="Q118" i="20"/>
  <c r="Q16" i="20"/>
  <c r="Q50" i="20"/>
  <c r="Q21" i="20"/>
  <c r="R211" i="20"/>
  <c r="Q13" i="20"/>
  <c r="Q151" i="20" l="1"/>
  <c r="Q61" i="20"/>
  <c r="Q148" i="20"/>
  <c r="Q102" i="20"/>
  <c r="Q137" i="20"/>
  <c r="Q54" i="20"/>
  <c r="R18" i="5"/>
  <c r="R19" i="5"/>
  <c r="R20" i="5"/>
  <c r="V58" i="5" l="1"/>
  <c r="V56" i="5"/>
  <c r="V53" i="5"/>
  <c r="V37" i="5" l="1"/>
  <c r="V33" i="5"/>
  <c r="V45" i="5"/>
  <c r="V44" i="5"/>
  <c r="V43" i="5"/>
  <c r="V41" i="5"/>
  <c r="V40" i="5"/>
  <c r="V39" i="5"/>
  <c r="V26" i="5"/>
  <c r="V31" i="5"/>
  <c r="V28" i="5"/>
  <c r="V29" i="5"/>
  <c r="S52" i="10"/>
  <c r="V16" i="5"/>
  <c r="V26" i="2"/>
  <c r="S20" i="16" l="1"/>
  <c r="S133" i="13" l="1"/>
  <c r="S131" i="13"/>
  <c r="V55" i="5" l="1"/>
  <c r="S42" i="10" l="1"/>
  <c r="S41" i="10"/>
  <c r="S36" i="10"/>
  <c r="S35" i="10"/>
  <c r="S49" i="10" l="1"/>
  <c r="S47" i="10"/>
  <c r="V23" i="19" l="1"/>
  <c r="V18" i="19"/>
  <c r="V16" i="2"/>
  <c r="V16" i="19"/>
  <c r="S28" i="13" l="1"/>
  <c r="S27" i="13"/>
  <c r="S24" i="13"/>
  <c r="V25" i="2"/>
  <c r="V23" i="2"/>
  <c r="V64" i="3" l="1"/>
  <c r="V55" i="3"/>
  <c r="V62" i="3" l="1"/>
  <c r="V15" i="14"/>
  <c r="S90" i="13" l="1"/>
  <c r="S80" i="13"/>
  <c r="S79" i="13"/>
  <c r="V65" i="3" l="1"/>
  <c r="V59" i="3"/>
  <c r="S39" i="10" l="1"/>
  <c r="S38" i="10"/>
  <c r="S37" i="10"/>
  <c r="N37" i="10" s="1"/>
  <c r="S39" i="13" l="1"/>
  <c r="S33" i="13"/>
  <c r="S20" i="13"/>
  <c r="S19" i="13"/>
  <c r="S18" i="13"/>
  <c r="S17" i="13"/>
  <c r="S16" i="13"/>
  <c r="S13" i="13"/>
  <c r="S60" i="10" l="1"/>
  <c r="S61" i="10"/>
  <c r="S74" i="10" l="1"/>
  <c r="S71" i="10"/>
  <c r="V20" i="4" l="1"/>
  <c r="V19" i="4"/>
  <c r="V12" i="4"/>
  <c r="V61" i="3" l="1"/>
  <c r="V60" i="3"/>
  <c r="V20" i="19" l="1"/>
  <c r="V22" i="19"/>
  <c r="V21" i="19"/>
  <c r="V19" i="19"/>
  <c r="V21" i="2" l="1"/>
  <c r="V17" i="2"/>
  <c r="S117" i="13" l="1"/>
  <c r="S36" i="13" l="1"/>
  <c r="V15" i="4" l="1"/>
  <c r="V14" i="4"/>
  <c r="V13" i="4"/>
  <c r="R12" i="4" l="1"/>
  <c r="V14" i="14" l="1"/>
  <c r="V12" i="14"/>
  <c r="R12" i="14" l="1"/>
  <c r="Q12" i="14" s="1"/>
  <c r="V16" i="14"/>
  <c r="S50" i="10" l="1"/>
  <c r="S48" i="10"/>
  <c r="S46" i="10"/>
  <c r="S45" i="10"/>
  <c r="V57" i="3" l="1"/>
  <c r="V36" i="5" l="1"/>
  <c r="J52" i="10"/>
  <c r="V17" i="5"/>
  <c r="R16" i="5" s="1"/>
  <c r="Q16" i="5" l="1"/>
  <c r="S23" i="10"/>
  <c r="S66" i="10"/>
  <c r="S65" i="10"/>
  <c r="V30" i="5"/>
  <c r="V52" i="5" l="1"/>
  <c r="V54" i="5"/>
  <c r="S52" i="13"/>
  <c r="S46" i="13"/>
  <c r="S18" i="16"/>
  <c r="S21" i="16"/>
  <c r="O20" i="16" s="1"/>
  <c r="V120" i="3"/>
  <c r="V119" i="3"/>
  <c r="V118" i="3"/>
  <c r="V117" i="3"/>
  <c r="V116" i="3"/>
  <c r="V115" i="3"/>
  <c r="V112" i="3"/>
  <c r="V111" i="3"/>
  <c r="V100" i="3"/>
  <c r="V101" i="3"/>
  <c r="V102" i="3"/>
  <c r="V103" i="3"/>
  <c r="V104" i="3"/>
  <c r="V105" i="3"/>
  <c r="V106" i="3"/>
  <c r="V107" i="3"/>
  <c r="V108" i="3"/>
  <c r="V109" i="3"/>
  <c r="V113" i="3"/>
  <c r="V114" i="3"/>
  <c r="V121" i="3"/>
  <c r="V122" i="3"/>
  <c r="S37" i="13"/>
  <c r="V136" i="3"/>
  <c r="V138" i="3"/>
  <c r="V145" i="3"/>
  <c r="V148" i="3"/>
  <c r="V152" i="3"/>
  <c r="R12" i="1"/>
  <c r="Q12" i="1" s="1"/>
  <c r="O12" i="16"/>
  <c r="O15" i="16"/>
  <c r="O17" i="16"/>
  <c r="V25" i="19"/>
  <c r="R16" i="19"/>
  <c r="R18" i="19"/>
  <c r="Q18" i="19" s="1"/>
  <c r="R23" i="19"/>
  <c r="S92" i="13"/>
  <c r="S88" i="13"/>
  <c r="S81" i="13"/>
  <c r="S134" i="13"/>
  <c r="S126" i="13"/>
  <c r="S127" i="13"/>
  <c r="S132" i="13"/>
  <c r="O54" i="10"/>
  <c r="N54" i="10" s="1"/>
  <c r="V21" i="4"/>
  <c r="R19" i="4" s="1"/>
  <c r="R22" i="4" s="1"/>
  <c r="Q16" i="4"/>
  <c r="Q14" i="4"/>
  <c r="Q12" i="4"/>
  <c r="V12" i="5"/>
  <c r="R12" i="5" s="1"/>
  <c r="Q12" i="5" s="1"/>
  <c r="V71" i="3"/>
  <c r="V92" i="3"/>
  <c r="V90" i="3"/>
  <c r="V88" i="3"/>
  <c r="Q23" i="19"/>
  <c r="O45" i="10"/>
  <c r="N45" i="10" s="1"/>
  <c r="O22" i="10"/>
  <c r="N22" i="10" s="1"/>
  <c r="V63" i="3"/>
  <c r="V58" i="3"/>
  <c r="V99" i="3"/>
  <c r="V98" i="3"/>
  <c r="V97" i="3"/>
  <c r="V95" i="3"/>
  <c r="V57" i="5"/>
  <c r="V50" i="5"/>
  <c r="V20" i="2"/>
  <c r="R16" i="2"/>
  <c r="Q16" i="2" s="1"/>
  <c r="R11" i="3"/>
  <c r="R34" i="3"/>
  <c r="V56" i="3"/>
  <c r="R52" i="3" s="1"/>
  <c r="V68" i="3"/>
  <c r="R68" i="3" s="1"/>
  <c r="V69" i="3"/>
  <c r="V70" i="3"/>
  <c r="V72" i="3"/>
  <c r="V73" i="3"/>
  <c r="V74" i="3"/>
  <c r="V75" i="3"/>
  <c r="V76" i="3"/>
  <c r="V81" i="3"/>
  <c r="V83" i="3"/>
  <c r="V85" i="3"/>
  <c r="V87" i="3"/>
  <c r="V89" i="3"/>
  <c r="V93" i="3"/>
  <c r="V132" i="3"/>
  <c r="R123" i="3" s="1"/>
  <c r="V133" i="3"/>
  <c r="R25" i="5"/>
  <c r="Q32" i="5" s="1"/>
  <c r="R39" i="5"/>
  <c r="R60" i="5"/>
  <c r="V156" i="3"/>
  <c r="S25" i="13"/>
  <c r="S26" i="13"/>
  <c r="S31" i="13"/>
  <c r="S32" i="13"/>
  <c r="S35" i="13"/>
  <c r="O31" i="13" s="1"/>
  <c r="N31" i="13" s="1"/>
  <c r="S41" i="13"/>
  <c r="S42" i="13"/>
  <c r="S59" i="13"/>
  <c r="S62" i="13"/>
  <c r="S63" i="13"/>
  <c r="S65" i="13"/>
  <c r="S66" i="13"/>
  <c r="S74" i="13"/>
  <c r="S114" i="13"/>
  <c r="S115" i="13"/>
  <c r="O114" i="13" s="1"/>
  <c r="N114" i="13" s="1"/>
  <c r="V61" i="5"/>
  <c r="V18" i="2"/>
  <c r="V19" i="2"/>
  <c r="V22" i="2"/>
  <c r="V24" i="2"/>
  <c r="S75" i="10"/>
  <c r="R17" i="2"/>
  <c r="V20" i="1"/>
  <c r="AN60" i="5"/>
  <c r="AN19" i="4"/>
  <c r="AN12" i="4"/>
  <c r="AN135" i="3"/>
  <c r="AN100" i="3"/>
  <c r="AN94" i="3"/>
  <c r="AN84" i="3"/>
  <c r="AN68" i="3"/>
  <c r="AL123" i="3"/>
  <c r="AN123" i="3"/>
  <c r="AN52" i="3"/>
  <c r="AN34" i="3"/>
  <c r="AN11" i="3"/>
  <c r="AN12" i="1"/>
  <c r="AA15" i="16"/>
  <c r="Z15" i="16"/>
  <c r="Y15" i="16"/>
  <c r="X15" i="16"/>
  <c r="W15" i="16"/>
  <c r="V15" i="16"/>
  <c r="AK12" i="16"/>
  <c r="N74" i="10"/>
  <c r="N73" i="10"/>
  <c r="N72" i="10"/>
  <c r="N71" i="10"/>
  <c r="AK70" i="10"/>
  <c r="N70" i="10"/>
  <c r="N66" i="10"/>
  <c r="AK65" i="10"/>
  <c r="N65" i="10"/>
  <c r="N63" i="10"/>
  <c r="N62" i="10"/>
  <c r="N61" i="10"/>
  <c r="AK60" i="10"/>
  <c r="N60" i="10"/>
  <c r="AK57" i="10"/>
  <c r="N57" i="10"/>
  <c r="AK54" i="10"/>
  <c r="N53" i="10"/>
  <c r="AK45" i="10"/>
  <c r="N43" i="10"/>
  <c r="N40" i="10"/>
  <c r="AK35" i="10"/>
  <c r="N35" i="10"/>
  <c r="AK27" i="10"/>
  <c r="O27" i="10"/>
  <c r="N30" i="10" s="1"/>
  <c r="AK22" i="10"/>
  <c r="N20" i="10"/>
  <c r="AK19" i="10"/>
  <c r="N19" i="10"/>
  <c r="N17" i="10"/>
  <c r="N16" i="10"/>
  <c r="N15" i="10"/>
  <c r="N14" i="10"/>
  <c r="AK12" i="10"/>
  <c r="N12" i="10"/>
  <c r="R21" i="2"/>
  <c r="Q21" i="2" s="1"/>
  <c r="R20" i="2"/>
  <c r="Q20" i="2" s="1"/>
  <c r="AK123" i="13"/>
  <c r="AK114" i="13"/>
  <c r="AK109" i="13"/>
  <c r="O109" i="13"/>
  <c r="N109" i="13" s="1"/>
  <c r="AK105" i="13"/>
  <c r="O105" i="13"/>
  <c r="N105" i="13" s="1"/>
  <c r="AK102" i="13"/>
  <c r="O102" i="13"/>
  <c r="N102" i="13" s="1"/>
  <c r="AK99" i="13"/>
  <c r="O99" i="13"/>
  <c r="N99" i="13" s="1"/>
  <c r="AK94" i="13"/>
  <c r="O94" i="13"/>
  <c r="N94" i="13" s="1"/>
  <c r="AK77" i="13"/>
  <c r="O13" i="13"/>
  <c r="N13" i="13" s="1"/>
  <c r="O23" i="13"/>
  <c r="N23" i="13" s="1"/>
  <c r="AK58" i="13"/>
  <c r="AK45" i="13"/>
  <c r="AK23" i="13"/>
  <c r="AK13" i="13"/>
  <c r="AK31" i="13"/>
  <c r="Q20" i="5"/>
  <c r="Q19" i="5"/>
  <c r="Q18" i="5"/>
  <c r="Q60" i="5"/>
  <c r="AN25" i="5"/>
  <c r="Q25" i="5"/>
  <c r="R16" i="14"/>
  <c r="AN12" i="14"/>
  <c r="Q26" i="2"/>
  <c r="S22" i="16" l="1"/>
  <c r="AK15" i="16"/>
  <c r="Q78" i="3"/>
  <c r="Q79" i="3"/>
  <c r="R94" i="3"/>
  <c r="R27" i="2"/>
  <c r="Q22" i="2"/>
  <c r="Q25" i="2"/>
  <c r="Q24" i="2"/>
  <c r="O75" i="10"/>
  <c r="R84" i="3"/>
  <c r="O123" i="13"/>
  <c r="N123" i="13" s="1"/>
  <c r="R100" i="3"/>
  <c r="O18" i="16"/>
  <c r="O22" i="16" s="1"/>
  <c r="N29" i="10"/>
  <c r="Q44" i="5"/>
  <c r="Q59" i="5"/>
  <c r="Q52" i="5"/>
  <c r="V27" i="2"/>
  <c r="O77" i="13"/>
  <c r="N52" i="10"/>
  <c r="S135" i="13"/>
  <c r="N131" i="13"/>
  <c r="N41" i="13"/>
  <c r="O45" i="13"/>
  <c r="N51" i="13" s="1"/>
  <c r="O58" i="13"/>
  <c r="N58" i="13" s="1"/>
  <c r="N28" i="10"/>
  <c r="N31" i="10"/>
  <c r="N27" i="10"/>
  <c r="N51" i="10"/>
  <c r="R20" i="1"/>
  <c r="Q15" i="1"/>
  <c r="Q18" i="1"/>
  <c r="Q56" i="5"/>
  <c r="Q39" i="5"/>
  <c r="Q46" i="5"/>
  <c r="Q58" i="5"/>
  <c r="V22" i="4"/>
  <c r="R25" i="19"/>
  <c r="N133" i="13"/>
  <c r="N130" i="13"/>
  <c r="N25" i="10"/>
  <c r="R61" i="5"/>
  <c r="Q20" i="4"/>
  <c r="Q19" i="4"/>
  <c r="Q68" i="3"/>
  <c r="Q77" i="3"/>
  <c r="R135" i="3"/>
  <c r="Q80" i="3"/>
  <c r="Q17" i="2"/>
  <c r="N38" i="13"/>
  <c r="N17" i="13"/>
  <c r="N45" i="13"/>
  <c r="N17" i="16" l="1"/>
  <c r="N15" i="16"/>
  <c r="N12" i="16"/>
  <c r="N18" i="16"/>
  <c r="N20" i="16"/>
  <c r="O135" i="13"/>
  <c r="N54" i="13"/>
  <c r="Q154" i="3"/>
  <c r="Q144" i="3"/>
  <c r="Q140" i="3"/>
  <c r="Q151" i="3"/>
  <c r="Q142" i="3"/>
  <c r="Q150" i="3"/>
  <c r="Q147" i="3"/>
  <c r="Q137" i="3"/>
  <c r="Q135" i="3"/>
  <c r="R156" i="3"/>
</calcChain>
</file>

<file path=xl/sharedStrings.xml><?xml version="1.0" encoding="utf-8"?>
<sst xmlns="http://schemas.openxmlformats.org/spreadsheetml/2006/main" count="4677" uniqueCount="2571">
  <si>
    <t xml:space="preserve">CODIGO:  </t>
  </si>
  <si>
    <t>F-PLA-06</t>
  </si>
  <si>
    <t xml:space="preserve">VERSIÓN: </t>
  </si>
  <si>
    <t>06</t>
  </si>
  <si>
    <t xml:space="preserve">FECHA: </t>
  </si>
  <si>
    <t>Nov. 22 de 2017</t>
  </si>
  <si>
    <t>PÁGINA:</t>
  </si>
  <si>
    <t xml:space="preserve"> 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</si>
  <si>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</si>
  <si>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</si>
  <si>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</si>
  <si>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</si>
  <si>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</si>
  <si>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</si>
  <si>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</si>
  <si>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</si>
  <si>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</si>
  <si>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</si>
  <si>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</si>
  <si>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</si>
  <si>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</si>
  <si>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</si>
  <si>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</si>
  <si>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</si>
  <si>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</si>
  <si>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</si>
  <si>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</si>
  <si>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</si>
  <si>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</si>
  <si>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</si>
  <si>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</si>
  <si>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</si>
  <si>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</si>
  <si>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</si>
  <si>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</si>
  <si>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</si>
  <si>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</si>
  <si>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</si>
  <si>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</si>
  <si>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</si>
  <si>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</si>
  <si>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</si>
  <si>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</si>
  <si>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</si>
  <si>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</si>
  <si>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</si>
  <si>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</si>
  <si>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</si>
  <si>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</si>
  <si>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BUEN GOBIERNO</t>
  </si>
  <si>
    <t>GESTIÓN TERRITORIAL</t>
  </si>
  <si>
    <t>MODERNIZACIÓN TECNOLOGICA Y ADMINISTRATIVA</t>
  </si>
  <si>
    <t>Virtualizar ocho (8) trámites de la administración departamental a través de Gobierno en Línea</t>
  </si>
  <si>
    <t>Número de trámites virtualizados</t>
  </si>
  <si>
    <t>0304 - 5 - 3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</si>
  <si>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</si>
  <si>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</si>
  <si>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</si>
  <si>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</si>
  <si>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</si>
  <si>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 xml:space="preserve">20
</t>
  </si>
  <si>
    <t>Recurso Ordinario</t>
  </si>
  <si>
    <t>SECRETARIA ADMINISTRATIVA
DIRECCIÓN DE TIC´S</t>
  </si>
  <si>
    <t>Formular e  implementar un (1) programa de seguridad y salud en el trabajo, capacitación y bienestar social en  el departamento</t>
  </si>
  <si>
    <t>Programa de seguridad y salud formulado e implementado</t>
  </si>
  <si>
    <t>0304 - 5 - 3 1 5 28 89 17 2 - 20</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</si>
  <si>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</si>
  <si>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</si>
  <si>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</si>
  <si>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</si>
  <si>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</si>
  <si>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Secretaría Administrativa
Dirección Talento Humano</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</si>
  <si>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</si>
  <si>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</si>
  <si>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Formular e implementar 1 plan institucional de capacitación para los funcionarios de la entidad en  la vigencia 2018</t>
  </si>
  <si>
    <t>Desarrollo y ejecución de capacitaciones de conformidad con el plan institucional de capacitaciones aprobado</t>
  </si>
  <si>
    <t xml:space="preserve">Fortalecer el programa de sostenibilidad de las  Tecnologias de la Información de las Comunicaciones de la Gobernación del Quindio </t>
  </si>
  <si>
    <t>Programa de sostenibilidad de las TIC fortalecido</t>
  </si>
  <si>
    <t>0304 - 5 - 3 1 5 28 89 17 4 - 20</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</si>
  <si>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</si>
  <si>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</si>
  <si>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</si>
  <si>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</si>
  <si>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</si>
  <si>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Secretaría Administrativa
Dirección  TIC´S</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</si>
  <si>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</si>
  <si>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</si>
  <si>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</si>
  <si>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</si>
  <si>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</si>
  <si>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</si>
  <si>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</si>
  <si>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Secretaría Administrativa
Dirección  FTP</t>
  </si>
  <si>
    <t>Implementar un programa de actualización y registro de los bienes de propiedad del departamento</t>
  </si>
  <si>
    <t>Programa de actualización y registro implementado</t>
  </si>
  <si>
    <t xml:space="preserve">0304 - 5 - 3 1 5 28 89 17 5 - 20 </t>
  </si>
  <si>
    <t>Administrar, depurar y registrar la totalidad de los bienes  de propiedad de la Gobernación del Departamento del Quindío con información real  y pertinente</t>
  </si>
  <si>
    <t>Implementar procedimientos correspondiente  a las bodegas a cargo de la dirección de almacén</t>
  </si>
  <si>
    <t xml:space="preserve">Recurso Ordinario </t>
  </si>
  <si>
    <t>Secretaría Administrativa
Dirección Recursos Físicos
Dirección Almacén</t>
  </si>
  <si>
    <t>Realizar avalúos a los bienes inmuebles a cargo de la entidad</t>
  </si>
  <si>
    <t xml:space="preserve">Realizar un (1) estudio de modernización administrativa en el departamento </t>
  </si>
  <si>
    <t>Estudio de modernización administrativa realizado</t>
  </si>
  <si>
    <t>0304 - 5 - 3 1 5 28 89 17 5 - 46</t>
  </si>
  <si>
    <t>Realizar estudio que permita conformar una planta de cargos de acuerdo a las necesidades del servicio de la entidad</t>
  </si>
  <si>
    <t>Implementar un (1) programa de modernización de la gestión documental en el departamento</t>
  </si>
  <si>
    <t>Programa de modernización implementado</t>
  </si>
  <si>
    <t>Cumplir las directrices definidas por la Ley General de Archivo</t>
  </si>
  <si>
    <t>Ejecutar las actividades establecidas en el Plan Institucional de Archivos PINAR</t>
  </si>
  <si>
    <t>Adquirir  un (1) bien inmueble para adelantar acciones de cara al servicio de la comunidad</t>
  </si>
  <si>
    <t>Bien inmueble adquirido</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</si>
  <si>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</si>
  <si>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 de adquisición de un bien inmueble</t>
  </si>
  <si>
    <t xml:space="preserve">Recurso del Crédito </t>
  </si>
  <si>
    <t>Secretaría Administrativa
Dirección Recursos Físicos</t>
  </si>
  <si>
    <t>TOTAL :</t>
  </si>
  <si>
    <t>CATALINA GÓMEZ RESTREPO</t>
  </si>
  <si>
    <t>Secretaria Administrativa</t>
  </si>
  <si>
    <t xml:space="preserve">F-PLA-06   </t>
  </si>
  <si>
    <t>O6</t>
  </si>
  <si>
    <t xml:space="preserve">                                                               </t>
  </si>
  <si>
    <t>Adolescencia
 (15 - 19 años)</t>
  </si>
  <si>
    <t>Edad Económicamente Activa
(20-59 años)</t>
  </si>
  <si>
    <t>Adultos Mayores (Mayores a 60 años)</t>
  </si>
  <si>
    <t>GESTIÓN TERRIITORIAL</t>
  </si>
  <si>
    <t>Implementar 4 procesos de fiscalización de las Rentas Departamentales</t>
  </si>
  <si>
    <t>Procesos de fiscalización implementados</t>
  </si>
  <si>
    <t>0307 - 5 - 3 1 5 28 88 17 16 - 20
0307 - 5 - 3 1 5 28 88 17 16 - 56
0307 - 5 - 3 1 5 28 88 17 16 - 88</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</si>
  <si>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</si>
  <si>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</si>
  <si>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</si>
  <si>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</si>
  <si>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</si>
  <si>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</si>
  <si>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 xml:space="preserve"> Secretaría de Hacienda</t>
  </si>
  <si>
    <t>Superavit Ordinario</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</si>
  <si>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</si>
  <si>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</si>
  <si>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</si>
  <si>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</si>
  <si>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Ejecutar el programa anti contrabando suscrito con la Federación Nacional de Departamentos.                               </t>
  </si>
  <si>
    <t>Programa anticontrabando ejecutado</t>
  </si>
  <si>
    <t>Ejecutar el Programa Anticontrabando en el Departamento del Quindìo con ocasion de la suscripcion del Convenio entre el Departamento del Quindìo y la Federaciòn Nacional de Departamentos</t>
  </si>
  <si>
    <t xml:space="preserve">Programa Anticontrabando de licores, Cerveza y Cigarrillos.
</t>
  </si>
  <si>
    <t>Convenio Anticontrabando</t>
  </si>
  <si>
    <t>Elaborar el diagnóstico del sistema de Información tributario y financiero</t>
  </si>
  <si>
    <t>Diagnostico del sistema de información tributario y financiero elaborado</t>
  </si>
  <si>
    <t xml:space="preserve">0307 - 5 - 3 1 5 28 88 17 17 - 20
0307 - 5 - 3 1 5 28 88 17 17 - 88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</si>
  <si>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</si>
  <si>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</si>
  <si>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</si>
  <si>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</si>
  <si>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</si>
  <si>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 xml:space="preserve">Recurso Ordinario
</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</si>
  <si>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</si>
  <si>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</si>
  <si>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</si>
  <si>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 xml:space="preserve">Adoptar el nuevo modelo de informaciòn Financiera determinado por las Normas Internacionales de Contabilidad de información financiera NIIF, a fin de garantizar la confiabilidad de la información financiera.
</t>
  </si>
  <si>
    <t xml:space="preserve"> Implementaciòn de Normas Internacionales de Informaciòn Financiera (NIIF) y fortalecimiento institucional ara el cumplimiento de de las politicas y practicas contables en el área de tesorería, Presupuesto y Contabilidad</t>
  </si>
  <si>
    <t>                         </t>
  </si>
  <si>
    <t xml:space="preserve">LUZ HELENA MEJIA  CARDONA </t>
  </si>
  <si>
    <t>Secretaria de Hacienda Y Finanzas Públicas</t>
  </si>
  <si>
    <t>01 de 1</t>
  </si>
  <si>
    <t>No.</t>
  </si>
  <si>
    <t>Edad Económicamente Activa      (20-59 años)</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</si>
  <si>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</si>
  <si>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</si>
  <si>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</si>
  <si>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</si>
  <si>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</si>
  <si>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1803 - 5 - 3 1 3 11 35 2 132 - 61
1803 - 5 - 3 1 3 11 35 2 132 - 98</t>
  </si>
  <si>
    <t>201663000-0132</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</si>
  <si>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</si>
  <si>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</si>
  <si>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</si>
  <si>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</si>
  <si>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 (61)
Superávit SGP Salud Pública (98)</t>
  </si>
  <si>
    <t>N/A</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</si>
  <si>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</si>
  <si>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</si>
  <si>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Actualización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</si>
  <si>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</si>
  <si>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</si>
  <si>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Implementar sistema de informacion que permita programar y priorizar las accciones de Inspeccion, Vigilancia y Control con enfoque de reisgo en alimentos y bebidas.</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</si>
  <si>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</si>
  <si>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</si>
  <si>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</si>
  <si>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</si>
  <si>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</si>
  <si>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</si>
  <si>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</si>
  <si>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</si>
  <si>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</si>
  <si>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Fortalecer la  atencion nutricional en poblaciones indigenas del departamento.</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</si>
  <si>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</si>
  <si>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</si>
  <si>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</si>
  <si>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</si>
  <si>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</si>
  <si>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</si>
  <si>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</si>
  <si>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</si>
  <si>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</si>
  <si>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</si>
  <si>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
1803 - 5 - 3 1 3 12 36 2 133 - 98</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</si>
  <si>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</si>
  <si>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</si>
  <si>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</si>
  <si>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</si>
  <si>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</si>
  <si>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Fondo Local de Salud - SGP  (61)
Superavit SGP Salud Pública (98)</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</si>
  <si>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</si>
  <si>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</si>
  <si>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</si>
  <si>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</si>
  <si>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</si>
  <si>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Sexualidad, derechos sexuales y reproductivos</t>
  </si>
  <si>
    <t>Lograr que ocho (8) municipios del departamento operen el sistema de vigilancia en salud pública de la violencia intrafamiliar.</t>
  </si>
  <si>
    <t>1803 - 5 - 3 1 3 12 37 2 134 - 61
1803 - 5 - 3 1 3 12 37 2 134 - 98</t>
  </si>
  <si>
    <t>201663000-0134</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</si>
  <si>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</si>
  <si>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</si>
  <si>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</si>
  <si>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Desarrollar acciones de fortalecimiento de capacidades del talento humano protección y justicia en la estrategia de abordaje integral de las violencias de género y violencias sexuales y normatividad vigente. </t>
  </si>
  <si>
    <t>Fondo Local de Salud - SGP (61)
Superávit  Fondo Local de Salud - SGP (98)</t>
  </si>
  <si>
    <t>Realizar asistencia técnica y evaluación a la gestión del riesgo en salud de las EAPB y ESE en el abordaje integral de las violencias de género y violencias sexuales.</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</si>
  <si>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</si>
  <si>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</si>
  <si>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de fortalecimiento de capacidades del talento humano, en la estrategia de acceso universal a la prevención y atención integral en IT-VIH/SIDA.</t>
  </si>
  <si>
    <t>Realizar asistencia técnica y evaluación a la gestión del riesgo en salud de las EAPB, ESE y Programas regulares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</si>
  <si>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</si>
  <si>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</si>
  <si>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</si>
  <si>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</si>
  <si>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</si>
  <si>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</si>
  <si>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</si>
  <si>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</si>
  <si>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</si>
  <si>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</si>
  <si>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</si>
  <si>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</si>
  <si>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</si>
  <si>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</si>
  <si>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</si>
  <si>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</si>
  <si>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acciones de fortalecimiento de capacidades del talento humano, en la Estrategia Nacional de Servicios de Salud Amigables para Adolescentes y Jóvenes, rutas de atención diferenciada, redes sociales, comunitarias y veedurías juveniles.</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</si>
  <si>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</si>
  <si>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y realizar seguimiento al plan de acción del comité departamental de sexualidad, derechos sexuales y reproductivos. (Resolución 533 del 02 junio del 2015)</t>
  </si>
  <si>
    <t>Realizar asistencia técnica y evaluación a las 12 Secretarias de salud municipales en la Dimensión de sexualidad, derechos sexuales y reproductivos.</t>
  </si>
  <si>
    <t>Desarrollar y realizar seguimiento al  Plan de acción del subcomité departamental de promoción y prevención de las ITS-VIH/SIDA (Resolución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</si>
  <si>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</si>
  <si>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</si>
  <si>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1803 - 5 - 3 1 3 12 38 2 135 - 98</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</si>
  <si>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</si>
  <si>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</si>
  <si>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</si>
  <si>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</si>
  <si>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</si>
  <si>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</si>
  <si>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</si>
  <si>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</si>
  <si>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</si>
  <si>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</si>
  <si>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</si>
  <si>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</si>
  <si>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</si>
  <si>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</si>
  <si>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</si>
  <si>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</si>
  <si>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</si>
  <si>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</si>
  <si>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</si>
  <si>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</si>
  <si>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</si>
  <si>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</si>
  <si>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</si>
  <si>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</si>
  <si>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</si>
  <si>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</si>
  <si>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</si>
  <si>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</si>
  <si>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</si>
  <si>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
1803 - 5 - 3 1 3 12 39 2 138 - 96</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</si>
  <si>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</si>
  <si>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</si>
  <si>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</si>
  <si>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</si>
  <si>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</si>
  <si>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Fondo Local de Salud - SGP</t>
  </si>
  <si>
    <t>Asistir en la implementación de actividades para la promoción de modos, condiciones y estilos de vida saludable, relacionadas con las enfermedades no transmisibles en el entorno escolar y realizar el respectivo seguimiento.</t>
  </si>
  <si>
    <t>Superavit SGP Salud Publica</t>
  </si>
  <si>
    <t>Brindar asistencia técnica y evaluar en 20 instituciones educativas la implementación de  la estrategia Tiendas escolares Saludables de 11 municipios de competencia departamental y hacer el respectivo seguimiento.</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</si>
  <si>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</si>
  <si>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</si>
  <si>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</si>
  <si>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</si>
  <si>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</si>
  <si>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</si>
  <si>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</si>
  <si>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</si>
  <si>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</si>
  <si>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</si>
  <si>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</si>
  <si>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</si>
  <si>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</si>
  <si>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</si>
  <si>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
0318 - 5 - 3 1 3 12 40 2 139 - 20
1803 - 5 - 3 1 3 12 40 2 139 - 161</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</si>
  <si>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</si>
  <si>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</si>
  <si>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</si>
  <si>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</si>
  <si>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</si>
  <si>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Fondo Local de Salud - SGP (61)</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</si>
  <si>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</si>
  <si>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</si>
  <si>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</si>
  <si>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</si>
  <si>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</si>
  <si>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</si>
  <si>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 xml:space="preserve">Recurso Ordinario (20)
</t>
  </si>
  <si>
    <t>Realizar asistencia técnica a los municipios para asegurar el correcto almacenamiento, conservación y transporte de vacunas, bajo los estándares de calidad de la cadena de frio.</t>
  </si>
  <si>
    <t xml:space="preserve">Recurso Ordinario (20)_x000D_
</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</si>
  <si>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</si>
  <si>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</si>
  <si>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</si>
  <si>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1803 - 5 - 3 1 3 12 40 2 141 - 111
1803 - 5 - 3 1 3 12 40 2 141 - 61
1803 - 5 - 3 1 3 12 40 2 141 - 20
1803 - 5 - 3 1 3 12 40 2 141 - 107
1803 - 5 - 3 1 3 12 40 2 141 - 147</t>
  </si>
  <si>
    <t>201663000-0141</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</si>
  <si>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</si>
  <si>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</si>
  <si>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</si>
  <si>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</si>
  <si>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Res. 781/15 Prev. y control enfermedades por Vect</t>
  </si>
  <si>
    <t>Superavit Res. 781/15 Prev. y control enfermedades por Vect</t>
  </si>
  <si>
    <t>Superavit Res. 2311/2017 MSPS -Vectores </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</si>
  <si>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</si>
  <si>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</si>
  <si>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</si>
  <si>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</si>
  <si>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</si>
  <si>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</si>
  <si>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</si>
  <si>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</si>
  <si>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</si>
  <si>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</si>
  <si>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</si>
  <si>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</si>
  <si>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</si>
  <si>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</si>
  <si>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</si>
  <si>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</si>
  <si>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y seguimiento al programa de tuberculosis y lepra dirigida a: Planes Locales de Salud, Ips publicas y Privadas, EAPB, laboratorios adscritos a la red publica y privada de los 12 municipios del departamento.</t>
  </si>
  <si>
    <t>APORTES NACION TUBERCULOSIS </t>
  </si>
  <si>
    <t>Aportes Nacion lepra </t>
  </si>
  <si>
    <t>Realizar capacitaciones al personal asistencial de las IPS en el programa de tuberculosis y lepra en el departamento.</t>
  </si>
  <si>
    <t>APORTES NACION TUBERCULOSIS</t>
  </si>
  <si>
    <t>Superavit SGP SAlud Pública</t>
  </si>
  <si>
    <t>1803 - 5 - 3 1 3 12 40 2 142 - 113</t>
  </si>
  <si>
    <t>Realizar el análisis e intervención a los casos especiales de farmacorresistencia del programa de tuberculosis. " CERCET" Comite Evaluador  Regional de Casos Especiales de Tuberculosis.</t>
  </si>
  <si>
    <t>1803 - 5 - 3 1 3 12 40 2 142 - 114</t>
  </si>
  <si>
    <t>Acompañar la vigilancia de cumplimiento a guías, lineamientos y protocolos  en tuberculosis y lepra</t>
  </si>
  <si>
    <t>APORTES NACION TUBERCULOSIS (113)</t>
  </si>
  <si>
    <t>Aportes Nacion lepra</t>
  </si>
  <si>
    <t>1803 - 5 - 3 1 3 12 40 2 142 - 61</t>
  </si>
  <si>
    <t>Coordinar acciones para la gestión intersectorial</t>
  </si>
  <si>
    <t>Realizar mesas técnicas para la gestión del compromiso político, en la protección social y sistemas de apoyo de pacientes con tuberculosis y lepra.</t>
  </si>
  <si>
    <t>1803 - 5 - 3 1 3 12 40 2 142 - 98</t>
  </si>
  <si>
    <t>hacer seguimiento a la implementacion y ejecucion de  los nuevos planes estratégicos de tuberculosis y lepra en los 12 municipios.</t>
  </si>
  <si>
    <t>Realizar campañas de prevención y atención integral en afectados por tuberculosis</t>
  </si>
  <si>
    <t>realizar capacitaciónes dirigida a personas líderes,   para ser formadas como agentes comunitarios TB/VIH,</t>
  </si>
  <si>
    <t>Gestión de la prestación de los servicios en prevención y atención integral centrada en los afectados por tuberculosis y lepra. (rondas medicas, visita a pacientes).</t>
  </si>
  <si>
    <t>Realizar actividades de promoción y prevención implementadas para la comunidad y grupos focalizados en tuberculosis y lepra en los 12 municipios del departamento. ( rondas medicas, busqueda de sintomaticos respiratorios y de piel, movilizaciones, talleres, sensibilizaciones , etc)</t>
  </si>
  <si>
    <t>Salud publica en emergencias y desastres</t>
  </si>
  <si>
    <t>Realizar catorce (14) simulacros de atención a emergencias en la Red Pública Hospitalaria</t>
  </si>
  <si>
    <t>1803 - 5 - 3 1 3 12 41 2 143 - 61
1803 - 5 - 3 1 3 12 41 2 143 - 98</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</si>
  <si>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</si>
  <si>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</si>
  <si>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</si>
  <si>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</si>
  <si>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</si>
  <si>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SGP Salud Pública</t>
  </si>
  <si>
    <t>Superavit SGP Salud Pública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</si>
  <si>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</si>
  <si>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</si>
  <si>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</si>
  <si>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</si>
  <si>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</si>
  <si>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</si>
  <si>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</si>
  <si>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</si>
  <si>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</si>
  <si>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</si>
  <si>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t>
  </si>
  <si>
    <t>201663000-0145</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</si>
  <si>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</si>
  <si>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</si>
  <si>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</si>
  <si>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</si>
  <si>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</si>
  <si>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</si>
  <si>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</si>
  <si>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</si>
  <si>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</si>
  <si>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</si>
  <si>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</si>
  <si>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</si>
  <si>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</si>
  <si>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</si>
  <si>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</si>
  <si>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</si>
  <si>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</si>
  <si>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</si>
  <si>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</si>
  <si>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</si>
  <si>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</si>
  <si>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</si>
  <si>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</si>
  <si>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</si>
  <si>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Superávit  - SGP Salud Pública</t>
  </si>
  <si>
    <t>Realizar seguimiento al proceso de gestion del riesgo indicvidual frente a las acciones de proteccion especifica y deteccion temprana desde el reporte del anexo tecnico de la resolucion 4505 de 2012 y el cumplimiento de la resolucion 3280 de 2018</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</si>
  <si>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</si>
  <si>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</si>
  <si>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</si>
  <si>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</si>
  <si>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Consolidar y desarrollar  el sistema de inspección vigilancia y control (SIVC)  en 150 establecimientos farmacéuticos del departamento. </t>
  </si>
  <si>
    <t>0318 - 5 - 3 1 3 12 43 2 146 - 20</t>
  </si>
  <si>
    <t>Realizar inspección  vigilancia y control para verificar las condiciones técnicas, higiénico sanitarias locativas y de calidad a los establecimientos farmacéuticos en los 12 municipios del departamento del Quindío.</t>
  </si>
  <si>
    <t>Fondo de EStupefacientes</t>
  </si>
  <si>
    <t xml:space="preserve">Suministrar medicamentos de control especial- monopolio del estado a los establecimientos farmacéuticos autorizados. </t>
  </si>
  <si>
    <t>0318 - 5 - 3 1 3 12 43 2 146 - 98</t>
  </si>
  <si>
    <t>Superávit Fondo de EStupefacientes</t>
  </si>
  <si>
    <t>0318 - 5 - 3 1 3 12 43 2 146 - 99</t>
  </si>
  <si>
    <t>Adquisición de mobiliario, equipos tecnológicos, de telecomunicación y computo del Fondo Rotatorio de Estupefacientes</t>
  </si>
  <si>
    <t>1803 - 5 - 3 1 3 12 43 2 146 - 63</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</si>
  <si>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</si>
  <si>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</si>
  <si>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</si>
  <si>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</si>
  <si>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</si>
  <si>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</si>
  <si>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 xml:space="preserve">
1803 - 5 - 3 1 3 12 44 2 148 - 61
1803 - 5 - 3 1 3 12 44 2 148 - 98
</t>
  </si>
  <si>
    <t>201663000-0148</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</si>
  <si>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</si>
  <si>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</si>
  <si>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</si>
  <si>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infantil, reflejado  en el planteamiento y desarrollo de estrategias para promover  el cuidado y afecto familiar en el departamento del Quindío.</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</si>
  <si>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</si>
  <si>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</si>
  <si>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</si>
  <si>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</si>
  <si>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</si>
  <si>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Superávit SGP Salud Pública</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</si>
  <si>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</si>
  <si>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</si>
  <si>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</si>
  <si>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</si>
  <si>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Asistencia al  Programa de Atención Psicosocial y Salud Integral a Víctimas PAPSIVI en los municipios objeto de atencion</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</si>
  <si>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</si>
  <si>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</si>
  <si>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</si>
  <si>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Realizar capacitaciones en deberes y derechos en salud a la ´poblacion Victima con enfoque diferencial.</t>
  </si>
  <si>
    <t>Apoyar el establecimiento  y coordinación  de  redes integradas  de servicios de información en  salud (acceso del sector salud a VIVANTO).</t>
  </si>
  <si>
    <t>Fortalecimiento de  la estrategia AIEPI en los 12 municipios del Departamento</t>
  </si>
  <si>
    <t>Consolidar los programas de atención a la primera infancia</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</si>
  <si>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</si>
  <si>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</si>
  <si>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</si>
  <si>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</si>
  <si>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</si>
  <si>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</si>
  <si>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Fortalecer en los doce (12) municipios del departamento los  comités municipales de discapacidad</t>
  </si>
  <si>
    <t>Fortalecer atención integral a poblaciones vulnerables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</si>
  <si>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</si>
  <si>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</si>
  <si>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</si>
  <si>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jornadas de capacitación en normatividad vigente en torno a la población con discapacidad.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</si>
  <si>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</si>
  <si>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</si>
  <si>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</si>
  <si>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</si>
  <si>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</si>
  <si>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</si>
  <si>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 xml:space="preserve">1803 - 5 - 3 1 3 12 45 2 150 - 61
1803 - 5 - 3 1 3 12 45 2 150 - 98_x000D_
</t>
  </si>
  <si>
    <t>201663000-0150</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</si>
  <si>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</si>
  <si>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</si>
  <si>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</si>
  <si>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</si>
  <si>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</si>
  <si>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</si>
  <si>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</si>
  <si>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</si>
  <si>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</si>
  <si>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</si>
  <si>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</si>
  <si>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</si>
  <si>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
0318 - 5 - 3 1 3 12 46 2 151 - 20
1803 - 5 - 3 1 3 12 46 2 151 - 96
0318 - 5 - 3 1 3 12 46 2 151 - 88
0318 - 5 - 3 1 3 12 46 2 151 - 98</t>
  </si>
  <si>
    <t>201663000-0151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</si>
  <si>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</si>
  <si>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</si>
  <si>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</si>
  <si>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</si>
  <si>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 xml:space="preserve">Fondo Local de Salud - SGP (61)
</t>
  </si>
  <si>
    <t>Superávit Recurso Ordinario</t>
  </si>
  <si>
    <t>Recurso ordinario (20)_x000D_
_x000D_ </t>
  </si>
  <si>
    <t>Compra de equipos de laboratorio</t>
  </si>
  <si>
    <t>SuperaviT rENTAS CEDIDAS</t>
  </si>
  <si>
    <t xml:space="preserve">Optimizar los procesos contractuales desde el LSP y  la DTS
</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</si>
  <si>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</si>
  <si>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</si>
  <si>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Realizar evaluacion externa indirecta de citologias de cuello uterino a los laboratorios de la red</t>
  </si>
  <si>
    <t>Ejecutar el sistema de gestion de calidad y aseguramiento de metrologia en el laboratorio de salud publica.</t>
  </si>
  <si>
    <t>Superávit Rentas Cedidas (96)</t>
  </si>
  <si>
    <t>Adecuar infraestructura que de cumplimiento para el buen  funcionamiento del LSP</t>
  </si>
  <si>
    <t xml:space="preserve">Realizar el mantenimiento preventivo y correctivo de los equipos de laboratorio.  </t>
  </si>
  <si>
    <t>Realizar la gestión y el pago de licencias requeridas para la construcción del nuevo laboratorrio de salud publica</t>
  </si>
  <si>
    <t>crear diez (10) y fortalecer noventa (90) Comités de Vigilancia 
Epidemiológica  Comunitaria 
(COVECOM) municipales.</t>
  </si>
  <si>
    <t>1803 - 5 - 3 1 3 12 46 2 152 - 61
1803 - 5 - 3 1 3 12 46 2 152 - 98</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</si>
  <si>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</si>
  <si>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</si>
  <si>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</si>
  <si>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</si>
  <si>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</si>
  <si>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</si>
  <si>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</si>
  <si>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</si>
  <si>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</si>
  <si>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</si>
  <si>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</si>
  <si>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</si>
  <si>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</si>
  <si>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</si>
  <si>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</si>
  <si>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</si>
  <si>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</si>
  <si>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</si>
  <si>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0318 - 5 - 3 1 3 13 47 2 153 - 20</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</si>
  <si>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</si>
  <si>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</si>
  <si>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</si>
  <si>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</si>
  <si>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</si>
  <si>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Recurso Oridnario</t>
  </si>
  <si>
    <t>Orientar e inducir a la poblacion no sisbenizada atendida por las IPS, en ferias de afiliaciones y busquedas activas para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</si>
  <si>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</si>
  <si>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</si>
  <si>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2 153 - 154</t>
  </si>
  <si>
    <t xml:space="preserve"> Gestionar  recursos para cofinanciación de la afialicon  mpo y lugares de afiliación
</t>
  </si>
  <si>
    <t>Gestión de recursos para cofinanciación de la afiliación a los municipios y lugares de afiliación</t>
  </si>
  <si>
    <t>ADRES S.S.F.
REC. TRANSFERIDOS COLJUEGOS -SSF</t>
  </si>
  <si>
    <t>RENDIMIENTOS FINANCIEROS - ADRES S.S.F.</t>
  </si>
  <si>
    <t>Superávit Decreto 1684/2017 Ingreso Adicional Cigarrillo</t>
  </si>
  <si>
    <t>ley 1393</t>
  </si>
  <si>
    <t>Asistencia técnica  a los actores del sistema en el proceso de aseguramiento de la población</t>
  </si>
  <si>
    <t>Brindar asistencia técnica a 12 Municipios del departamento,  en los procesos del régimen subsidiado</t>
  </si>
  <si>
    <t>0318 - 5 - 3 1 3 13 49 2 153 - 20
1804 - 5 - 3 1 3 13 49 2 153 - 96</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</si>
  <si>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</si>
  <si>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</si>
  <si>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Superávit Rentas Cedidas</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</si>
  <si>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</si>
  <si>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</si>
  <si>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</si>
  <si>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</si>
  <si>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 xml:space="preserve">1802 - 5 - 3 1 3 14 50 2 154 - 60
1802 - 5 - 3 1 3 14 50 2 154 - 110
1802 - 5 - 3 1 3 14 50 2 154 - 58
1802 - 5 - 3 1 3 14 50 2 154 - 59 
1804 - 5 - 3 1 3 14 50 2 154 - 162
1802 - 5 - 3 1 3 14 50 2 154 - 96
1802 - 5 - 3 1 3 14 50 2 154 - 97
1802 - 5 - 3 1 3 14 50 2 154 - 65
1802 - 5 - 3 1 3 14 50 2 154 - 156
1802 - 5 - 3 1 3 14 50 2 154 - 102
1802 - 5 - 3 1 3 14 50 2 154 - 148
1802 - 5 - 3 1 3 14 50 2 154 - 152_x000D_
_x000D_
 _x000D_
_x000D_
_x000D_
_x000D_
_x000D_
</t>
  </si>
  <si>
    <t>201663000-0154</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</si>
  <si>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</si>
  <si>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</si>
  <si>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</si>
  <si>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a los procesos de inspección, vigilancia y control en el acceso de los afiliados  a la red de servicios de salud.</t>
  </si>
  <si>
    <t>Mantener la contratación con la red pública y privada (15)  para la atención de la población no afiliada.</t>
  </si>
  <si>
    <t xml:space="preserve">Fortalecer la contratación para la atención de la población no afiliada </t>
  </si>
  <si>
    <t xml:space="preserve">Fortalecer la contratacion para la atencion de la poblacion pobre no asegurada y los servicios no incluidos en el Plan de beneficios de la poblacion afiliada a la regimen subsidiado. </t>
  </si>
  <si>
    <t>Resoluciones  971/2016, 5864/2018, 493/2019, MINISTERIOVCPROGRAMA INIMPUTABLES</t>
  </si>
  <si>
    <t>RENTAS CEDIDAS - SALUD</t>
  </si>
  <si>
    <t>RENDIMIENTOS FINANCIEROS - RENTAS CEDIDAS - SALUD</t>
  </si>
  <si>
    <t>SGP SALUD PRESTACIÓN SERVICIOS C S F</t>
  </si>
  <si>
    <t>SGP SALUD APORTES PATRONALES SS  F</t>
  </si>
  <si>
    <t>SUPERÁVIT RENTAS CEDIDAS</t>
  </si>
  <si>
    <t>SUPERAVIT SALUD PRESTACIÓN DE SERVICIOS SGP</t>
  </si>
  <si>
    <t>SUPERÁVIT REND. FROS COFINANCIACION NAL</t>
  </si>
  <si>
    <t>SUPERAVIT RESOL. 997/2018 PROG. INIMPUTABLES</t>
  </si>
  <si>
    <t>SUPERAVIT COFINANCIACIÓN NAL RES. 3876/12 DESPLAZADOS</t>
  </si>
  <si>
    <t>SUPERAVIT DEC. 1684/2017 INGRESO ADICIONAL CIGARRILLO</t>
  </si>
  <si>
    <t>SUPERAVIT EXCEDENTES APROTES PATRONALES  ESE DEPTO</t>
  </si>
  <si>
    <t>SUPERAVIT RESOL. VIGENCIAS ANTERIORES</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</si>
  <si>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</si>
  <si>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</si>
  <si>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</si>
  <si>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Realizar sesiones del  cosejo territoriales de salud para obtener aval de proyectos de infraestructura y dotacion hospitalaria.</t>
  </si>
  <si>
    <t>Fortalecimiento de la  gestión de la entidad territorial municipal</t>
  </si>
  <si>
    <t>Realizar asistencia Técnica  en los 12 municipios, en la capacidad de gestión en salud</t>
  </si>
  <si>
    <t>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</si>
  <si>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</si>
  <si>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</si>
  <si>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</si>
  <si>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</si>
  <si>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 xml:space="preserve">verificar el cumplimiento de oportunidad en el reporte de informacion financiera mediante la circular unica </t>
  </si>
  <si>
    <t>Capacitar en los procesos de gestion tecnica en salud.</t>
  </si>
  <si>
    <t>realizar procesos de verificación a los 12 municipios y sus respectivas E.S.E del departamento en los reportes de gestión financiera.</t>
  </si>
  <si>
    <t>realizar apoyo y seguimiento en la gestion financiera a los fondos locales de salud y al procesos de aportes patronales de las ESE del departamento.</t>
  </si>
  <si>
    <t>Garantizar red de servicios en eventos de emergencias</t>
  </si>
  <si>
    <t xml:space="preserve">Ajustar los 14 planes de emergencia de las instituciones prestadoras de salud de todo el Departamento.  </t>
  </si>
  <si>
    <t>0318 - 5 - 3 1 3 14 52 2 156 - 20</t>
  </si>
  <si>
    <t>201663000-0156</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</si>
  <si>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</si>
  <si>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</si>
  <si>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</si>
  <si>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</si>
  <si>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</si>
  <si>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</si>
  <si>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Ajustar un (1) Plan de Emergencias en Salud Departamental.</t>
  </si>
  <si>
    <t xml:space="preserve">Articular  la red hospitalaria del Departamento
</t>
  </si>
  <si>
    <t>Desarrollar el plan de emergencias de salud departamental</t>
  </si>
  <si>
    <t xml:space="preserve">Realizar mantenimiento de los equipos de telecomunicación </t>
  </si>
  <si>
    <t>Atender en los 12 municipios  del departamento, los eventos de emergencia y urgencias, y el sistema de referencia y contra referencia  de la población  no afiliada.</t>
  </si>
  <si>
    <t>1802 - 5 - 3 1 3 14 52 2 157 - 20
1804 - 5 - 3 1 3 14 52 2 157 - 96
0318 - 5 - 3 1 3 14 52 2 157 - 88</t>
  </si>
  <si>
    <t>201663000-0157</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</si>
  <si>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</si>
  <si>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</si>
  <si>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</si>
  <si>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</si>
  <si>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SUPERAVIT RENTAS CEDIDAS</t>
  </si>
  <si>
    <t>Realizar asistencia técnica a los prestadores de servicios de salud.</t>
  </si>
  <si>
    <t>Mantenimiento y adquisición de equipos de tecnología, equipos de computo  y telecomunicaciones y mobiliario para el funcionamiento del CRUE.</t>
  </si>
  <si>
    <t xml:space="preserve">Superavit ordinario </t>
  </si>
  <si>
    <t>Garantizar continuidad del funcionamiento del CRUE - SEM</t>
  </si>
  <si>
    <t xml:space="preserve">Capacitar a la comunidad y primer respondiente acorde con los riesgos identificados en el territorio durante el mes.   </t>
  </si>
  <si>
    <t>Reporte de información en tiempo real sobre la capacidad resolutiva del servicio en salud.</t>
  </si>
  <si>
    <t>Estandarizar e implementar  los formatos de reporte entre los actores involucrados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</si>
  <si>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</si>
  <si>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</si>
  <si>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
1804 - 5 - 3 1 3 14 53 2 158 - 96</t>
  </si>
  <si>
    <t>201663000-0158</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</si>
  <si>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</si>
  <si>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</si>
  <si>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</si>
  <si>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</si>
  <si>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</si>
  <si>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</si>
  <si>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Asegurar la totalidad de los estandares establecidos en el sistema de habilitacion 
</t>
  </si>
  <si>
    <t xml:space="preserve">Realizar un plan de asistencia técnica para el seguimiento y monitoreo del PAMEC en la IPS y EAPBS públicas del Departamento. </t>
  </si>
  <si>
    <t xml:space="preserve">Garantizar eficiencia en el establecimiento de los indicadores de seguimiento a riesgo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</si>
  <si>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</si>
  <si>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</si>
  <si>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Realizar capacitación del recurso humano de las ESES, IPS y EPS Tema del PAMEC, indicadores de calidad y circular 012 de 2016</t>
  </si>
  <si>
    <t>Realizar visitas de verificación de los requisitos de habilitación a 150 prestadores de servicios de salud.</t>
  </si>
  <si>
    <t>Cumplimiento de los prestadores de salud en los requisitos de habilitación</t>
  </si>
  <si>
    <t>Verificación de los requisitos de habilitación</t>
  </si>
  <si>
    <t>Fortalecimiento financiero de la red de servicios publica</t>
  </si>
  <si>
    <t>Evaluar semestralmente los indicadores de monitoreo del sistema de catorce (14) ESE´s del nivel I, II y III</t>
  </si>
  <si>
    <t>0318 - 5 - 3 1 3 14 54 2 159 - 20
0318 - 5 - 3 1 3 14 54 2 159 - 88</t>
  </si>
  <si>
    <t>201663000-0159</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</si>
  <si>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</si>
  <si>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</si>
  <si>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</si>
  <si>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</si>
  <si>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realizar gestion de cartera deacuerdo con lo estipulado en la circular conjunta 030 del 2013</t>
  </si>
  <si>
    <t xml:space="preserve">Dar apoyo a las ESE del departamento para garantizar la continuidad en la prestacion de servicios de slaud </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</si>
  <si>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</si>
  <si>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</si>
  <si>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</si>
  <si>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</si>
  <si>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</si>
  <si>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</si>
  <si>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</si>
  <si>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</si>
  <si>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</si>
  <si>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</si>
  <si>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</si>
  <si>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</si>
  <si>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apoyar y gestionar  3 procesos administrativos y misionales por parte de la Dirección estratégica.</t>
  </si>
  <si>
    <t>Fortaleza en la planificacion, seguimiento y evaluacion de objetivos de S.D.S</t>
  </si>
  <si>
    <t>Realizar actividades de planeacion para la S.D.S aplicando los lineamientos normativos vigentes</t>
  </si>
  <si>
    <t>Rentas cedidas subcuenta otros gastos en salud</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</si>
  <si>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</si>
  <si>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</si>
  <si>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</si>
  <si>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</si>
  <si>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</si>
  <si>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</si>
  <si>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</si>
  <si>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</si>
  <si>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Cesar Augusto Rincón Zuluaga</t>
  </si>
  <si>
    <t>Secretario de Salud</t>
  </si>
  <si>
    <t>DESARROLLO SOSTENIBLE</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</si>
  <si>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</si>
  <si>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</si>
  <si>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</si>
  <si>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</si>
  <si>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
0308 - 5 - 3 1 1 1 2 3 22 - 27
0308 - 5 - 3 1 1 1 2 3 22 - 82
0308 - 5 - 3 1 1 1 2 3 22 - 90</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</si>
  <si>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</si>
  <si>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</si>
  <si>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</si>
  <si>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</si>
  <si>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</si>
  <si>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04</t>
  </si>
  <si>
    <t xml:space="preserve">Estampilla Prodesarrollo </t>
  </si>
  <si>
    <t>JUAN ANTONIO OSORIO ALVAREZ
SECRETARIO DE AGUAS E INFRAESTRUCTURA</t>
  </si>
  <si>
    <t>SGP Agua Potable y Saneamineto Básico</t>
  </si>
  <si>
    <t>Formular proyectos para ejecutar diferentes proyectos con el fin de brindar un buen servicio de Agua potable y Saneamiento basico.</t>
  </si>
  <si>
    <t>82</t>
  </si>
  <si>
    <t>Superávit Estampilla Prodesarrollo (82)</t>
  </si>
  <si>
    <t>Superávit SGP Agua Potable y Saneamineto Básico (90)</t>
  </si>
  <si>
    <t>0308 - 5 - 3 1 1 1 2 3 23 - 27
0308 - 5 - 3 1 1 1 2 3 23 - 88</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</si>
  <si>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</si>
  <si>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</si>
  <si>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</si>
  <si>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</si>
  <si>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Construcción y/o mantenimiento y/o optimizacion de obras de  Agua Potable y/o Saneamiento Básico en el Departamento del Quindío</t>
  </si>
  <si>
    <t>Formular,priorizar, viabilizar y ejecutar proyectos de infraestructura de Agua Potable y Saneamiento Basico</t>
  </si>
  <si>
    <t>Superavit Ordinario (88)</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</si>
  <si>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</si>
  <si>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</si>
  <si>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</si>
  <si>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</si>
  <si>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</si>
  <si>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</si>
  <si>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</si>
  <si>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</si>
  <si>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</si>
  <si>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</si>
  <si>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</si>
  <si>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</si>
  <si>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</si>
  <si>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</si>
  <si>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</si>
  <si>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</si>
  <si>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</si>
  <si>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</si>
  <si>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</si>
  <si>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</si>
  <si>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</si>
  <si>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</si>
  <si>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</si>
  <si>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</si>
  <si>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</si>
  <si>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</si>
  <si>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 xml:space="preserve">2. </t>
  </si>
  <si>
    <t xml:space="preserve">PROSPERIDAD CON EQUIDAD </t>
  </si>
  <si>
    <t xml:space="preserve">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</si>
  <si>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</si>
  <si>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</si>
  <si>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</si>
  <si>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</si>
  <si>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</si>
  <si>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</si>
  <si>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0308 - 5 - 3 1 2 4 14 9 19 - 88</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</si>
  <si>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</si>
  <si>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</si>
  <si>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</si>
  <si>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</si>
  <si>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Insumos para operación y mantenimiento preventivo y correctivo de la maquinaria amarilla</t>
  </si>
  <si>
    <t xml:space="preserve">SOBRETASA AL ACPM (23)
</t>
  </si>
  <si>
    <t>RECURSO DEL CREDITO (46)</t>
  </si>
  <si>
    <t>Asistencia profesional y tecnica para el mejoramiento vial del Departamento del Quindio.</t>
  </si>
  <si>
    <t>0308 - 5 - 3 1 2 4 14 9 19 - 23</t>
  </si>
  <si>
    <t>Mantener, mejorar y/o rehabilitar la Infraestructura Vial del Departamento del Quindio</t>
  </si>
  <si>
    <t>Superávit Recursos del Crédito (157)</t>
  </si>
  <si>
    <t>0308 - 5 - 3 1 2 4 14 9 19 - 46</t>
  </si>
  <si>
    <t>Asistencia externa para el control y seguimiento de la correcta ejecucion de los contratos de Infraestructura Vial.</t>
  </si>
  <si>
    <t>Apoyar la atención de emergencias viales en los doce (12) Municipios del Departamento del Quindío.</t>
  </si>
  <si>
    <t>Numero de municipios con emergencias viales apoyados</t>
  </si>
  <si>
    <t>Atención oportuna y eficiente de las emergencias viales en el departamento del Quindìo.</t>
  </si>
  <si>
    <t>Transporte, materiales y equipos.</t>
  </si>
  <si>
    <t xml:space="preserve">SOBRETASA AL ACPM (23)-
</t>
  </si>
  <si>
    <t>0308 - 5 - 3 1 2 4 14 9 19 - 157</t>
  </si>
  <si>
    <t>RECURSOS DEL CREDITO (46)</t>
  </si>
  <si>
    <t>Recurso humano necesarios para la atencion de emergencias viales</t>
  </si>
  <si>
    <t xml:space="preserve">SUPERÁVIT SOBRETASA AL ACPM (89)
</t>
  </si>
  <si>
    <t>0308 - 5 - 3 1 2 4 14 9 19 - 89</t>
  </si>
  <si>
    <t>Obra Fisica requerida para la atencion de emergencias viales</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</si>
  <si>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</si>
  <si>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</si>
  <si>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</si>
  <si>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</si>
  <si>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 2 4 15 15 21 - 04
0308 - 5 - 3 1 2 4 15 15 21 - 46
0308 - 5 - 3 1 2 4 15 15 21 - 20
0308 - 5 - 3 1 2 4 15 1 21 - 04
0308 - 5 - 3 1 2 4 15 1 21 - 82
0308 - 5 - 3 1 2 4 15 7 21 - 46
0308 - 5 - 3 1 2 4 15 15 2 - 56
0308 - 5 - 3 1 2 4 15 15 21 - 82</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</si>
  <si>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</si>
  <si>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</si>
  <si>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</si>
  <si>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</si>
  <si>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1.1 Transporte, elementos, materiales, equipos e insumos infraestructura educativa</t>
  </si>
  <si>
    <t>ESTAMPILLA PRO - DESARROLLO (04)</t>
  </si>
  <si>
    <t>1.2 Asistencia profesional- tecnica y mano de obra Infraestructura educativa</t>
  </si>
  <si>
    <t>1.3 Mantener, mejorar y/o rehabilitar la Infraestructura educativa del Departamento del Quindio.</t>
  </si>
  <si>
    <t>SUPERÁVIT ESTAMPILLA PRO - DESARROLLO (82)</t>
  </si>
  <si>
    <t>1.4 Asistencia externa para el control y seguimiento de la correcta ejecucion de los contratos en Infraestructura educativa</t>
  </si>
  <si>
    <t>Apoyar la construcción, mejoramiento y/o rehabilitación de cuatro (4) obras de infraestructura de salud del departamento del Quindío</t>
  </si>
  <si>
    <t>Numero de instituciones de salud mejoradas y/o apoyadas</t>
  </si>
  <si>
    <t>2.1 Obra Fisica Infraestructura de Salud</t>
  </si>
  <si>
    <t>2.2 Asistencia externa para el control y seguimiento de la correcta ejecucion de los contratos en Infraestructura de Salud</t>
  </si>
  <si>
    <t>Apoyar la construcción, mejoramiento y/o  rehabilitación de la infraestructura de doce (12) escenarios deportivos y/o recreativos en el departamento del Quindío</t>
  </si>
  <si>
    <t>Número de escenarios deportivo o recreativo  apoyado</t>
  </si>
  <si>
    <t>3.1 Transporte, elementos, materiales, equipos e insumos Infraestructura deportiva</t>
  </si>
  <si>
    <t xml:space="preserve">ESTAMPILLA PRO - DESARROLLO (04)
</t>
  </si>
  <si>
    <t>3.2 Asistencia profesional - tecnica y mano de obra de Infraestructura deportiva</t>
  </si>
  <si>
    <t>3.3 Mantener, mejorar y/o rehabilitar la Infraestructura deportiva del Departamento del Quindio.</t>
  </si>
  <si>
    <t>3.4 Asistencia externa para el control y seguimiento de la correcta ejecucion de los contratos en infraestructura deportiva</t>
  </si>
  <si>
    <t>Apoyar la construcción, el mantenimiento, el mejoramiento y/o la rehabilitación de la infraestructura de doce (12) equipamientos públicos y colectivos del Departamento del Quindío.</t>
  </si>
  <si>
    <t>Número de  equipamientos públcos  y colectivos rehabilitados</t>
  </si>
  <si>
    <t>4.1 Transporte, elementos, materiales, equipos e insumos Infraestructura Equipamientos publicos y colectivos</t>
  </si>
  <si>
    <t xml:space="preserve">RECURSO ORDINARIO (20)
</t>
  </si>
  <si>
    <t>4.2 Construir, mantener, mejorar y/o rehabilitar la infraestructura Social del Departamento del Quindio</t>
  </si>
  <si>
    <t>4.3 Asistencia profesional tecnica y mano de obra infraestructura de equipamientos publicos y colectivos</t>
  </si>
  <si>
    <t xml:space="preserve">RECURSO ORDINARIO (20)_x000D_
</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</si>
  <si>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</si>
  <si>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</si>
  <si>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5.1 Construir, mantener, mejorar y/o rehabilitar la Infraestructura Institucional o de edificios publicos del Departamento del Quindio.</t>
  </si>
  <si>
    <t>5.2 Asistencia externa para el control y seguimiento de la correcta ejecucion de los contratos en Infraestructura Institucional o de edificios publicos en el departamento del Quindio.</t>
  </si>
  <si>
    <t>Apoyar la construcción y  el mejoramiento de mil (1000) viviendas urbana y rural priorizada en el departamento del Quindío.</t>
  </si>
  <si>
    <t>Número de viviendas apoyadas</t>
  </si>
  <si>
    <t>6.1 Mejoramiento de vivienda</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</si>
  <si>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</si>
  <si>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</si>
  <si>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 xml:space="preserve">7.1 Evento Socializacion ejercicio participativo </t>
  </si>
  <si>
    <t>RECURSO ORDINARIO (20)</t>
  </si>
  <si>
    <t>31/09/2017</t>
  </si>
  <si>
    <t>0308 - 5 - 3 1 2 4 15 15 2 - 56</t>
  </si>
  <si>
    <t>2018003630- 002</t>
  </si>
  <si>
    <t xml:space="preserve">Contrucción Cancha Sintetica y Adecuación del Polideportivo en el Sector el Naranjal, Quimbaya Quindio </t>
  </si>
  <si>
    <t>Incrementar los niveles de práctica deportiva</t>
  </si>
  <si>
    <t>Aumentar los espacios para la prácticas deportivas</t>
  </si>
  <si>
    <t>Construcion Cancha Sintetica y Adecuacion del Polideportivo en el Sector de Naranjal, Quimbaya Quindio</t>
  </si>
  <si>
    <t>RECURSOS NACIONALES</t>
  </si>
  <si>
    <t>TOTAL:</t>
  </si>
  <si>
    <t>Juan Antonio Osorio Alvarez</t>
  </si>
  <si>
    <t xml:space="preserve">Secretario de Aguas e Infraestructura </t>
  </si>
  <si>
    <t>Departamento del Quindio</t>
  </si>
  <si>
    <t xml:space="preserve">Proyecto y elaboro: </t>
  </si>
  <si>
    <t xml:space="preserve"> Carlos Enrique Penagos Mejia, Apoyo Financiero PAP- PDA SAID</t>
  </si>
  <si>
    <t xml:space="preserve">  </t>
  </si>
  <si>
    <t>Dalila Oyola Moreno, Apoyo Financiero PAP-PDA SAID</t>
  </si>
  <si>
    <t>Ana Milena Rincon B, Apoyo Financiero Direccion Vial - Social SAID</t>
  </si>
  <si>
    <t>META FISICA</t>
  </si>
  <si>
    <t>PRESUPUESTADO</t>
  </si>
  <si>
    <t>P</t>
  </si>
  <si>
    <t>PROSPERIDAD CON EQUIDAD</t>
  </si>
  <si>
    <t>Quindío rural, inteligente, competitivo y empresarial</t>
  </si>
  <si>
    <t>Quindío Prospero y productivo</t>
  </si>
  <si>
    <t xml:space="preserve">Crear (1) y fortalecer (3) rutas competitivas </t>
  </si>
  <si>
    <t>Ruta competitiva creada y rutas fortalecidas</t>
  </si>
  <si>
    <t>0311 - 5 - 3 1 2 2 8 13 51 - 20
0311 - 5 - 3 1 2 2 8 13 51 - 88</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</si>
  <si>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</si>
  <si>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</si>
  <si>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</si>
  <si>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</si>
  <si>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Fortalecimiento de la competitividad del Departamento del Quindio y los sectores econòmicos priorizados.</t>
  </si>
  <si>
    <t>Ordinario</t>
  </si>
  <si>
    <t>Secretario de Turismo Industria y Comercio</t>
  </si>
  <si>
    <t xml:space="preserve">Superavit Recurso Ordinario </t>
  </si>
  <si>
    <t>Fortalecimiento de las rutas Kaldia, Tumbaga y Artemis.</t>
  </si>
  <si>
    <t>Conformar e implementar (3) tres clúster priorizados en el Plan de Competitividad</t>
  </si>
  <si>
    <t>Clúster conformados e implementados</t>
  </si>
  <si>
    <t>Brindar apoyo y seguimiento a los planes de acciòn de los clùsters, y fortalecer sus estrategias de crecimiento y promociòn comercial para la apertura de nuevos mercados</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</si>
  <si>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</si>
  <si>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</si>
  <si>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</si>
  <si>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</si>
  <si>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</si>
  <si>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</si>
  <si>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Fortalecer un Centro de Investigaciòn, Tecnologìa, Ciencia e innovaciòn a travès del apoyo en la investigaciòn aplicada al PCC.</t>
  </si>
  <si>
    <t>0311 - 5 - 3 1 2 2 8 13 52 - 20</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</si>
  <si>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</si>
  <si>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</si>
  <si>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</si>
  <si>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Fortalecimiento al Plan de Acciòn la Red de conocimiento de Agronegocios </t>
  </si>
  <si>
    <t>0311 - 5 - 3 1 2 2 8 13 52 - 88</t>
  </si>
  <si>
    <t xml:space="preserve">Diseñar y fortalecer un proyecto de I+D+I </t>
  </si>
  <si>
    <t>Proyecto de I+D+I diseñado y fortalecido</t>
  </si>
  <si>
    <t>Apoyo y acompañamiento tècnico a los procesos para la aprobaciòn de un proyecto en materia de I+D+I</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</si>
  <si>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</si>
  <si>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</si>
  <si>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</si>
  <si>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</si>
  <si>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</si>
  <si>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</si>
  <si>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</si>
  <si>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</si>
  <si>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</si>
  <si>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</si>
  <si>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</si>
  <si>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</si>
  <si>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</si>
  <si>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0311 - 5 - 3 1 2 2 9 13 53 - 20
</t>
  </si>
  <si>
    <t xml:space="preserve">Apoyar estrategias de promoción de productos de emprendedores y empresarios quindianos en la temporada de fin de año </t>
  </si>
  <si>
    <t>Apoyar   doce (12) Unidades de emprendimiento de grupos poblacionales con enfoque diferencial.</t>
  </si>
  <si>
    <t xml:space="preserve">0311 - 5 - 3 1 2 2 9 13 53 - 88
</t>
  </si>
  <si>
    <t>Apoyar tres unidades de emprendimiento de poblaciòn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</si>
  <si>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</si>
  <si>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</si>
  <si>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</si>
  <si>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</si>
  <si>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</si>
  <si>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</si>
  <si>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</si>
  <si>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</si>
  <si>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</si>
  <si>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</si>
  <si>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de empresas en sus procesos de apertura de mercados</t>
  </si>
  <si>
    <t>Constituir e implementar una agencia de inversión empresarial</t>
  </si>
  <si>
    <t>Agencia de inversión constituida e implementada</t>
  </si>
  <si>
    <t>Fortalecimiento de mecanismos de inversión y de herramientas tecnológicas de servicios logisticos en el sector empresarial para su
conexión a mercados global</t>
  </si>
  <si>
    <t>Fortalecimiento de la Agencia de Inversión Empresarial y seguimiento  a su Plan de Acción.</t>
  </si>
  <si>
    <t>Diseñar la  plataforma de servicios logísticos nacionales e internacionales tendiente a lograr del departamento un centro de articulación de occidente</t>
  </si>
  <si>
    <t>Plataforma de servicios logísticos diseñada</t>
  </si>
  <si>
    <t>Operaciòn y seguimiento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</si>
  <si>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</si>
  <si>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</si>
  <si>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</si>
  <si>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</si>
  <si>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</si>
  <si>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</si>
  <si>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</si>
  <si>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</si>
  <si>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</si>
  <si>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</si>
  <si>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</si>
  <si>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</si>
  <si>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</si>
  <si>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</si>
  <si>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</si>
  <si>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</si>
  <si>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</si>
  <si>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</si>
  <si>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</si>
  <si>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</si>
  <si>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</si>
  <si>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Apoyo al mejoramiento de la infraestructura turística.</t>
  </si>
  <si>
    <t>0311 - 5 - 3 1 2 3 12 13 60 - 20</t>
  </si>
  <si>
    <t>Ejecución del Plan Decenal de Turismo.</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</si>
  <si>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</si>
  <si>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</si>
  <si>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</si>
  <si>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</si>
  <si>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</si>
  <si>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</si>
  <si>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</si>
  <si>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</si>
  <si>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</si>
  <si>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</si>
  <si>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</si>
  <si>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</si>
  <si>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Impuesto al Registro</t>
  </si>
  <si>
    <t xml:space="preserve">Superavit Ordinario </t>
  </si>
  <si>
    <t>IR/TURISMO</t>
  </si>
  <si>
    <t>Ejecución del Plan de Mercadeo para la  Promoción del departamento como destino turística nivel internacional.</t>
  </si>
  <si>
    <t>TOTALES</t>
  </si>
  <si>
    <t xml:space="preserve">NATALIA ANDREA RODRIGUEZ LONDOÑO </t>
  </si>
  <si>
    <t>SECRETARIA DE TURISMO,INDUSTRIA Y COMERCIO</t>
  </si>
  <si>
    <t>Palenqueras</t>
  </si>
  <si>
    <t>Quindío Transparente y Legal</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</si>
  <si>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</si>
  <si>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</si>
  <si>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</si>
  <si>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</si>
  <si>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</si>
  <si>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</si>
  <si>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</si>
  <si>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</si>
  <si>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 de Transparencia Departamento del Quindio </t>
  </si>
  <si>
    <t>Recursos Ordinarios.</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</si>
  <si>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</si>
  <si>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</si>
  <si>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</si>
  <si>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</si>
  <si>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</si>
  <si>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</si>
  <si>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c) SERVICIOS, PROCEDIMIENTOS Y FUNCIONAMIENTO DEL SUJETO OBLIGADO .(Artículo  11° Ley 1712 de 2014 ) : )  Servicios que se presten, trámites, procedimientos -Sistema Único de Información de Trámites y Procedimientos Administrativos (SUIT),El contenido de toda decisión y/o política ,  informes de gestión, evaluación,mecanismo interno y externo de supervisión , procedimientos, lineamientos, políticas en materia de adquisiciones y compras,mecanismo de presentación directa de solicitudes, quejas y reclamos, mecanismo o procedimiento por medio del cual el público pueda participar en la formulación de la política, registro de publicaciones que contenga los documentos publicados , datos abiertos</t>
  </si>
  <si>
    <t>a)  Todas las categorías de información del sujeto obligado</t>
  </si>
  <si>
    <t>b) Todo registro publicado.</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</si>
  <si>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</si>
  <si>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</si>
  <si>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</si>
  <si>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</si>
  <si>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</si>
  <si>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</si>
  <si>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</si>
  <si>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</si>
  <si>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informe de todas las solicitudes, denuncias y los tiempos de respuesta del sujeto obligado (Número de solicitudes recibidas,Número de solicitudes que fueron trasladadas a otra institución,Tiempo de respuesta a cada solicitud y Número de solicitudes en las que se negó el acceso a la información.</t>
  </si>
  <si>
    <t>a) Publicación  gratuidad y costos de reproducción. En concordancia con lo establecido en los artículos 3o  y 26 de la Ley 1712/14, en la gestión y respuesta a las solicitudes de acceso a la información pública.</t>
  </si>
  <si>
    <t>Asistencia Implementación  LEY 1712 DE 2012 ( SECTOR CENTRAL Y SECTOR DESCENTRALIZADO (PROMOTORA DE VIVIENDA, INDEPORTES. IDTQ)</t>
  </si>
  <si>
    <t>SEGUIMIENTO Y EVALUACIÓN ENTES ETERRITORIALES MUNICIPALES:  Información mínima que debe esta publicada  (  estructura del sujeto obligado, publicidad de la contratación, servicios, procedimientos y funcionamiento del sujeto obligado),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</si>
  <si>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 xml:space="preserve">SOCIALIZACION   ENTES TERRITORIALES </t>
  </si>
  <si>
    <t xml:space="preserve">Fotocopias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</si>
  <si>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</si>
  <si>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</si>
  <si>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</si>
  <si>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
0305 - 5 - 3 1 5 26 84 17 15 - 88</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</si>
  <si>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</si>
  <si>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</si>
  <si>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</si>
  <si>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</si>
  <si>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 2018</t>
  </si>
  <si>
    <t>Estrategia de Desarrollo Sostenible 2019</t>
  </si>
  <si>
    <t>Estrategia de Prosperidad con Equidad 2018</t>
  </si>
  <si>
    <t>Estrategia de Prosperidad con Equidad 2019</t>
  </si>
  <si>
    <t>Estrategia de Inclusion Social 2018</t>
  </si>
  <si>
    <t>Estrategia de Inclusion Social 2019</t>
  </si>
  <si>
    <t>Estrategia de Seguridad Humana 2018</t>
  </si>
  <si>
    <t>Estrategia de Seguridad Humana 2019</t>
  </si>
  <si>
    <t>Estrategia de Buen Gobierno 2018</t>
  </si>
  <si>
    <t>Estrategia de Buen Gobierno 2019</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</si>
  <si>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</si>
  <si>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2018</t>
  </si>
  <si>
    <t>Diseño y edición periódico ejecutorias Administración  Departamental 2019</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</si>
  <si>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</si>
  <si>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Sonido 2018</t>
  </si>
  <si>
    <t>Sonido 2019</t>
  </si>
  <si>
    <t>Refrigerios 2018</t>
  </si>
  <si>
    <t>Refrigerios 2019</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</si>
  <si>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</si>
  <si>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</si>
  <si>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</si>
  <si>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</si>
  <si>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</si>
  <si>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</si>
  <si>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</si>
  <si>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</si>
  <si>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</si>
  <si>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</si>
  <si>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r>
      <t>1.2. XIII Encuentro CTP, traslados de ida y vuelta desde su lugar de origen Plaza de Bolívar del Municipio de Armenia hasta el Municipio sede "</t>
    </r>
    <r>
      <rPr>
        <b/>
        <sz val="11"/>
        <rFont val="Arial"/>
        <family val="2"/>
      </rPr>
      <t>Quimbaya/Córdoba(/Génova</t>
    </r>
    <r>
      <rPr>
        <sz val="1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</si>
  <si>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1.3.XXIII Congreso del Sistema Nacional de Planeación, traslado de ida y vuelta en transporte aéreo en las rutas nacionales: de Armenia  hacia la ciudad "sede"; adicional traslados internos, en los días que sean acordados por el contratante. cinco (5) días, Octubre o Noviembre de 2019 - suministro de alimentación en la ciudad sede Desayuno, Almuerzo y Cena, sede del XXIII Congreso Nacional de Planeación, cinco (5) días,Octubre O Noviembre /2098 - servicio de alojamiento en la ciudad sede del XXIII Congreso Nal de Planeación, acomodación en habitaciones dobles, cinco (5) días, Octubre y/o Noviembre /2019 para 19 personas.</t>
  </si>
  <si>
    <t>1.4. Asistencia de los Consejeros a foros regionales de participación ciudadana y estratégicos,convocatorias de la RAP Eje Cafetero, del Sistema Departamental y Regional de Planeación, igualmente particpar en las convocatorias a las reuniones de la Comisión Técnica del Sistema Regional y Nacional de Planeación, incluye:  Traslados aereos,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</si>
  <si>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</si>
  <si>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</si>
  <si>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3.2 Actualización pagina web y redes consejo territorial</t>
  </si>
  <si>
    <t>3.3. Suministro de material litografico, papeleria, impresos y publicaciones, entre otros</t>
  </si>
  <si>
    <t>3.4 Dotación imagen institucional CTPD</t>
  </si>
  <si>
    <t>5.1 Camara fotografica incluido el tripode</t>
  </si>
  <si>
    <t>5.2 Grabadora de mano</t>
  </si>
  <si>
    <t>5.3 Adquisición de equipos</t>
  </si>
  <si>
    <t>6.1 Toner (tinta impresora)</t>
  </si>
  <si>
    <t xml:space="preserve">Aumentar los  espacios para capacitación orientados en planificación del territorio Quindiano a través de diplomado o Escuela de liderazgo en ordenamiento territorial en el Departamento del Quindio, durante la vigencia 2018. 
</t>
  </si>
  <si>
    <t>4.1. Realización cacitaciones/Diplomados/Seminarios/ para los Consejeros Territoriales del Departamento</t>
  </si>
  <si>
    <t>4.2. Diseñar y elaborar el contenido programatico de la  y Planeación participativa</t>
  </si>
  <si>
    <t>Gestión Territorial</t>
  </si>
  <si>
    <t xml:space="preserve">Los instrumentos  de planificación como  ruta para el cumplimiento de la gestión pública  </t>
  </si>
  <si>
    <t>Diseñar e implementar el Plan de Ordenamiento del Departamento del Quindio.</t>
  </si>
  <si>
    <t>Plan diseñado e implementado</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</si>
  <si>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</si>
  <si>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</si>
  <si>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</si>
  <si>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</si>
  <si>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Consolidacion de la Informacion del DNP para la implementacion del POD</t>
  </si>
  <si>
    <t xml:space="preserve">20
</t>
  </si>
  <si>
    <t>Recursos Ordinarios</t>
  </si>
  <si>
    <t>Actualizacion de las directrices del MOD para aplicar en el diseño del POD</t>
  </si>
  <si>
    <t>Formulación y consolidación de las directrices y  lineamientos de ordenamiento territorial para el departamento del Quindio, en la implementación del POD.</t>
  </si>
  <si>
    <t xml:space="preserve">Superavit Recursos Ordinarios
</t>
  </si>
  <si>
    <t>socializacion del POD en los Municipios del Departamento</t>
  </si>
  <si>
    <t>Transporte</t>
  </si>
  <si>
    <t>Suministro de refrigerios</t>
  </si>
  <si>
    <t>Adquisicion de elementos tecnologicos (televisor, disco duro, entre otros)</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</si>
  <si>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</si>
  <si>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</si>
  <si>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</si>
  <si>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Mantenimiento y Actualizacion permanente de las bases de Datos</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</si>
  <si>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</si>
  <si>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</si>
  <si>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</si>
  <si>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</si>
  <si>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</si>
  <si>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</si>
  <si>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</si>
  <si>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</si>
  <si>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</si>
  <si>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</si>
  <si>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</si>
  <si>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Creacion y fortalecimientos de los procesos de integracion regional y otras integraciones que se presenten</t>
  </si>
  <si>
    <t>Fortalecer Procesos de Integracion entre los Municipios</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</si>
  <si>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</si>
  <si>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</si>
  <si>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</si>
  <si>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</si>
  <si>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</si>
  <si>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</si>
  <si>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</si>
  <si>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2017.</t>
  </si>
  <si>
    <t>José Iganacio Rojas Sepúlveda
Secretario Departamental de Planeación</t>
  </si>
  <si>
    <t>2.1 Análisis de la información recolectada para la actualización y generación de los  boletines trimestrales (4), el informe anual del departamento (1) y los demás análisis requeridos correspondientes a la vigencia 2017 (1 Informe de Empleo)</t>
  </si>
  <si>
    <t>2.2 Fortalecer el seguimiento a los problemas identificados en el departamento con relación a los ODS para la última vigencia de análisis.</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</si>
  <si>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</si>
  <si>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3.1.1. Apoyo en la implementación del sistema de consulta del Observatorio de Desarrollo Humano y fortalecimiento de su funcionamiento a partir de la compra de equipos de cómputo y de licencias.</t>
  </si>
  <si>
    <t>3.1.2 Apoyo en la recolección y procesamiento de bases y datos estadisticos para la estructuración del sistema de información </t>
  </si>
  <si>
    <t xml:space="preserve">4.1.1 Apoyo en la asistencia y revisión de las fichas Basicas Municipales </t>
  </si>
  <si>
    <t>Diseñar e implementar el tablero de control  para el seguimiento y evaluación del Plan de Desarrollo  y   políticas públicas  Departamentales</t>
  </si>
  <si>
    <t>Tablero de control diseñado e implementado</t>
  </si>
  <si>
    <t xml:space="preserve">0305 - 5 - 3 1 5 28 87 17 11 - 20
0305 - 5 - 3 1 5 28 87 17 11 - 88
</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</si>
  <si>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</si>
  <si>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</si>
  <si>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</si>
  <si>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</si>
  <si>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Quindío,  a través del Tablero de Control.</t>
  </si>
  <si>
    <t>1.2. Elaboración ruta de seguimiento del Plan de Acción, a través de la plataforma WEB,  flujos de información y conexiones, definiendo los avances de metas físicas y financieras, para la validación de la información.</t>
  </si>
  <si>
    <t xml:space="preserve">1.3. Adquisición de licencia de uso y funcionamiento </t>
  </si>
  <si>
    <t xml:space="preserve">Diseñar e implementar la  Fábrica de Proyectos de Inversión en el Departamento del Quindío </t>
  </si>
  <si>
    <t>Fábrica de Proyectos de Inversión diseñada e implementada</t>
  </si>
  <si>
    <t xml:space="preserve">0305 - 5 - 3 1 5 28 87 17 12 - 20
0305 - 5 - 3 1 5 28 87 17 12 - 88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</si>
  <si>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</si>
  <si>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</si>
  <si>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</si>
  <si>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</si>
  <si>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</si>
  <si>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</si>
  <si>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</si>
  <si>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Apoyo en la formulacion y estructuracion de programas y proyectos de cooperacion internacional, en las metodologias requeridas.</t>
  </si>
  <si>
    <t>Apoyar las acciones para l aidentificacion de la oferta de proyectos de cooperacion internacional</t>
  </si>
  <si>
    <t>Desarrollo de estrategias de promocion de los planes, programas y proyectos del departamento del Quindio</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</si>
  <si>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</si>
  <si>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</si>
  <si>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</si>
  <si>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</si>
  <si>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</si>
  <si>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 Asistencia Técnica en la formulación y estructuración de  proyectos de carácter estrategico (del orden departamental, Regional, Nacional e Internacional), en  la Metodología requeridas. B) Apoyo en la realizacion de mesas de trabajo con las unidades ejecutoras y entidades actoras, para la construccion de los documentos y anexos requeridos en los proyectos. c) Apoyo en el cargue de los proyectos en las plataformas requeridas. d) Apoyo en la verifcacion de requisitos en los proyectos. e) Apoyo en la socializacion de los proyectos formulados .</t>
  </si>
  <si>
    <t>Superavir Ordinario</t>
  </si>
  <si>
    <t>Apoyo a las unidades ejejcutoras en la formulacion y estructuracion d eproyectos del orden departamental, regional y nacional. Apoyo en las mesas de trabajo con las unidades ejecutoras y entidades actoras.</t>
  </si>
  <si>
    <t>a)Apoyo técnico en la socialización a las unidades ejecutoras de la herramienta dispuesta por el Departamento Nacional de Planeación -DNP-, para el seguimiento a los proyectos de inversión del Banco de Proyectos nivel Departamental en el SISTEMA DE SEGUIMIENTO A PROYECTOS DE INVERSIÓN-SPI-, teniendo en cuanta la Ejecución fisica, el seguimiento a actividades, el Seguimiento de gestión y los anexos b) apoyo técnbico en el seguimiento a los proyectos de inversión de la secretaria de planeación departamental, en la herramienta -SPI-</t>
  </si>
  <si>
    <t>a) Apoyo a la formulación, estructuración, ajustes y Actualización  de proyectos de Inversión vigencias  2019 y 2020, en su marco logico y a través de la Herramienta MGA WEB .   b) Apoyo a los procesos de revision y analisis del cumplimiento de requisitos generales de los proyectos por formuladores ciudadanos u oficiales. c) Apoyo a los procesos de control y seguimiento a la inversion.</t>
  </si>
  <si>
    <t>Apoyo en la caracterizaciòn de los proyectos e iniciativas estratègicas del Departamento del Quindio y sus municipios, suceptibles de ser financiados con recursos del orden departamental, regional, nacional e internacional, (generando fichas tècnicas)</t>
  </si>
  <si>
    <t>Apoyo a las unidades ejecutoras en la socializaciòn de la Metodologia General Ajustada- MGA WEB, SUIFP-TERRITORIO, teniendo en cuenta el Decreto 378 de 2017 "por el cual se expide el Manual de Operaciones del Banco de Programas y Proyectos de Inversiòn "Fabrica de Proyectos" del Departamento del Quindio" y las directrices establecidas por el Departamento Nacional de Planeaciòn -DNP.</t>
  </si>
  <si>
    <t xml:space="preserve">Seguimiento, identificación y sistematización de las iniciativas y proyectos susceptiblres de ser financiados con recursos de cooperación internacional, gestionados por los entes territoriales municipales ante las agencias de cooperación y embajadas ext ranjeras en el pais </t>
  </si>
  <si>
    <t xml:space="preserve">Actualizar el Sistema Integrado de Gestión Administrativa SIGA del departamento del Quindío </t>
  </si>
  <si>
    <t>Sistema Integrado de Gestión actualizado</t>
  </si>
  <si>
    <t>0305 - 5 - 3 1 5 28 87 17 13 - 20
0305 - 5 - 3 1 5 28 87 17 13 - 88</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</si>
  <si>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</si>
  <si>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</si>
  <si>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</si>
  <si>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</si>
  <si>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 xml:space="preserve">Hacienda, Administrativa, Cultura, Salud, Educación, Representación Judicial, Privada, Planeación, Turismo, Industria y Comercio, Aguas e Infraestrutura, Interior, Agricultura y Desarrollo Rural,  Control Interno y Gestión, Control Interno Disciplinario, familia , Juridica y Contrataciòn </t>
  </si>
  <si>
    <t>Planeación, Gobernación y Modelo Integrado de Planeación y Gestión MIPG</t>
  </si>
  <si>
    <t>Asistencias Técnicas</t>
  </si>
  <si>
    <t>Asistencias Técnicas actualización y ajuste ( Tablero de Control , Sistema General de Regalias,Modelo Integrado  de Planeación y de Gestión MIPG, Rendición Publica de Cuentas,Seguimiento y Evaluación Plan de Desarrollo y Politicas Públicas,Ordenamiento Territorial ,Banco de Programas y Proyectos .</t>
  </si>
  <si>
    <t>Comite Institucional de Gestión y Desempeño MIPG</t>
  </si>
  <si>
    <t>Comité Departamental de Gestión y Desempeño MIPG</t>
  </si>
  <si>
    <t xml:space="preserve">Instancias de Control y Seguimiento </t>
  </si>
  <si>
    <t>Segumiento y evaluación aplicabilidad Manual de  Calidad por  Secretaria Sectorial ( Seguimiento No.1 )</t>
  </si>
  <si>
    <t>Segumiento y evaluación aplicabilidad Manual de  Calidad por  Secretaria Sectorial ( Seguimiento No. 2 )</t>
  </si>
  <si>
    <t>Informe final SIGA ahora MIPG</t>
  </si>
  <si>
    <t xml:space="preserve">Ajustes Paginas (Pagina web e Intranet) </t>
  </si>
  <si>
    <t xml:space="preserve">Capacitar a los funcionarios de la Administración departamental  en la operatividad del Sistema Integrado de la Gestión Administrativa  del Departamento del Quindio, con el fin de aumentar los indices de eficiencia y efiacia </t>
  </si>
  <si>
    <t>Segumiento y evaluación aplicabilidad Manual de  Calidad por  Secretaria Sectorial ( Seguimiento No. 3 )</t>
  </si>
  <si>
    <t xml:space="preserve">Implementar el Comité  de Planificación  Departamental   </t>
  </si>
  <si>
    <t>Comité de Planificación Departamental implementado</t>
  </si>
  <si>
    <t xml:space="preserve">0305 - 5 - 3 1 5 28 87 17 14 - 20
0305 - 5 - 3 1 5 28 87 17 14 - 88
</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</si>
  <si>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</si>
  <si>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</si>
  <si>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</si>
  <si>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</si>
  <si>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</si>
  <si>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</si>
  <si>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</si>
  <si>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</si>
  <si>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</si>
  <si>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</si>
  <si>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</si>
  <si>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</si>
  <si>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inconsistencias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</si>
  <si>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</si>
  <si>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</si>
  <si>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asistencia técnica, seguimiento y/o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</si>
  <si>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</si>
  <si>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</si>
  <si>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</si>
  <si>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</si>
  <si>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</si>
  <si>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</si>
  <si>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</si>
  <si>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de en los doce (12) Municipios </t>
  </si>
  <si>
    <t>Entes territoriales municipales asistidos</t>
  </si>
  <si>
    <t>Capacitación , Asistencia técnica, seguimiento y/o evaluación incorporación Modelo de Ocupación del territorio en los doce municipios</t>
  </si>
  <si>
    <t>JOSE IGNACIO ROJAS SEPULVEDA</t>
  </si>
  <si>
    <t xml:space="preserve">SECRETARIO DE PLANEACION DEPARTAMENTAL </t>
  </si>
  <si>
    <t>Edad Económicamente
Activa (20-59 años)</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</si>
  <si>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</si>
  <si>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</si>
  <si>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</si>
  <si>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</si>
  <si>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</si>
  <si>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</si>
  <si>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</si>
  <si>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</si>
  <si>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</si>
  <si>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</si>
  <si>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SECRETARIO DEL INTERIOR</t>
  </si>
  <si>
    <t>Fondo de seguridad</t>
  </si>
  <si>
    <t>Fortalecer 10 programas de prevención y superación del Sistema de responsabilidad penal para adolescentes</t>
  </si>
  <si>
    <t>Número de programas de prevención y superación fortalecidos</t>
  </si>
  <si>
    <t>Apoyo para iniciativas,actividades y/o proyectos productivos dirigidoa a población de infancia y adolescencia</t>
  </si>
  <si>
    <t>Apoyar la construcción, refacción o adecuación de  seis (6) estaciones de policía y/o guarniciones militares y/o instituciones carcelarias</t>
  </si>
  <si>
    <t>Número de estaciones de policía y/o guarniciones militares y/o instituciones carcelarias apoyadas</t>
  </si>
  <si>
    <t xml:space="preserve">Adquisición de materiales para la construcción </t>
  </si>
  <si>
    <t>Adquisición de terrenos para construcción de UBICAR (Unidad Basica de Carabineros)</t>
  </si>
  <si>
    <t xml:space="preserve">Intervención en obras menores </t>
  </si>
  <si>
    <t>Adecuación y modernización sistema cirucito cerrado de TV (CCTV) Centro de Atención Especializada (CAE)</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</si>
  <si>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</si>
  <si>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</si>
  <si>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</si>
  <si>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Fondos de seguridad 5%</t>
  </si>
  <si>
    <t xml:space="preserve">Financiación y/o coofinaciación de proyectos de móvilidad </t>
  </si>
  <si>
    <t>Suministro de combustible</t>
  </si>
  <si>
    <t>Arrendamientos de oficinas para organismos de seguridad</t>
  </si>
  <si>
    <t>0309 - 5 - 3 1 4 23 75 18 28 - 20</t>
  </si>
  <si>
    <t xml:space="preserve">Adecuación de tecnología en salas de organismos de seguridad </t>
  </si>
  <si>
    <t>Suministro de alimentación</t>
  </si>
  <si>
    <t>0309 - 5 - 3 1 4 23 75 18 28 - 42</t>
  </si>
  <si>
    <t>Pago a fuentes humanas</t>
  </si>
  <si>
    <t>0309 - 5 - 3 1 4 23 75 18 28 - 92</t>
  </si>
  <si>
    <t>Adquisición de bienes muebles necesarios para el funcionamiento de la diferentes iniciativas o programas de los oraganismos de seguridad del departamento</t>
  </si>
  <si>
    <t>Adquisición de bienes inmuebles para los organismos de seguridad</t>
  </si>
  <si>
    <t>Adquisición de bienes y suministro, para material de intendencia y logística</t>
  </si>
  <si>
    <t>Impresos y publicidad</t>
  </si>
  <si>
    <t>Servicios de apoyo en procesos tecnológicos de seguridad en el departamento</t>
  </si>
  <si>
    <t>Servicios de apoyo en estudios financieros y ecónomicos de los diferentes procesos para los organismos de seguridad</t>
  </si>
  <si>
    <t>Recuso Ordinario</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</si>
  <si>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</si>
  <si>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</si>
  <si>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Apoyar 3 observatorios locales del delito</t>
  </si>
  <si>
    <t>Número de observatorios del delito apoyados</t>
  </si>
  <si>
    <t>Levantamiento de información, investigación y análisis de hechos y conductas delicitas en el departamento del Quindío</t>
  </si>
  <si>
    <t>Dotación tecnologíca, de comunicaciones   y/o logistica para los programas, proyectos  o estrategías de pevención y seguridad en el departamento del Quindío</t>
  </si>
  <si>
    <t>30/082019</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</si>
  <si>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</si>
  <si>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</si>
  <si>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</si>
  <si>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</si>
  <si>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</si>
  <si>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</si>
  <si>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</si>
  <si>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psicosocilales, y/o de formación productiva integrales en los 11 barrios focalizados </t>
  </si>
  <si>
    <t>Recurso 
ordinario</t>
  </si>
  <si>
    <t xml:space="preserve">SECRETARIO DEL INTERIOR
</t>
  </si>
  <si>
    <t>Implementación de programas ludicos,culturales y/o deportivos  para población vulnerable en areas focalizadas</t>
  </si>
  <si>
    <t xml:space="preserve">Generación y/o apoyo a programas de intervención social y/o de seguridad </t>
  </si>
  <si>
    <t>Logística, refrigerios,transporte y/o combustible</t>
  </si>
  <si>
    <t>Atencion integral de Barrios con situacion critica de convivencia en los 12 Municipios  del Departamento</t>
  </si>
  <si>
    <t>Municipios con atencion integral</t>
  </si>
  <si>
    <t>0309 - 5 - 3 1 4 23 76 18 29 - 20</t>
  </si>
  <si>
    <t xml:space="preserve">Intervenciones Psicosociales y/o de formación productiva integrales en los cinco municipios focalizados </t>
  </si>
  <si>
    <t>0309 - 5 - 3 1 4 23 76 18 29 - 92</t>
  </si>
  <si>
    <t>Elaboración y7o difusion de campañas de intervencion social y prevención del delito en los municipios del departamento</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</si>
  <si>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</si>
  <si>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</si>
  <si>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</si>
  <si>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</si>
  <si>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</si>
  <si>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</si>
  <si>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</si>
  <si>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0309 - 5 - 3 1 4 24 78 14 30 - 20
0309 - 5 - 3 1 4 24 78 14 30 - 88</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</si>
  <si>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</si>
  <si>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</si>
  <si>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</si>
  <si>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</si>
  <si>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Capacitación en el tema de formulación de proyectos a las mesas de participación efectiva de victimas y Organizaciones de victimas en los 12 municipios del Departamento</t>
  </si>
  <si>
    <t>Recurso ordinario</t>
  </si>
  <si>
    <t>Socialización de rutas de protección a las organizaciones de victimas de los 12 municipios del Departamento</t>
  </si>
  <si>
    <t>Apoyo a municipios priorizados para reparación colectiva</t>
  </si>
  <si>
    <t xml:space="preserve">Brindar información y orientación a las victimas del conflicto de los 12 municipios del departamento </t>
  </si>
  <si>
    <t>Socialización del decreto de corresponsabilidad a las mesas de participación efectiva de victimas en los 12 municipios</t>
  </si>
  <si>
    <t>Brindar asistencia y capacitacion a las organizaciones con enfoque diferencial y mesas de participación efectiva de victimas en los 12 municipios del Departamento en la ley de victimas y restitución de tierras y sus enfoques reglamentarios</t>
  </si>
  <si>
    <t>Apoyo a iniciativas que aportan a la memoria historica en el departamento</t>
  </si>
  <si>
    <t xml:space="preserve">Capacitación a las mesas de participación de victimas en los 12 municipios en el tema de protocolo de participación
</t>
  </si>
  <si>
    <t>Realizar jornadas de prevencion a vulneraciones de DDHH y DIH a las mesas de participación efectiva de victimas en los 12 municipios del Departamento</t>
  </si>
  <si>
    <t>Apoyo a proyectos productivos población víctima</t>
  </si>
  <si>
    <t>Logística y/o refrigerios</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</si>
  <si>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</si>
  <si>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</si>
  <si>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</si>
  <si>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</si>
  <si>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</si>
  <si>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</si>
  <si>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 xml:space="preserve">Garantias para Sesiones comité ejecutivo y ética mesa de victimas </t>
  </si>
  <si>
    <t>Garantias para Sesiones plenario mesa departamental de  victimas</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</si>
  <si>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</si>
  <si>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</si>
  <si>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</si>
  <si>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</si>
  <si>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</si>
  <si>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</si>
  <si>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</si>
  <si>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</si>
  <si>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</si>
  <si>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</si>
  <si>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Implementacion del plan operativo de sistemas de informacion POSI</t>
  </si>
  <si>
    <t>Apoyo a procesos de caracterización de los municipios, cuando sea requerido por èstos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</si>
  <si>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</si>
  <si>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</si>
  <si>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</si>
  <si>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0309 - 5 - 3 1 4 24 79 14 32 - 20
0309 - 5 - 3 1 4 24 79 14 32 - 88</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</si>
  <si>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</si>
  <si>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</si>
  <si>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</si>
  <si>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</si>
  <si>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Actualización e implementación del plan integral de prevención de vulneración de DDHH  </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</si>
  <si>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</si>
  <si>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</si>
  <si>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</si>
  <si>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Foro de Derechos Humanos</t>
  </si>
  <si>
    <t>Realizar jornadas de capacitación para la  prevencion y sensibilizacion de los Derechos Humanos en los 12 municipios del Departamento</t>
  </si>
  <si>
    <t xml:space="preserve">Papeleria </t>
  </si>
  <si>
    <t xml:space="preserve">Actualizar e Implementar el plan lucha contra la trata de personas
</t>
  </si>
  <si>
    <t>Programa de atención integral a victimas de trata de personas actualizado e  implementado</t>
  </si>
  <si>
    <t xml:space="preserve">Jornadas de prevención del delito de trata de personas  en los 12 municipios del Departamento </t>
  </si>
  <si>
    <t xml:space="preserve">Realizar jornadas de prevención y sensibilización del delito de trata de personas en terminal aérea y terrestre
</t>
  </si>
  <si>
    <t>Ayuda Humanitaria para victimas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</si>
  <si>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</si>
  <si>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</si>
  <si>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</si>
  <si>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0309 - 5 - 3 1 4 24 80 14 34 - 20
0309 - 5 - 3 1 4 24 80 14 34 - 88</t>
  </si>
  <si>
    <t>201663000-0034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</si>
  <si>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</si>
  <si>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</si>
  <si>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</si>
  <si>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Asistencia Tecnica para la formulación y actualización de planes de DDHH en los municipios del Depto</t>
  </si>
  <si>
    <t>Apoyar el seguimiento de los planes de DDHH de los 12 municipios del departamento</t>
  </si>
  <si>
    <t>superavit Ordinario</t>
  </si>
  <si>
    <t>Acompañamiento a Comites Municipales de Derechos Humanos que estén creados y funcionando</t>
  </si>
  <si>
    <t xml:space="preserve">Apoyar y articular en los doce (12) municipios  del departamento las actuaciones institucionales en procura de la garantía de la construcción de paz </t>
  </si>
  <si>
    <t>Número de municipios apoyados y articulados</t>
  </si>
  <si>
    <t>Fortalecer Consejo Departamental de Paz</t>
  </si>
  <si>
    <t>Fortaecer consejo departamental de paz, reconcialización, convivencua, DDHH y DIH</t>
  </si>
  <si>
    <t>Foro DDHH</t>
  </si>
  <si>
    <t>Socialización de implementación de los acuerdos en el Departamento</t>
  </si>
  <si>
    <t xml:space="preserve">Semana por la paz </t>
  </si>
  <si>
    <t>Logistica y Refregerios</t>
  </si>
  <si>
    <t>Papeleria</t>
  </si>
  <si>
    <t>Apoyo para la Politica de Reintegrados</t>
  </si>
  <si>
    <t>Acciones en pro de la construcción de paz</t>
  </si>
  <si>
    <t>EL QUINDIO DEPARTAMENTO RESILIENTE</t>
  </si>
  <si>
    <t>QUINDIO PROTEGIENDO EL FUTURO</t>
  </si>
  <si>
    <t xml:space="preserve">Realizar catorce (14) estudios de riesgo y análisis de vulnerabilidad en  los municipios del departamento </t>
  </si>
  <si>
    <t>Número de estudios de riesgo analizados</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</si>
  <si>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</si>
  <si>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</si>
  <si>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</si>
  <si>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</si>
  <si>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</si>
  <si>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</si>
  <si>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</si>
  <si>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</si>
  <si>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 xml:space="preserve">Formulación de los planes escolares de gestión del riesgo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</si>
  <si>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</si>
  <si>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</si>
  <si>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</si>
  <si>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</si>
  <si>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Adquisición tecnologia (camara termica, Dron)</t>
  </si>
  <si>
    <t>Material didactico</t>
  </si>
  <si>
    <t>Servicio de simulador sismico</t>
  </si>
  <si>
    <t>Organización de foros, talleres, eventos y7o actividades</t>
  </si>
  <si>
    <t xml:space="preserve">Realizar 10 intervenciones en  áreas vulnerables del departamento </t>
  </si>
  <si>
    <t>Número de intervenciones en áreas vulnerables realizadas</t>
  </si>
  <si>
    <t xml:space="preserve">Intervenciones, obras de ingenieria y/o análisis vulnerabilidad </t>
  </si>
  <si>
    <t>Transferencia Fondo Nacional Gestión del Riesgo Res. 0329/2019</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</si>
  <si>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</si>
  <si>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</si>
  <si>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</si>
  <si>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de la comunidad</t>
  </si>
  <si>
    <t xml:space="preserve">Actualización y desarrollo de  tecnoLogías en gestión del riesgo </t>
  </si>
  <si>
    <t>Formacion y capacitacion en el manejo del riesgo</t>
  </si>
  <si>
    <t>Servicios y atención  de manejo de riesgos</t>
  </si>
  <si>
    <t xml:space="preserve">Fortalecimiento  a las instituciones del comité de manejo
</t>
  </si>
  <si>
    <t>Sunministro de combustible</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</si>
  <si>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</si>
  <si>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</si>
  <si>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</si>
  <si>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</si>
  <si>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</si>
  <si>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</si>
  <si>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</si>
  <si>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</si>
  <si>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Articulación y coordinación para el manejo de  desastres en la sala de crisis del departamento </t>
  </si>
  <si>
    <t>Fortalecer  la dotación de la bodega estratégica de la Unidad Departamental de la Gestión del Riesgo de Desastres UDEGER</t>
  </si>
  <si>
    <t>Unidad Departamental de la Gestión del Riesgo de Desastre UDEGER dotada</t>
  </si>
  <si>
    <t xml:space="preserve">Apoyo para la entrega de ayuda humanitaria </t>
  </si>
  <si>
    <t>Suministro de ayudas  Humanitaria</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</si>
  <si>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</si>
  <si>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</si>
  <si>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</si>
  <si>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</si>
  <si>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</si>
  <si>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</si>
  <si>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</si>
  <si>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</si>
  <si>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</si>
  <si>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estrategías de participación</t>
  </si>
  <si>
    <t xml:space="preserve">Celebración de la semana de participación </t>
  </si>
  <si>
    <t>Realización de eventos para el  fortalecimiento a la participación ciudadana y control social</t>
  </si>
  <si>
    <t>Superavit Ordinario </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</si>
  <si>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</si>
  <si>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</si>
  <si>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</si>
  <si>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</si>
  <si>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</si>
  <si>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</si>
  <si>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</si>
  <si>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</si>
  <si>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</si>
  <si>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20/18/2019</t>
  </si>
  <si>
    <t xml:space="preserve">Servicios de Apoyo para eventos de formación, capacitación y/o formulación de políticas publicas 
</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</si>
  <si>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</si>
  <si>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</si>
  <si>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</si>
  <si>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</si>
  <si>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insumos logísticos, transporte,suminsitro de combustible y/o alimentación para la celebración de los comicios electorales </t>
  </si>
  <si>
    <t>Diseñar e implementar la Escuela de Liderazgo democrático</t>
  </si>
  <si>
    <t>Escuela de liderazgo diseñada e implementada</t>
  </si>
  <si>
    <t xml:space="preserve">Estructuración e implementación   de la escuela de liderazgo </t>
  </si>
  <si>
    <t xml:space="preserve">Logística, transporte, impresos y/o refrigerios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</si>
  <si>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</si>
  <si>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</si>
  <si>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</si>
  <si>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</si>
  <si>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</si>
  <si>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</si>
  <si>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</si>
  <si>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</si>
  <si>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</si>
  <si>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</si>
  <si>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</si>
  <si>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</si>
  <si>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</si>
  <si>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</si>
  <si>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 xml:space="preserve">Celebración día comunal
</t>
  </si>
  <si>
    <t>20</t>
  </si>
  <si>
    <t>Recurso Ordianrio</t>
  </si>
  <si>
    <t>Apoyo a eventos de carácter municipal, departamental y/o  nacional</t>
  </si>
  <si>
    <t>Apoyo para fortalecimiento de programas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</si>
  <si>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</si>
  <si>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</si>
  <si>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</si>
  <si>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</si>
  <si>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</si>
  <si>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</si>
  <si>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</si>
  <si>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</si>
  <si>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</si>
  <si>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</si>
  <si>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</si>
  <si>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</si>
  <si>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</si>
  <si>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</si>
  <si>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</si>
  <si>
    <t xml:space="preserve">HOMBRE </t>
  </si>
  <si>
    <t>Mestiza</t>
  </si>
  <si>
    <t>Victimas</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</si>
  <si>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</si>
  <si>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</si>
  <si>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</si>
  <si>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</si>
  <si>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</si>
  <si>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 xml:space="preserve">
0310 - 5 - 3 1 3 9 29 5 45 - 33                                                          
0310 - 5 - 3 1 3 9 29 5 45 - 83</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</si>
  <si>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</si>
  <si>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</si>
  <si>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</si>
  <si>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Reconocimiento de la calidad de artista y gestor cultural por el consejo Departamental de cultura </t>
  </si>
  <si>
    <t>Estampilla Procultura 10% Seguridad Social</t>
  </si>
  <si>
    <t>Secretaria de Cultura, James  Gonzalez Mata</t>
  </si>
  <si>
    <t>Superávit Estampilla Procultura 10% Seguridad Social</t>
  </si>
  <si>
    <t xml:space="preserve">Aportes para la seguridad social de artistas reconocidos por el consejo Departamental de Cultura </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</si>
  <si>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</si>
  <si>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</si>
  <si>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0310 - 5 - 3 1 3 9 29 5 46 - 88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</si>
  <si>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</si>
  <si>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</si>
  <si>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ciudadania al arte y la cultura </t>
  </si>
  <si>
    <t>Escuelas de formación</t>
  </si>
  <si>
    <t>Secretaria de Cultura, James Gonzalez Mata</t>
  </si>
  <si>
    <t xml:space="preserve"> Difusión y Circulación Artística</t>
  </si>
  <si>
    <t>Apoyo técnico y logístico</t>
  </si>
  <si>
    <t>Apoyar  ciento veinte (120) proyectos del programa de concertación cultural del departamento</t>
  </si>
  <si>
    <t>Alta concertación de proyectos con la institucionalidad cultural</t>
  </si>
  <si>
    <t>Convocatoria y apoyo logístico</t>
  </si>
  <si>
    <t>Estampilla Procultura 50% Concertación</t>
  </si>
  <si>
    <t xml:space="preserve">Evaluación y Seguimiento </t>
  </si>
  <si>
    <t>Cofinanciación de proyectos</t>
  </si>
  <si>
    <t>Superavit E.P.C</t>
  </si>
  <si>
    <t>Apoyar treinta y seis (36) proyectos mediante estímulos artísticos y culturales</t>
  </si>
  <si>
    <t>Mayor apoyo a la creación investigación y producción artistica</t>
  </si>
  <si>
    <t>Estampilla Procultura 10% Estímulos</t>
  </si>
  <si>
    <t xml:space="preserve"> Evaluación y Seguimiento </t>
  </si>
  <si>
    <t xml:space="preserve">Emprendimiento Cultural </t>
  </si>
  <si>
    <t>Fortalecer cinco (5) procesos de emprendimiento cultural y de desarrollo de industrias creativas</t>
  </si>
  <si>
    <t>0310 - 5 - 3 1 3 9 30 5 47 - 20</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</si>
  <si>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</si>
  <si>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</si>
  <si>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</si>
  <si>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</si>
  <si>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</si>
  <si>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</si>
  <si>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</si>
  <si>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0310 - 5 - 3 1 3 9 31 5 48 - 34               
0310 - 5 - 3 1 3 9 31 5 48 - 83
0310 - 5 - 3 1 3 9 31 5 48 - 159</t>
  </si>
  <si>
    <t xml:space="preserve"> 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</si>
  <si>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</si>
  <si>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</si>
  <si>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 xml:space="preserve"> Realización de procesos formativos para promotores de lectura y escritura</t>
  </si>
  <si>
    <t>Estampilla Procultura 10% Bibliotecas</t>
  </si>
  <si>
    <t>Encuentros para el intercambio, formación y retroalimentación de la Red de Bibliotecas</t>
  </si>
  <si>
    <t>Dotación y adecuación bibliotecaria</t>
  </si>
  <si>
    <t xml:space="preserve">Coordinación de actividades para el fortalecimiento de la Red </t>
  </si>
  <si>
    <t>Coordinación de actividades para el fortalecimiento de la red segun aceptación de ayuda economica en el programa iberoamericano de bibliotecas publicas, VI convocatoria de ayudas 2018</t>
  </si>
  <si>
    <t>Superávit Cofinanciación Nacional</t>
  </si>
  <si>
    <t xml:space="preserve">Ampliación de espacios y acciones para la difusión de la lectura y escritura </t>
  </si>
  <si>
    <t>Apoyo al proyecto editorial Biblioteca de Autores Quindianos</t>
  </si>
  <si>
    <t xml:space="preserve">Estampilla Procultura 10% Bibliotecas
</t>
  </si>
  <si>
    <t>Superavit Estampilla Procultura</t>
  </si>
  <si>
    <t>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</si>
  <si>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</si>
  <si>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</si>
  <si>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</si>
  <si>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49 - 93
0310 - 5 - 3 1 3 10 32 5 49 - 47</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</si>
  <si>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</si>
  <si>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</si>
  <si>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</si>
  <si>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</si>
  <si>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IVA Telefonia movil Cultura</t>
  </si>
  <si>
    <t>Recurso Ordinaro</t>
  </si>
  <si>
    <t>Superavit IVA Telefonia movil Cultura</t>
  </si>
  <si>
    <t>Investigaciones</t>
  </si>
  <si>
    <t>Apoyo a procesos, evaluación y seguimiento</t>
  </si>
  <si>
    <t>Mayor reconocimiento y valoración de la diversidad poblacional presente en el Quindío</t>
  </si>
  <si>
    <t>Apoyo a  proyectos y/o actividades de poblaciones especiales</t>
  </si>
  <si>
    <t xml:space="preserve">IVA Telefonia movil Cultura     
</t>
  </si>
  <si>
    <t xml:space="preserve">Apoyar diez (10) proyectos y/o actividades orientados a fortalecer la articulación comunicación y cultura </t>
  </si>
  <si>
    <t xml:space="preserve">0310 - 5 - 3 1 3 10 33 5 50 - 20
</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</si>
  <si>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</si>
  <si>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</si>
  <si>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</si>
  <si>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</si>
  <si>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 xml:space="preserve">Recurso Ordinario
</t>
  </si>
  <si>
    <t>Implementación de una emisora de interés público del departamento del Quindío</t>
  </si>
  <si>
    <t>Superavit Recurso Ordinario</t>
  </si>
  <si>
    <t>Apoyar  dieciséis (16) actividades y/o proyectos  para el afianzamiento del Sistema Departamental de Cultura</t>
  </si>
  <si>
    <t>Participación y  apoyo por parte de la Gobernación del Quindío a medios ciudadanos, comunitarios y de interés público</t>
  </si>
  <si>
    <t xml:space="preserve"> Formación para la gestión cultural</t>
  </si>
  <si>
    <t>Fortalecimiento del Sistema de Información Cultural</t>
  </si>
  <si>
    <t>Apoyo a Consejos de las artes y la cultura</t>
  </si>
  <si>
    <t>JAMES GONZALEZ MATA</t>
  </si>
  <si>
    <t>Secretario de Cultura</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</si>
  <si>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</si>
  <si>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</si>
  <si>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</si>
  <si>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</si>
  <si>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</si>
  <si>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</si>
  <si>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GENERACION DE ENTORNOS FAVORABLES Y SOSTENIBILIDAD AMBIENTAL PARA EL DEPARTAMENTO DEL QUINDÍO </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</si>
  <si>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</si>
  <si>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</si>
  <si>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</si>
  <si>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ORDINARIO</t>
  </si>
  <si>
    <t>SECRETARIO DE DESPACHO Y JULIANA ACOSTA JARAMILLO</t>
  </si>
  <si>
    <t>Promocion y divulgacion del SIGAD.</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</si>
  <si>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</si>
  <si>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</si>
  <si>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</si>
  <si>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</si>
  <si>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</si>
  <si>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 xml:space="preserve">Adecuadar planificación para la sostenibilidad de los recursos naturales
</t>
  </si>
  <si>
    <t>Apoyo al Plan de gestión de la biodiversidad y sus servicios ecosistemicos PDGIB</t>
  </si>
  <si>
    <t>Diseñay ejecutar una politica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</si>
  <si>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</si>
  <si>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</si>
  <si>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</si>
  <si>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</si>
  <si>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</si>
  <si>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</si>
  <si>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</si>
  <si>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</si>
  <si>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</si>
  <si>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</si>
  <si>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</si>
  <si>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</si>
  <si>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</si>
  <si>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 xml:space="preserve">Implementar el Fondo del Agua del departamento del Quindío  </t>
  </si>
  <si>
    <t>Caracterizar los servicios ecosistémicos en 6 cuencas de abastecimientode los acueductos municipales con sus correspondientes acciones de mejoramiento</t>
  </si>
  <si>
    <t>Número de cuencas con servicios ecosistémicos caracterizados</t>
  </si>
  <si>
    <t>Elaboracion de inventario de servicios ecosistemicos y diagnostico de los componentes de flora, fauna y recursos hidricos de 2 cuencas hidrograficas</t>
  </si>
  <si>
    <t>Bienes y servicios ambientales para las nuevas generaciones</t>
  </si>
  <si>
    <t>Conservar Y Restaurar Seis (2) Áreas De Importancia Estratégica Para El Recurso Hídrico Del Departamento</t>
  </si>
  <si>
    <t>Áreas conservadas y restauradas</t>
  </si>
  <si>
    <t>0312 - 5 - 3 1 1 1 3 10 68 - 20</t>
  </si>
  <si>
    <t>201663000-0068</t>
  </si>
  <si>
    <t>APLICACIÓN DE MECANISMOS DE PROTECCIÓN AMBIENTAL EN EL DEPARTAMENTO DEL QUINDIO</t>
  </si>
  <si>
    <t xml:space="preserve">Mantener  de la oferta hídrica promedio anual  de las Unidades de Manejo de Cuenca (UMC) del departamento del Quindío 
</t>
  </si>
  <si>
    <t>Vigilancia, control y seguimiento a las áreas de protección</t>
  </si>
  <si>
    <t>RECURSO ORDINARIO</t>
  </si>
  <si>
    <t>Recuperación y mantenimiento de  las  zonas deterioradas en las áreas de protección.</t>
  </si>
  <si>
    <t>Adquirir Doscientos Setenta (270) Ha Para Áreas De Conservación En Predios De Importancia Estratégica Para El Recurso Hídrico Del Departamento Del Quindío</t>
  </si>
  <si>
    <t>Áreas De Conservación En Predios De Importancia Estratégica Adquiridas</t>
  </si>
  <si>
    <t>0312 - 5 - 3 1 1 1 3 10 68 - 88</t>
  </si>
  <si>
    <t>Adquirir doscientos setenta (270) ha para áreas de conservación en predios de importancia estratégica para el recurso hídrico del departamento del Quindío</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</si>
  <si>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</si>
  <si>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</si>
  <si>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</si>
  <si>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</si>
  <si>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ECOSISTÉMICOS EN EL DEPARTAMENTO DEL QUINDIO</t>
  </si>
  <si>
    <t xml:space="preserve">Disminuir en la presión por cargas contaminantes, medida por el Índice de Alteración Potencial de la Calidad del Agua </t>
  </si>
  <si>
    <t xml:space="preserve">Mejorar en la calidad del agua en los sistemas hídricos  </t>
  </si>
  <si>
    <t>Intervenir en herramientas del PCC las cuencas de los municipios con declaratoria de paisaje cultural cafetero</t>
  </si>
  <si>
    <t>Promover La Creación Y Adopción  En Los Doce (12) Municipios Del Departamento, De Herramientas Para El Estímulo De Incentivos A La Conservación</t>
  </si>
  <si>
    <t>Número de municipios con acciones de incentivos a la conservación promovidas</t>
  </si>
  <si>
    <t xml:space="preserve">Promover los incentivos a la conservación con la normativa vigente  </t>
  </si>
  <si>
    <t>Restaurar Con Obras De Bioingeniería Veinte (20) Ha En Áreas O Zonas Críticas De Riesgo.</t>
  </si>
  <si>
    <t xml:space="preserve">Número de hectáreas restauradas </t>
  </si>
  <si>
    <t>Poner en marcha obras de bioingenieria</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</si>
  <si>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</si>
  <si>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</si>
  <si>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</si>
  <si>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Capacitar A 250 Jóvenes, Mujeres, Población Vulnerable Y Con Enfoque Diferencial Como Lideres De Educación Ambiental En El Departamento</t>
  </si>
  <si>
    <t>Número de  jóvenes,  mujeres, población vulnerable y con enfoque diferencial capacitados</t>
  </si>
  <si>
    <t>Formar multiplicadores ambientales para el desarrollo sostenible</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</si>
  <si>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</si>
  <si>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</si>
  <si>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</si>
  <si>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</si>
  <si>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</si>
  <si>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FORTALECIMIENTO E INNOVACIÓN EMPRESARIAL DE LA CAFICULTURA EN EL DEPARTAMENTO DEL QUINDIO </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</si>
  <si>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</si>
  <si>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</si>
  <si>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Capacitar A Caficultores  En Buenas Prácticas Agrícolas Sostenible Y Aseguramiento De La Calidad De Café</t>
  </si>
  <si>
    <t>SECRETARIO DE DESPACHO Y MAURICIO RUIZ HAMBRA</t>
  </si>
  <si>
    <t>Capacitar A Caficultores En Catación, Tostión Y Barísmo</t>
  </si>
  <si>
    <t>Crear (6) seis grupos multiplicadores de conocimiento en emprendimiento y calidad del café  para jóvenes y mujeres rurales, campesinas y cafeteras</t>
  </si>
  <si>
    <t>Número de grupos multiplicadores creados</t>
  </si>
  <si>
    <t>Fortalecimiento A Asociaciones De Café De Jóvenes Y Mujeres Rurales En Buenas Prácticas Agrícolas Y Aseguramiento De La Calidad Del Café A Traves De Asistencia Técnica Y Talleres</t>
  </si>
  <si>
    <t xml:space="preserve">Capacitación  A Jóvenes Y Mujeres Rurales En Asociatividad, Emprendimiento,  En Mejoramiento Y Aseguramiento De La Calidad  </t>
  </si>
  <si>
    <t>Fortalecer asociaciones a jovenes y mujeres rurales a traves de la dotación de maquinaria, equipos y utensilios para el procesamiento y comercialización de cafe</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</si>
  <si>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</si>
  <si>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</si>
  <si>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</si>
  <si>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</si>
  <si>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</si>
  <si>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</si>
  <si>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</si>
  <si>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</si>
  <si>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</si>
  <si>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</si>
  <si>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</si>
  <si>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</si>
  <si>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0312 - 5 - 3 1 2 2 5 8 176 - 20
0312 - 5 - 3 1 2 2 5 8 176 - 46
0312 - 5 - 3 1 2 5 8 176 - 88</t>
  </si>
  <si>
    <t>201663000-0176</t>
  </si>
  <si>
    <t>CREACIÓN E IMPLEMENTACIÓN DE LOS CENTROS AGROINDUSTRIALES REGIONALES PARA LA PAZ"CARPAZ" EN EL DEPARTAMENTO DEL QUINDIO</t>
  </si>
  <si>
    <t xml:space="preserve">Equiparar el crecimiento del PIB del departamento del Quindío al PIB nacional
</t>
  </si>
  <si>
    <t>Mejorar  la productividad primaria agropecuaria</t>
  </si>
  <si>
    <t>Crear Un Núcleo De Asistencia Agrícola</t>
  </si>
  <si>
    <t>Crear e implementar los nucleos de asistencia agricola.</t>
  </si>
  <si>
    <t>Crear Un Núcleo De Asistencia Pecuaria</t>
  </si>
  <si>
    <t xml:space="preserve">Crear e implmentar los nucleos de asistencia pecuaria </t>
  </si>
  <si>
    <t>Apoyar cinco (5) sectores productivos agropecuarios del departamento en métodos de mercadeo que propicien innovación en los aspectos comerciales de los productos del Quindío</t>
  </si>
  <si>
    <t>Sectores productivos apoyados</t>
  </si>
  <si>
    <t>Realizar Eventos De Educomunicación (Agrícola Y Pecuario)</t>
  </si>
  <si>
    <t>Crear  seis (6) centros logísticos  para la transformación agroindustrial - CARPAZ</t>
  </si>
  <si>
    <t>Centros logísticos creados</t>
  </si>
  <si>
    <t>Articular la demanda existente y la oferta efectiva</t>
  </si>
  <si>
    <t>Crear Centros Logísticos Agroindustriales</t>
  </si>
  <si>
    <t>RECURSO DEL CREDITO</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</si>
  <si>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</si>
  <si>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</si>
  <si>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</si>
  <si>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</si>
  <si>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Crear E Implementar El Fondo De Financiamiento De Desarrollo Rural Fider</t>
  </si>
  <si>
    <t>Fondo de financiamiento creado e implementado</t>
  </si>
  <si>
    <t>0312 - 5 - 3 1 2 2 5 8 177 - 20</t>
  </si>
  <si>
    <t>201663000-0177</t>
  </si>
  <si>
    <t>CREACION E IMPLEMENTACION DEL FONDO DE FINANCIAMIENTO DE DESARROLLO RURAL - FIDER</t>
  </si>
  <si>
    <t>Mejoramiento de las condiciones de acceso al financiamiento de los productores agropecuarios, mediante la creacion de un fondo financiero para el desarrollo rural en el departamento del Quindío</t>
  </si>
  <si>
    <t>Generación de procesos de  apoyo financiero de facil acceso para desarrolo del sector productivo rural.</t>
  </si>
  <si>
    <t>Asistencia Técnica En La Creación Y Elaboración De Un Fondo De Financiamiento Para El Desarrollo Rural</t>
  </si>
  <si>
    <t>SECRETARIO DE DESPACHO Y ANA MARIA CARDONA VALDEZ</t>
  </si>
  <si>
    <t>0312 - 5 - 3 1 2 2 5 8 177 - 88</t>
  </si>
  <si>
    <t>Financiamiento Al Pequeño Productor Rural</t>
  </si>
  <si>
    <t>Reactivar un instrumento de prevención por eventos naturales para productos agrícolas.</t>
  </si>
  <si>
    <t>Instrumento de prevención por eventos naturales para productos agrícolas reactivado</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</si>
  <si>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</si>
  <si>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</si>
  <si>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</si>
  <si>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</si>
  <si>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</si>
  <si>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</si>
  <si>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</si>
  <si>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</si>
  <si>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</si>
  <si>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</si>
  <si>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</si>
  <si>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</si>
  <si>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</si>
  <si>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</si>
  <si>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</si>
  <si>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</si>
  <si>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Generar Un Apalancamiento A 100 Iniciativas Rurales</t>
  </si>
  <si>
    <t>Número de iniciativas productivas apalancadas</t>
  </si>
  <si>
    <t xml:space="preserve">Realizar apálacamiento a las iniciativas productivas rurales, a través  de  procesos de acompañamiento  a la consolidación de  ideas de negocio e  implementación de garantias complementarias para el facilitar el acceso a la diferentes fuentes financiación con el fin de contribuir a generar condiciones para  aumentar   producto interno bruto  el departamento   durante la vigencia 2016 , 
</t>
  </si>
  <si>
    <t>Identificación Y Caracterización De Las Nuevas Iniciativas Productivas Rurales</t>
  </si>
  <si>
    <t>Capacitar A (1.200) Jóvenes Y Mujeres Rurales En Actividades  Agrícolas Y No Agrícolas</t>
  </si>
  <si>
    <t>Número de jóvenes y mujeres rurales capacitados</t>
  </si>
  <si>
    <t xml:space="preserve">Capacitar a jóvenes y mujeres en actividadeas agricolas y no agricolas con procesois de seguimiento y evaluación  en la generación de ideas y/o consolidación de negocios con el fin de contribuir a generar condiciones para  aumentar   producto interno bruto  el departamento   durante la vigencia 2016 </t>
  </si>
  <si>
    <t>Capacitación A Jóvenes Y Mujeres Rurales En Actividades Agrícolas Y No Agrícolas</t>
  </si>
  <si>
    <t>Beneficiar A 2.400 Mujeres Rurales Campesinas, Personas En Condición De Vulnerabilidad Y Con Enfoque Diferencial En Formación Para El Trabajo Y Desarrollo Humano</t>
  </si>
  <si>
    <t>Número de mujeres rurales campesinas, personas en condición de vulnerabilidad y con enfoque diferencial beneficiados</t>
  </si>
  <si>
    <t>Formación Para El Trabajo Y El Desarrollo Humano</t>
  </si>
  <si>
    <t>Impulso a la competitividad productiva y empresarial del sector Rural</t>
  </si>
  <si>
    <t>Apoyar a 5 Sectores Productivos Del Departamento En Ruedas De Negocio</t>
  </si>
  <si>
    <t>0312 - 5 - 3 1 2 2 7 13 78 - 20</t>
  </si>
  <si>
    <t>201663000-0078</t>
  </si>
  <si>
    <t>FORTALECIMIENTO A LA COMPETITIVIDAD PRODUCTIVA Y EMPRESARIAL DEL SECTOR RURAL EN EL DEPARTAMENTO DEL QUINDIO</t>
  </si>
  <si>
    <t>Crecimiento del PIB del departamento  del Quindio frente al PIB Nacional</t>
  </si>
  <si>
    <t xml:space="preserve">Conocimiento de metodos no tradicionales de comercialización </t>
  </si>
  <si>
    <t>Impulsar la competitivdad productiva y empresarial  mediante ruedas de negocio</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</si>
  <si>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</si>
  <si>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</si>
  <si>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</si>
  <si>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</si>
  <si>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INCLUSION SOCIAL</t>
  </si>
  <si>
    <t>Fomento a la Agricultura Familiar Campesina, agricultura urbana y mercados campesinos para la soberanía y  Seguridad alimentaria</t>
  </si>
  <si>
    <t>Diseñar E Implementar El Programa De Agricultura Familiar Y Campesina</t>
  </si>
  <si>
    <t>Programa de agricultura familiar campesina diseñado e implementado</t>
  </si>
  <si>
    <t>0312 - 5 - 3 1 3 11 34 8 79 - 20</t>
  </si>
  <si>
    <t>201663000-0079</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</si>
  <si>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</si>
  <si>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</si>
  <si>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Diseñar e implementar un (1) programa de agricultura familiar campesina</t>
  </si>
  <si>
    <t>Asistencia Técnica A Beneficiarios Del Programa Soberanía Y Seguridad Alimentaria Y Nutricional</t>
  </si>
  <si>
    <t>Apoyar La Conformación De Cuatro Alianzas Para Contratos De Compra Anticipada De Productos De La Agricultura Familiar En El Departamento Del Quindío</t>
  </si>
  <si>
    <t>Numero de alianzas para contratos de compra anticipada apoyados</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</si>
  <si>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</si>
  <si>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</si>
  <si>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</si>
  <si>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Número de hectáreas sembradas</t>
  </si>
  <si>
    <t>Sembrar 150 Ha De Productos De La Canasta Básica Familiar</t>
  </si>
  <si>
    <t>Beneficiar A 2.400 Familias Urbanas Y Periurbanas Con Parcelas De Agricultura Familiar Para Autoconsumo Y Comercio De Excedentes</t>
  </si>
  <si>
    <t>Numero de familias beneficiadas</t>
  </si>
  <si>
    <t>Beneficiar a 2400 familias urbanas y periurbanas con parcelas de agricultura familiar para autoconsumo y comercio de excedentes</t>
  </si>
  <si>
    <t>Acompañamiento A Familias Urbanas Y Periurbanas En El Establecimiento De Parcelas De Agricultura Familiar</t>
  </si>
  <si>
    <t>Mejorar El Estado Nutricional De 1795 Niños Menor De 5 Años Y De 1531 Niños De 6 A 18 Años  En Riesgo De Desnutrición En El Departamento</t>
  </si>
  <si>
    <t>Numero de población infantil en riesgo con estado nutricional de 0 a 5 años y de 6 a 18 años mejorado</t>
  </si>
  <si>
    <t>Mejorar el estado nutricional de 1795 niños menor de 5 años y de 1531 niños de 6 a 18 años  en riesgo de desnutrición en el departamento</t>
  </si>
  <si>
    <t>Talleres De Capacitación En El Mejoramiento De La Dieta Alimenticia A Partir De Productos De La Canasta Básica Familiar</t>
  </si>
  <si>
    <t>ALVARO ARIAS YOUNG</t>
  </si>
  <si>
    <t>Secretario de Agricultura, medio Ambiente y Desarrollo Rural</t>
  </si>
  <si>
    <t>QUINDIO EJEMPLAR Y LEGAL</t>
  </si>
  <si>
    <t xml:space="preserve">Realizar 40 eventos  de sensibilización en transparencia , participación, buen gobierno y valores éticos y morales  </t>
  </si>
  <si>
    <t>No de Eventos  de sensibilización   realizados</t>
  </si>
  <si>
    <t xml:space="preserve">0313 - 5 - 3 1 5 26 83 17 82 - 20
0313 - 5 - 3 1 5 26 83 17 82 - 88
</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</si>
  <si>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</si>
  <si>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</si>
  <si>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</si>
  <si>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</si>
  <si>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Desarrollo de la estrategia de transparencia </t>
  </si>
  <si>
    <t>José Joaquin Rincon Pastrana
Director Oficina Privada</t>
  </si>
  <si>
    <t>Mejorar la cultura del civismo y participación de los ciudadanos  en los  procesos institucionales del gobierno.</t>
  </si>
  <si>
    <t>Desarrollo del sistema departamental del servicio al ciudaddano</t>
  </si>
  <si>
    <t>Implementar una (1) sala de transparencia "Urna de Cristal" en el Departamento</t>
  </si>
  <si>
    <t>Sala de transparencia implementada</t>
  </si>
  <si>
    <t>0313 - 5 - 3 1 5 26 83 17 83 - 20  </t>
  </si>
  <si>
    <t>201663000-0083</t>
  </si>
  <si>
    <t>Implementacion de una (1) sala de transparencia "Urna de Cristal" en el Departamento del Quindio</t>
  </si>
  <si>
    <t>Aumentar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</si>
  <si>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</si>
  <si>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Promociòn  de la Sala  de transparencia</t>
  </si>
  <si>
    <t xml:space="preserve">MODERNIZACIÓN TECNOLOGICA Y ADMINISTRATIVA </t>
  </si>
  <si>
    <t xml:space="preserve">Desarrollar e implementar una (1) estrategía de comunicaciones  </t>
  </si>
  <si>
    <t>Estrategía de comunicaciones desarrollada e implementada</t>
  </si>
  <si>
    <t>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</si>
  <si>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</si>
  <si>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</si>
  <si>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</si>
  <si>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</si>
  <si>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</si>
  <si>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Desarrollo de la estrategia de comunicaciones</t>
  </si>
  <si>
    <t>Planificación institucional en la divulgación de los programas y proyectos</t>
  </si>
  <si>
    <t xml:space="preserve">Operatividad de la estrategica de comunicaciones </t>
  </si>
  <si>
    <t>JOSE JOAQUIN RINCON PASTRANA</t>
  </si>
  <si>
    <t>SECRETARIO DE DESPACHO</t>
  </si>
  <si>
    <t>Edad Económicamente 
Activa (20-59 años)</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</si>
  <si>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</si>
  <si>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</si>
  <si>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</si>
  <si>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</si>
  <si>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
0314 - 5 - 3 1 3 5 16 1 84 - 35
1404 - 5 - 3 1 3 5 16 1 84 - 81
0314 - 5 - 3 1 3 5 16 1 84 - 91
0314 - 5 - 3 1 3 5 16 1 84 - 88
1404 - 5 - 3 1 3 5 16 1 84 - 137</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</si>
  <si>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</si>
  <si>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</si>
  <si>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</si>
  <si>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</si>
  <si>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</si>
  <si>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</si>
  <si>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Secretario de Educación Departamental</t>
  </si>
  <si>
    <t>Superávit Monopolio</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</si>
  <si>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</si>
  <si>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</si>
  <si>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</si>
  <si>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</si>
  <si>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 xml:space="preserve"> Educación PAE </t>
  </si>
  <si>
    <t> Rendimientos Financieros -Educación PAE -</t>
  </si>
  <si>
    <t>Superavit Programa de Alimentación EScolar PAE</t>
  </si>
  <si>
    <t>Cofinanciación Convenios Interadm.-otors</t>
  </si>
  <si>
    <t>Personal de apoyo , para el acompañamiento, seguimiento y verificación y supervision de la ejecucion del PAE</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</si>
  <si>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</si>
  <si>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</si>
  <si>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</si>
  <si>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</si>
  <si>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</si>
  <si>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</si>
  <si>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</si>
  <si>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0314 - 5 - 3 1 3 5 17 1 86 - 20
1404 - 5 - 3 1 3 5 17 1 86 - 25
0314 - 5 - 3 1 3 5 17 1 86 - 88</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</si>
  <si>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</si>
  <si>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</si>
  <si>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</si>
  <si>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</si>
  <si>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</si>
  <si>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 xml:space="preserve">
Secretario de Educación Departamental</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</si>
  <si>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</si>
  <si>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</si>
  <si>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</si>
  <si>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</si>
  <si>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</si>
  <si>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</si>
  <si>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</si>
  <si>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</si>
  <si>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</si>
  <si>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</si>
  <si>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</si>
  <si>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</si>
  <si>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Implementar un programa para brindarles una mejor atencion educativa a los menores y/o adultos con situaciones penales, iletrados, menores trabajadores.</t>
  </si>
  <si>
    <t>SGP</t>
  </si>
  <si>
    <t>Diseñar e implementar un plan para la caracterización y atención de la población en condiciones especiales y excepcionales del departa</t>
  </si>
  <si>
    <t>Personal de apoyo idoneos para la atencion de la poblacion con NNE y talentos Excepcionales.</t>
  </si>
  <si>
    <t>SGP Educacion</t>
  </si>
  <si>
    <t xml:space="preserve">Adquisición de materiales pedagogicos, didacticos, tecnicos y tecnologicos accesibles para promover una educación pertinente y de calidad para estudiantes con discapacidad </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</si>
  <si>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</si>
  <si>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</si>
  <si>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</si>
  <si>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</si>
  <si>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</si>
  <si>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</si>
  <si>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</si>
  <si>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SGP Educacion (Aportes patronales)</t>
  </si>
  <si>
    <t>Superávit SGP Educación </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</si>
  <si>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</si>
  <si>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</si>
  <si>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</si>
  <si>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</si>
  <si>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</si>
  <si>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</si>
  <si>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</si>
  <si>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</si>
  <si>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</si>
  <si>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</si>
  <si>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</si>
  <si>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</si>
  <si>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Número de docentes capacitados</t>
  </si>
  <si>
    <t xml:space="preserve">0314 - 5 - 3 1 3 6 19 1 89 - 20
0314 - 5 - 3 1 3 6 19 1 89 - 88
</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</si>
  <si>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</si>
  <si>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</si>
  <si>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</si>
  <si>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</si>
  <si>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</si>
  <si>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</si>
  <si>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</si>
  <si>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</si>
  <si>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</si>
  <si>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</si>
  <si>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</si>
  <si>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</si>
  <si>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</si>
  <si>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</si>
  <si>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</si>
  <si>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</si>
  <si>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</si>
  <si>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</si>
  <si>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</si>
  <si>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</si>
  <si>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</si>
  <si>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</si>
  <si>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</si>
  <si>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</si>
  <si>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</si>
  <si>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</si>
  <si>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</si>
  <si>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</si>
  <si>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</si>
  <si>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</si>
  <si>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</si>
  <si>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</si>
  <si>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</si>
  <si>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</si>
  <si>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</si>
  <si>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</si>
  <si>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</si>
  <si>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</si>
  <si>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</si>
  <si>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</si>
  <si>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</si>
  <si>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</si>
  <si>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 xml:space="preserve">
SGP Prestación de Servicios Educación</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</si>
  <si>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</si>
  <si>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</si>
  <si>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</si>
  <si>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</si>
  <si>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Dotación de implementos de mitigación, prevencion y atención del riesgo para el fortalecimiento del Plan Escolar de Gestión del Riesgo (PEGER)</t>
  </si>
  <si>
    <t>0314 - 5 - 3 1 3 6 20 1 90 - 20</t>
  </si>
  <si>
    <t>Clasificación de residuos peligrosos en instituciones educativas</t>
  </si>
  <si>
    <t>Realizar ocho (8) eventos académicos, investigativos y culturales</t>
  </si>
  <si>
    <t>Número de eventos realizados</t>
  </si>
  <si>
    <t>0314 - 5 - 3 1 3 6 20 1 90 - 88</t>
  </si>
  <si>
    <t>Encuentro Cultural de Étnoeducación</t>
  </si>
  <si>
    <t>1404 - 5 - 3 1 3 6 20 1 90 - 21</t>
  </si>
  <si>
    <t>Feria Concetar TIC</t>
  </si>
  <si>
    <t>1404 - 5 - 3 1 3 6 20 1 90 - 25</t>
  </si>
  <si>
    <t xml:space="preserve">Festival de Literatura y Escritura
</t>
  </si>
  <si>
    <t xml:space="preserve">Implementar el  programa de  jornada única con el acceso y permanencia de veinte mil (20.000) estudiantes </t>
  </si>
  <si>
    <t>Numero de estudiantes en el programa jornada única</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</si>
  <si>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</si>
  <si>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</si>
  <si>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</si>
  <si>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</si>
  <si>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</si>
  <si>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</si>
  <si>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Levantamiento de planos para determinar necesidades en la adecuación y/o construcción de pequeñas intervenciones en infraestructura de las sedes educativas</t>
  </si>
  <si>
    <t xml:space="preserve">Apoyo para formulación de proyectos de infraestructura educativa </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</si>
  <si>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</si>
  <si>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</si>
  <si>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</si>
  <si>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</si>
  <si>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 xml:space="preserve">SGP Educacion </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</si>
  <si>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</si>
  <si>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</si>
  <si>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</si>
  <si>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</si>
  <si>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</si>
  <si>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</si>
  <si>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</si>
  <si>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</si>
  <si>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</si>
  <si>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</si>
  <si>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</si>
  <si>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</si>
  <si>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 xml:space="preserve">Dotar ciento cuarenta (140) sedes educativas con la colección semilla </t>
  </si>
  <si>
    <t xml:space="preserve"> Dotar sedes educativas del Departamento del Quindío con la colección semilla</t>
  </si>
  <si>
    <t>Adquisiciíon Colección Semilla</t>
  </si>
  <si>
    <t>Número de sedes educativas dotadas</t>
  </si>
  <si>
    <t>0314 - 5 - 3 1 3 6 21 1 91 - 20</t>
  </si>
  <si>
    <t>Apoyar los  procesos de capacitación  de quinientos (500) docentes del departamento</t>
  </si>
  <si>
    <t>Número de docentes apoyados</t>
  </si>
  <si>
    <t>0314 - 5 - 3 1 3 6 21 1 91 - 88</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</si>
  <si>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</si>
  <si>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</si>
  <si>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</si>
  <si>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</si>
  <si>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</si>
  <si>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</si>
  <si>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</si>
  <si>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</si>
  <si>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</si>
  <si>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</si>
  <si>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</si>
  <si>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</si>
  <si>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</si>
  <si>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</si>
  <si>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</si>
  <si>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Ordinarios</t>
  </si>
  <si>
    <t>Acompañamiento y seguimiento en las acciones de mejora en aspectos contables financieros y presupuestales de las IE del departamento del Quindio</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</si>
  <si>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</si>
  <si>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</si>
  <si>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</si>
  <si>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</si>
  <si>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</si>
  <si>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</si>
  <si>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</si>
  <si>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</si>
  <si>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</si>
  <si>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</si>
  <si>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</si>
  <si>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</si>
  <si>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</si>
  <si>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</si>
  <si>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</si>
  <si>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</si>
  <si>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</si>
  <si>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</si>
  <si>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</si>
  <si>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</si>
  <si>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</si>
  <si>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</si>
  <si>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</si>
  <si>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</si>
  <si>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</si>
  <si>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</si>
  <si>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</si>
  <si>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</si>
  <si>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</si>
  <si>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</si>
  <si>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</si>
  <si>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</si>
  <si>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Fortalecer cincuenta (50)   instituciones educativas en competencias básicas</t>
  </si>
  <si>
    <t>Número de instituciones educativas fortalecidas</t>
  </si>
  <si>
    <t xml:space="preserve">0314 - 5 - 3 1 3 7 24 1 95 - 20
0314 - 5 - 3 1 3 7 24 1 95 - 88_x000D_
</t>
  </si>
  <si>
    <t>Capacitación y Logistica, Talleres de Referentes, Planeación Curricular, Evaluación de los Aprendizajes</t>
  </si>
  <si>
    <t>superavit ordinario</t>
  </si>
  <si>
    <t>Fortalecer cuarenta y siete (47) instituciones educativas con el programa de articulación con la educación superior y Educacion para el Trabajo y Desarrollo  Humano ETDH</t>
  </si>
  <si>
    <t>Atención estudiantes de educación media de las Instituciones Educativas Oficiales del Departamento, en programas de nivel técnico  profesional</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</si>
  <si>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</si>
  <si>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</si>
  <si>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</si>
  <si>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</si>
  <si>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</si>
  <si>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 xml:space="preserve">0314 - 5 - 3 1 3 7 24 1 122 - 20_x000D_
0314 - 5 - 3 1 3 7 24 1 122 - 35_x000D_
0314 - 5 - 3 1 3 7 24 1 122 - 88
</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</si>
  <si>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</si>
  <si>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</si>
  <si>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</si>
  <si>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 xml:space="preserve">Recurso MOnopolio
</t>
  </si>
  <si>
    <t xml:space="preserve">Recurso Ordinadio
</t>
  </si>
  <si>
    <t>Aportes ente territorial para la infraestructura en educación superior</t>
  </si>
  <si>
    <t>Pago cuota compraventa bien inmueble Institucion Educativa San Jose de Circasia ordenanzas 035 de 2010,047 de 2010 y 020 de 2011</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</si>
  <si>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</si>
  <si>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</si>
  <si>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</si>
  <si>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</si>
  <si>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</si>
  <si>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</si>
  <si>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</si>
  <si>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</si>
  <si>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</si>
  <si>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</si>
  <si>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</si>
  <si>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</si>
  <si>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</si>
  <si>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</si>
  <si>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</si>
  <si>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</si>
  <si>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Número de sedes educativas implementadas y/o mejoradas</t>
  </si>
  <si>
    <t xml:space="preserve">0314 - 5 - 3 1 3 8 26 1 97 - 20_x000D_
0314 - 5 - 3 1 3 8 26 1 97 - 88_x000D_
1404 - 5 - 3 1 3 8 26 1 97 - 25_x000D_
</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</si>
  <si>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</si>
  <si>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</si>
  <si>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</si>
  <si>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</si>
  <si>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</si>
  <si>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</si>
  <si>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</si>
  <si>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</si>
  <si>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</si>
  <si>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</si>
  <si>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</si>
  <si>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</si>
  <si>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</si>
  <si>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</si>
  <si>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</si>
  <si>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</si>
  <si>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</si>
  <si>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</si>
  <si>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</si>
  <si>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</si>
  <si>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</si>
  <si>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</si>
  <si>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</si>
  <si>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</si>
  <si>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</si>
  <si>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</si>
  <si>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</si>
  <si>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Atención Integral a la Primera Infancia</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</si>
  <si>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</si>
  <si>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</si>
  <si>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</si>
  <si>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</si>
  <si>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</si>
  <si>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</si>
  <si>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</si>
  <si>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</si>
  <si>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Apoyo para el programa de educación inicial en las instiuciones educativas oficiales del Departamento</t>
  </si>
  <si>
    <t>FRANCISICO JAVIER LOPEZ SEPULVEDA</t>
  </si>
  <si>
    <t>SECRETARIO DE EDUCACION DEPARTAMENTAL</t>
  </si>
  <si>
    <t xml:space="preserve">PLAN DE DESARROLLO DEPARTAMENTAL  SECRETARIA DE FAMILIA </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</si>
  <si>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</si>
  <si>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</si>
  <si>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</si>
  <si>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</si>
  <si>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</si>
  <si>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</si>
  <si>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</si>
  <si>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</si>
  <si>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Implementar un programa de atencion integral a menores de 5 años y madres gestantes en entornos familiares</t>
  </si>
  <si>
    <t xml:space="preserve">
 SECRETARIA DE FAMILIA</t>
  </si>
  <si>
    <t>Realizar talleres de sensibilización en entorno Institucional a la primera infancia</t>
  </si>
  <si>
    <t>Apoyo en la realizacion de actividades y seguimiento del modelo intersectorial de atencion integral a los municipios del departamento</t>
  </si>
  <si>
    <t>Realizar seguimiento a las acciones que garanticen la atencion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</si>
  <si>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</si>
  <si>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</si>
  <si>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</si>
  <si>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</si>
  <si>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</si>
  <si>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</si>
  <si>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</si>
  <si>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</si>
  <si>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</si>
  <si>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</si>
  <si>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</si>
  <si>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</si>
  <si>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</si>
  <si>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</si>
  <si>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</si>
  <si>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</si>
  <si>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</si>
  <si>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</si>
  <si>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</si>
  <si>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</si>
  <si>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política publica de familia</t>
  </si>
  <si>
    <t xml:space="preserve">Alto grado de tolerancia ante la diversidad de pensamientos y comportamientos al interior de las familias </t>
  </si>
  <si>
    <t xml:space="preserve">Campañas, publicidad y promocion </t>
  </si>
  <si>
    <t>Refrigerios, logistica y sonido</t>
  </si>
  <si>
    <t xml:space="preserve">Quindío departamento de derechos  de niñas, niños y adolescentes </t>
  </si>
  <si>
    <t/>
  </si>
  <si>
    <t>Implementar la política pública de primera infancia, infancia y adolescencia</t>
  </si>
  <si>
    <t>Política publica de primera infancia, infancia y adolescencia implementada</t>
  </si>
  <si>
    <t>0316 - 5 - 3 1 3 17 59 14 109 - 20</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</si>
  <si>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</si>
  <si>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</si>
  <si>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</si>
  <si>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</si>
  <si>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Apoyar con el seguimiento al Plan de Acción de la Politica Publica  de primera infancia, infancia y adolescencia del departamento</t>
  </si>
  <si>
    <t>Apoyo al Comite de  Primera Infancia, Infancia y Adolescencia y al Consejo de Politica Social</t>
  </si>
  <si>
    <t>Apoyo a programas que conlleven a la  implementación de la Politica publica de primera infancia, infancia y adolescencia en el Departamento del Quindio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</si>
  <si>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</si>
  <si>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</si>
  <si>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Promover prácticas deportivas, recreativas, lúdicas y culturales, como generadora y potenciadora en el desarrollo integral de los niños, niñas y adolescentes vulnerables del departamento del Quindío.</t>
  </si>
  <si>
    <t>Logistica operativa, sonido, refrigerios.</t>
  </si>
  <si>
    <t>Implementar  una estrategia de prevención y atención de embarazos y segundos embarazos a temprana edad.</t>
  </si>
  <si>
    <t>Estrategia de prevención  y atención de embarazos a temprana edad implementada</t>
  </si>
  <si>
    <t xml:space="preserve">Disminuir los factores de vulneracion de los derechos de niños, niñas y adolescentes (maltrato, abuso,abandono, explotación sexual) </t>
  </si>
  <si>
    <t xml:space="preserve">Apoyar la Implementación de una estrategia de prevencion de embarazos y segundos embarazos a temprana edad
</t>
  </si>
  <si>
    <t>Realizar jornadas pedagogicas de prevencion en las Instituciones educativas del depto</t>
  </si>
  <si>
    <t>Apoyar la articulación intersectorial, a través de mesas de trabajo en pro de la prevencion de los embarazos en adolescentes y segundos embarazos a temprana edad.</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</si>
  <si>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</si>
  <si>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</si>
  <si>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</si>
  <si>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 xml:space="preserve">Apoyar la implementación de una  estrategia  de prevención y atención de la erradicación del abuso, explotación sexual comercial, trabajo infantil y peores formas de trabajo, y actividades delictivas
</t>
  </si>
  <si>
    <t>Apoyar la implementación del Plan integral de prevención y erradicación del trabajo infantil "PIPETI", las peores formas de trabajo y apoyar al CIETI</t>
  </si>
  <si>
    <t>Brindar asistencia tecnica y Apoyo a las la difernetes iniciativas  en los doce municipios orientados a la prevención de la vulneracion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</si>
  <si>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</si>
  <si>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</si>
  <si>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</si>
  <si>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</si>
  <si>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</si>
  <si>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</si>
  <si>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</si>
  <si>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Alta articulación entre los entes gubernamentales y privados para realizar el seguimiento de la matriz de planificación de la política publica de juventud del depto
</t>
  </si>
  <si>
    <t xml:space="preserve">Apoyo y seguimiento a los indicadores de cumplimiento del plan de accion de la politica publica de juventud </t>
  </si>
  <si>
    <t>fortalecer los proyectos productivos de organizaciones juveniles legalmente constituidas</t>
  </si>
  <si>
    <t xml:space="preserve">Capacitaciones, socialización y conformación de espacios de participación juvenil </t>
  </si>
  <si>
    <t>Desarrollo de acciones dispuestas a la implementacion de la politica de juventud, en los componentes de responsabilidad de la oficina de juventud</t>
  </si>
  <si>
    <t>ADQUISICION DE BIENES Y SERVICIOS: Logistica operativa,  refrigerios, sonido, ferreteria, etc</t>
  </si>
  <si>
    <t>Volantes, pendones, afiches, manillas, etc.</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</si>
  <si>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</si>
  <si>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</si>
  <si>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</si>
  <si>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</si>
  <si>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</si>
  <si>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</si>
  <si>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</si>
  <si>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</si>
  <si>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</si>
  <si>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</si>
  <si>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</si>
  <si>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</si>
  <si>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</si>
  <si>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</si>
  <si>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</si>
  <si>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</si>
  <si>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</si>
  <si>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</si>
  <si>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</si>
  <si>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</si>
  <si>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 xml:space="preserve">Apoyar la Implementación de programas para la creación de empresas </t>
  </si>
  <si>
    <t xml:space="preserve">Promover  y  fortalecer la creación de organizaciones que trabajan con y para las personas con discapacidad y sus familias 
</t>
  </si>
  <si>
    <t>Apoyar la Formación a líderes y al Comité Departamental de Discapacidad en gestión y formulación de proyectos</t>
  </si>
  <si>
    <t>Procesos de  fortalecimiento en la cultura organizacional  del sector público y privado</t>
  </si>
  <si>
    <t>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</si>
  <si>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</si>
  <si>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</si>
  <si>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</si>
  <si>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</si>
  <si>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 xml:space="preserve">Apoyar la elaboración ,seguimiento y evaluacion de los planes de accion de los municipios y depto de la Politica Publica de discapacidad.
</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</si>
  <si>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</si>
  <si>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</si>
  <si>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</si>
  <si>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</si>
  <si>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</si>
  <si>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</si>
  <si>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 xml:space="preserve">LOGISTICA OPERATIVA: Rrefrigerios, sonido, logistica en genreal, elementos y/o materia prima </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</si>
  <si>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</si>
  <si>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</si>
  <si>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</si>
  <si>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</si>
  <si>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</si>
  <si>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</si>
  <si>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</si>
  <si>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</si>
  <si>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</si>
  <si>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</si>
  <si>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SECRETARIA DE FAMILIA
 SECRETARIA DE FAMILIA</t>
  </si>
  <si>
    <t>Apoyar el seguimiento a los programas, proyectos y/o actividades que beneficien la población Habitantes en Calle y  personas en alta  vulnerabilidad y alto riesgo social</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</si>
  <si>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</si>
  <si>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</si>
  <si>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</si>
  <si>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</si>
  <si>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Implementacion de la estrategia de atención de la poblacion en situacion de vulnerabilidad del departamento</t>
  </si>
  <si>
    <t>Brindar apoyo a la Secretaría de Familia en las diferentes jornadas, actividades o acciones  realizadas  con  población vulnerable del departameno el Quindío.</t>
  </si>
  <si>
    <t>Apoyar a la Secretaría de Familia en la realización de convocatorias, acompañamiento logístico y asistencia operativa tendientes a la atención de la población vulnerable del departamento.</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</si>
  <si>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</si>
  <si>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polbacion vulnerable</t>
  </si>
  <si>
    <t>Apoyar  con  programas específicos, dirigido  a grupos  que viven en entornos de alto riesgo: Extrema pobreza, desarraigo social,  drogadicción, delincuencia, prostitución, o pertenecen a familias    multiproblemáticas  y de alto riesgo social</t>
  </si>
  <si>
    <t xml:space="preserve">Realizar estrategias orientadas a población en estado de vulnerabilidad que permitan garantizar espacios de bienestar, cohesión social; que dignifiquen sus condiciones de vida </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</si>
  <si>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</si>
  <si>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implementacion de estretegias, programas o proyectos que conlleven al bienestar de las familias, los niños y niñas, jóvenes y mujeres del departamento del Quindio en situacion de vulnerabilidad </t>
  </si>
  <si>
    <t xml:space="preserve">Implementar con la comunidad  de los sectores de mayor vulnerabilidad programas, proyectos y / o estrategias de prevencion al consumo de drogas </t>
  </si>
  <si>
    <t>Logistica operativa, refrigerios, sonido, ferretería</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</si>
  <si>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</si>
  <si>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</si>
  <si>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</si>
  <si>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</si>
  <si>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</si>
  <si>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</si>
  <si>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</si>
  <si>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</si>
  <si>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garantia de derechos de la población migrante del Departamento</t>
  </si>
  <si>
    <t xml:space="preserve">Asistencias tecnicas  personales y grupales para la creación de rutas de atención al ciudadano migrante </t>
  </si>
  <si>
    <t>Capacitación secretarias sectoriales en cuanto la atención al ciudadano migrante</t>
  </si>
  <si>
    <t xml:space="preserve"> 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</si>
  <si>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</si>
  <si>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</si>
  <si>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</si>
  <si>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</si>
  <si>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</si>
  <si>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</si>
  <si>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</si>
  <si>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 xml:space="preserve">Altos indices de seguridad alimentaria,
emprendimiento, cultura, educación, género, familia, identidad, gobernabilidad, salud y justicia propia 
</t>
  </si>
  <si>
    <t>Asistencia Social: Procesos de apoyo, gestión, asesoria y acompañamiento al Resguardo Dachi Agore Drua del Departamento para garantizar los derechos fundamentales y Especiales.</t>
  </si>
  <si>
    <t>31/12/0219</t>
  </si>
  <si>
    <t xml:space="preserve">Apoyo, acompañamiento y fortalecimiento en cuanto procesos de seguridad alimentaria, saneamiento basico, educación, salud, justicia, gobernabilidad y territorio </t>
  </si>
  <si>
    <t>Apoyar con unidades productivas al plan de vida del Resguardo Indigena</t>
  </si>
  <si>
    <t>Compra de herramientas, materiales, insumos, etc.para beneficiar a la poblacion indigena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</si>
  <si>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</si>
  <si>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</si>
  <si>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</si>
  <si>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</si>
  <si>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</si>
  <si>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</si>
  <si>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</si>
  <si>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</si>
  <si>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</si>
  <si>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</si>
  <si>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</si>
  <si>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</si>
  <si>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</si>
  <si>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</si>
  <si>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</si>
  <si>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</si>
  <si>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</si>
  <si>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</si>
  <si>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Capacitaciones dirigidas a comunidades Afros del Departamento</t>
  </si>
  <si>
    <t xml:space="preserve">Apoyo, acompañamiento y fortalecimiento en cuanto procesos de seguridad alimentaria, saneamiento basico, educación, salud y vivienda  </t>
  </si>
  <si>
    <t xml:space="preserve">Alto interes en apoyar y fortalecer la formulación de planes de etnodesarrollo en los municipios con presencia de comunidades afrodescendientes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</si>
  <si>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</si>
  <si>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</si>
  <si>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</si>
  <si>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</si>
  <si>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 xml:space="preserve">0316 - 5 - 3 1 3 18 65 14 125 - 20
</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</si>
  <si>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</si>
  <si>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</si>
  <si>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</si>
  <si>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</si>
  <si>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Implementacion del plan de accion  de la politica publica de diversidad sexual e identidad de genero</t>
  </si>
  <si>
    <t>Desarrollo de campañas talleres y proyectos relacionados con la promocion de derechos de poblacion LGTBI</t>
  </si>
  <si>
    <t>Altos espacios de atención, formación y reflexión, orientados al fortalecimiento de los entornos  sociales y educativos respecto a las personas con diversidad sexual</t>
  </si>
  <si>
    <t>Pendón,plegables. Folletos, manillas, etc</t>
  </si>
  <si>
    <t>Logistica operativa, refrigerios, sonido para celebracion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</si>
  <si>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</si>
  <si>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</si>
  <si>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</si>
  <si>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</si>
  <si>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</si>
  <si>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 xml:space="preserve">Implementacion de programas y proyectos institucionalespara el acceso a las oportunidades Economicas sociales y culturales de mujeres en el departamento del Quindio 
</t>
  </si>
  <si>
    <t>Apropiación jurídica  por parte de la población e institucionalidad sobre las rutas de atención existentes</t>
  </si>
  <si>
    <t xml:space="preserve">Seguimiento al cumplimiento de los planes de acción de la Politica Publica de  Equidad de Género para la mujer
</t>
  </si>
  <si>
    <t>Apoyo en la consolidacion de espacios de participacion a traves de la socializacion de la normatividad existente</t>
  </si>
  <si>
    <t xml:space="preserve">Capacitacion  y concientización  para lograr la igualdad de género y empoderar a las mujeres 
</t>
  </si>
  <si>
    <t>0316 - 5 - 3 1 3 19 67 14 128 - 20</t>
  </si>
  <si>
    <t>Mejorar la articulación frente a la implementación de las políticas públicas de equidad y género</t>
  </si>
  <si>
    <t>Fortalecimiento y/o apoyo a unidades productivas y/o proyectos de emprendemiento de mujeres</t>
  </si>
  <si>
    <t xml:space="preserve">Desarrollo de actividades de impacto para la promocion de derechos y movilizacion social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</si>
  <si>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</si>
  <si>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</si>
  <si>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</si>
  <si>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</si>
  <si>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0316 - 5 - 3 1 3 19 67 14 129 - 20
</t>
  </si>
  <si>
    <t>201663000-0129</t>
  </si>
  <si>
    <t xml:space="preserve">Apoyo y bienestar integral a las personas mayores del Departamento del Quindio </t>
  </si>
  <si>
    <t>Altos índices de atención a los adultos mayores en el departamento del Quindío.</t>
  </si>
  <si>
    <t xml:space="preserve">                                                                                    Apoyar la elaboración ,seguimiento y evaluacion de los planes de accion de los municipios y depto de la Politica Publica de envejecimiento y vejez
                                                                                                                                                                                                                                  </t>
  </si>
  <si>
    <t>Apoyo  al  seguimiento de  la  ejecución presupuestal  de los recursos destinados   a la  política pública de Envejecimiento y vejez</t>
  </si>
  <si>
    <t xml:space="preserve">Apoyar el seguimiento y evaluacion de los planes de accion de los municipios y depto de la Politica Publica de envejecimiento y vejez
</t>
  </si>
  <si>
    <t xml:space="preserve">
Desarrollar estrategias de vigilancia y control que permitan garantizar el cumplimiento y reconocimiento de los derechos de las personas mayores</t>
  </si>
  <si>
    <t xml:space="preserve">
Apoyar asistencias técnicas grupales a los grupos de adultos mayores del depto, en deporte, cultura, recreación y motivación </t>
  </si>
  <si>
    <t xml:space="preserve">Realizar motivación e infundir  sentido de pertenencia y compromiso de parte del Consejo Departamental del  adulto mayor_x000D_
</t>
  </si>
  <si>
    <t>Logística Operativa: Sonido, logistica, refrigerios</t>
  </si>
  <si>
    <t>Apoyo a  eventos programados por la Secretaría dia de la celebracion de las personas de la tercera edad y el pensionado</t>
  </si>
  <si>
    <t>Crear el cabildo de adulto mayor del Departamento y apoyar la creación en once municipios del Quindío</t>
  </si>
  <si>
    <t>Número de Cabildos de Adulto Mayor creados.</t>
  </si>
  <si>
    <t>0316 - 5 - 3 1 3 19 67 14 129 - 20</t>
  </si>
  <si>
    <t xml:space="preserve">
Apoyar con actividades para la  creacion del cabildo de adulto mayoren en 6 municipios del Quindio
</t>
  </si>
  <si>
    <t xml:space="preserve">Apoyar 12 Centros de Bienestar del Departamento </t>
  </si>
  <si>
    <t>Centro de bienestar apoyados</t>
  </si>
  <si>
    <t>0316 - 5 - 3 1 3 19 67 14 129 - 06
0316 - 5 - 3 1 3 19 67 14 129 - 84</t>
  </si>
  <si>
    <t xml:space="preserve">Apoyar acciones que conlleven al conocimiento de la Ley 1276 del 2009: Nuevos Criterios de Atención Integral del Adulto  Mayor en los Centros Vida
</t>
  </si>
  <si>
    <t>Centros de Binestar del Adulto Mayor (CBA)</t>
  </si>
  <si>
    <t>Estampilla adulto mayor</t>
  </si>
  <si>
    <t>Superavit Adulto mayor</t>
  </si>
  <si>
    <t xml:space="preserve">Apoyar 14 Centros Vida del Departamento </t>
  </si>
  <si>
    <t>Centros vida apoyados</t>
  </si>
  <si>
    <t>CENTROS VIDA (DV)</t>
  </si>
  <si>
    <t>SECRETARIA DE FAMILIA</t>
  </si>
  <si>
    <t xml:space="preserve">PROYECTO Y ELABORO: </t>
  </si>
  <si>
    <t>Establecer y socializar veinte (20)  políticas desde la cultura de la legalidad y  la prevención de daño antijurídico en  el Departamento.</t>
  </si>
  <si>
    <t>Número muncipios con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</si>
  <si>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</si>
  <si>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</si>
  <si>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</si>
  <si>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</si>
  <si>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</si>
  <si>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</si>
  <si>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Secretario de Representación Judicial y Defensa del Departamento</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</si>
  <si>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</si>
  <si>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</si>
  <si>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</si>
  <si>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</si>
  <si>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</si>
  <si>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0324 - 5 - 3 1 5 28 89 17 1 - 20</t>
  </si>
  <si>
    <t>DIRECCIÓN DE TIC´S</t>
  </si>
  <si>
    <t>Compra o adquisición de Sofware</t>
  </si>
  <si>
    <t>Fortalecer el programa de  infraestructura tecnológica de la  Administración Departamental (hadware, aplicativos, redes, y capacitación)</t>
  </si>
  <si>
    <t>Programa de infraestructura tecnologica de la administracion fortalecido</t>
  </si>
  <si>
    <t xml:space="preserve">0324 - 5 - 3 1 5 28 89 17 3 - 20 
0324 - 5 - 3 1 5 28 89 17 3 - 88   </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</si>
  <si>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</si>
  <si>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</si>
  <si>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</si>
  <si>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</si>
  <si>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Dirección  TIC´S</t>
  </si>
  <si>
    <t>Compra o adquisicion de sotfware</t>
  </si>
  <si>
    <t>ajustes junio 12-2019</t>
  </si>
  <si>
    <t>Incrementar la  renovación de las herramientas tecnológicas a través de outsourcing para ampliar el numero de equipos de ultima tecnología logrando una mejor atención a los usuarios</t>
  </si>
  <si>
    <t>Soporte aplicativos</t>
  </si>
  <si>
    <t>0324 - 5 - 3 1 5 28 89 17 4 - 20
0324 - 5 - 3 1 2 28 89 17 4 - 88</t>
  </si>
  <si>
    <t>ajuste juni 11- 2019</t>
  </si>
  <si>
    <t>JAIME ALBERTO LLANO CHAPARRO</t>
  </si>
  <si>
    <t xml:space="preserve">Secretario de Tecnologías de la Información y las Comunicaciones </t>
  </si>
  <si>
    <t>Apoyo al deporte asociado</t>
  </si>
  <si>
    <t xml:space="preserve"> Ligas deportivas del departamento del Quindío</t>
  </si>
  <si>
    <t xml:space="preserve">Apoyar  y fortalecer veintitrés (23) ligas deportivas   </t>
  </si>
  <si>
    <t>Ligas deportivas apoyadas y fortalecidas</t>
  </si>
  <si>
    <t>2234468202-12</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</si>
  <si>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</si>
  <si>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</si>
  <si>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</si>
  <si>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</si>
  <si>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</si>
  <si>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MONOPOLIO</t>
  </si>
  <si>
    <t>GERENTE GENERAL INDEPORTES</t>
  </si>
  <si>
    <t>REC. DEL BALANCE - MONOPOLIO</t>
  </si>
  <si>
    <t>2234468202-9</t>
  </si>
  <si>
    <t>RENDIMIENTOS FINANCIEROS</t>
  </si>
  <si>
    <t>IPOCONSUMO</t>
  </si>
  <si>
    <t>2234468202-3</t>
  </si>
  <si>
    <t>2234468202_4</t>
  </si>
  <si>
    <t>Realizar acompañamiento y asesorìa a las ligas y clubes del departamento  (Componente tecnico)</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</si>
  <si>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</si>
  <si>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</si>
  <si>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</si>
  <si>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</si>
  <si>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</si>
  <si>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</si>
  <si>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Apoyar 13 ligas de los eventos deportivos de carácter federado nacional y departamental</t>
  </si>
  <si>
    <t>Ligas apoyadas en eventos departamental y nacionales .</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</si>
  <si>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</si>
  <si>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</si>
  <si>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</si>
  <si>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</si>
  <si>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</si>
  <si>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</si>
  <si>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</si>
  <si>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</si>
  <si>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</si>
  <si>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</si>
  <si>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</si>
  <si>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</si>
  <si>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2234470205-4</t>
  </si>
  <si>
    <t>2234470205-7</t>
  </si>
  <si>
    <t>COLDEPORTES</t>
  </si>
  <si>
    <t>2234470205-13</t>
  </si>
  <si>
    <t>SUPERAVIT</t>
  </si>
  <si>
    <t>2234470205-15</t>
  </si>
  <si>
    <t>REC. DEL BALANCE - REND, FROS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</si>
  <si>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</si>
  <si>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</si>
  <si>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</si>
  <si>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</si>
  <si>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</si>
  <si>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</si>
  <si>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</si>
  <si>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</si>
  <si>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</si>
  <si>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2234471206_13</t>
  </si>
  <si>
    <t>Desarrollar  1 eventos de deporte social y comunitario.</t>
  </si>
  <si>
    <t>Eventos deportivos social y comunitarios desarrollar</t>
  </si>
  <si>
    <t>2234471207_12</t>
  </si>
  <si>
    <t>Realizacion de eventos deportivos en el departamento (Adquisición de Bienes y Servicios)</t>
  </si>
  <si>
    <t>2234471207_13</t>
  </si>
  <si>
    <t>Apoyar  técnicamente un 1  evento de  Juegos Comunales en la fase Departamental</t>
  </si>
  <si>
    <t>Juegos comunales apoyados.</t>
  </si>
  <si>
    <t>2234471208_4</t>
  </si>
  <si>
    <t>Realizacion de los juegos comunales en el departamento (Adquisición de Bienes y Servicios)</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</si>
  <si>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</si>
  <si>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</si>
  <si>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</si>
  <si>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</si>
  <si>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</si>
  <si>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</si>
  <si>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</si>
  <si>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</si>
  <si>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</si>
  <si>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</si>
  <si>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</si>
  <si>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2234572209_7</t>
  </si>
  <si>
    <t>SUPERÁVIT IMPUESTO AL CONSUMO 3%</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</si>
  <si>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</si>
  <si>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</si>
  <si>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</si>
  <si>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</si>
  <si>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2234572210_3</t>
  </si>
  <si>
    <t>2234572210_7</t>
  </si>
  <si>
    <t>Crear y desarrollar una estrategia para articular la actividad recreativa social comunitaria desde la primera infancia hasta las personas mayores.</t>
  </si>
  <si>
    <t>Estrategia creada y desarrollada.</t>
  </si>
  <si>
    <t>2234572211_3</t>
  </si>
  <si>
    <t>Apoyo logistico tecnico (Adquisición de Bienes y Servicio)</t>
  </si>
  <si>
    <t>2234572211_7</t>
  </si>
  <si>
    <t>2234572211_6</t>
  </si>
  <si>
    <t>REC. BALANCE -REINTEGROS</t>
  </si>
  <si>
    <t>2234572211_13</t>
  </si>
  <si>
    <t>REC. DEL BALANCE SUPERAVIT DEPTO</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</si>
  <si>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</si>
  <si>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</si>
  <si>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</si>
  <si>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</si>
  <si>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</si>
  <si>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</si>
  <si>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</si>
  <si>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</si>
  <si>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</si>
  <si>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2234573212_4</t>
  </si>
  <si>
    <t>REC. BALANCE I.C.LD.</t>
  </si>
  <si>
    <t>2234573212_7</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</si>
  <si>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</si>
  <si>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</si>
  <si>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</si>
  <si>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</si>
  <si>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</si>
  <si>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</si>
  <si>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</si>
  <si>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</si>
  <si>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</si>
  <si>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IVA TELEFONIA MOVIL</t>
  </si>
  <si>
    <t>22346741_3</t>
  </si>
  <si>
    <t>SUPERAVIT IPO CONSUMO</t>
  </si>
  <si>
    <t>22346741_13</t>
  </si>
  <si>
    <t xml:space="preserve">SUPERAVIT </t>
  </si>
  <si>
    <t>NOTA: Según circular externa 0001 del 05 de junio del 2018, para las vigencias 2019 y siguientes, el Departamento administrativo del deporte, la recreacion, la actividad fisica y el aprovechamiento del tiempo libre- COLDEPORTES emitira resolucion determinando la destinacion, distribucion y lineamientos para la ejecucion de los recursos, por consiguiente el proyecto 213- Apoyo a proyectos deportivos, recreativos y de actividad fisica, en el Departamento del Quindìo no se cumplira.</t>
  </si>
  <si>
    <t xml:space="preserve">OLGA LUCIA FERNANDEZ CARDENAS
GERENTE GENERAL INDEPORTES
</t>
  </si>
  <si>
    <t xml:space="preserve">Reviso: Sandra Yelitza Castelblanco Celis.
Proyecto: Orfa Maria Ruiz Agudelo 
Elaboro: Juan David Gomez Gomez 
</t>
  </si>
  <si>
    <t>POBLACION</t>
  </si>
  <si>
    <t>ESTRATEGIA</t>
  </si>
  <si>
    <t>PROGRAMA</t>
  </si>
  <si>
    <t>SUBPROGRAMA</t>
  </si>
  <si>
    <t>META PRODUCTO PLAN DE DESARROLLO</t>
  </si>
  <si>
    <t>NO</t>
  </si>
  <si>
    <t>VALOR EN PESOS</t>
  </si>
  <si>
    <t>Infraestructura Sostenible para la Paz</t>
  </si>
  <si>
    <t>Mejora de la Infraestructura Vial del Departamento del Quindío</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</si>
  <si>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</si>
  <si>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</si>
  <si>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</si>
  <si>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</si>
  <si>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</si>
  <si>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</si>
  <si>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</si>
  <si>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 xml:space="preserve">
Gerente General</t>
  </si>
  <si>
    <t> Superávit Impuesto al Registro Promotora 6% </t>
  </si>
  <si>
    <t>Mejora de la Infraestructura  Social del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</si>
  <si>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</si>
  <si>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</si>
  <si>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EPD</t>
  </si>
  <si>
    <t>Gerente General</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</si>
  <si>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</si>
  <si>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</si>
  <si>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</si>
  <si>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</si>
  <si>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53</t>
  </si>
  <si>
    <t>129</t>
  </si>
  <si>
    <t xml:space="preserve">Superávit Impuesto al Registro Promotora 6% </t>
  </si>
  <si>
    <t>Mejoramiento y/o construcción de vivienda urbana y rural.</t>
  </si>
  <si>
    <t>LEONARDO RODRIGUEZ OSPINA</t>
  </si>
  <si>
    <t>Gerente General - ProviQuindío.</t>
  </si>
  <si>
    <t>Proyectó: Diego Fernando Ramirez Restrepo</t>
  </si>
  <si>
    <t>Profesional Universitario - Contratista.</t>
  </si>
  <si>
    <t xml:space="preserve">SEGURIDAD HUMANA </t>
  </si>
  <si>
    <t>Seguridad humana como dinamizador de la vida, dignidad y libertad en el Qundío</t>
  </si>
  <si>
    <t>Fortalecimiento de la seguridad vial en el Departamentol del Quindío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</si>
  <si>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</si>
  <si>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</si>
  <si>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</si>
  <si>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</si>
  <si>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</si>
  <si>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</si>
  <si>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orientado a disminución de la accidentalidad en las vias</t>
  </si>
  <si>
    <t>Recurso Propio Dpto</t>
  </si>
  <si>
    <t>Gloria Mercedes Buitrago Salazar, Directora</t>
  </si>
  <si>
    <t>Recurso Propio IDTQ</t>
  </si>
  <si>
    <t>Recursos del BAlance Dpto</t>
  </si>
  <si>
    <t xml:space="preserve">Formular e implementar el Plan de Seguridad Vial del Departamento </t>
  </si>
  <si>
    <t>Plan departamental de seguridad vial elaborado e implementado</t>
  </si>
  <si>
    <t>Formulación del Plan de Seguridad Vial</t>
  </si>
  <si>
    <t>Recursos propio IDTQ</t>
  </si>
  <si>
    <t xml:space="preserve">Apoyar la implementación del programa: Ciclorutas en el departamento del Quindío </t>
  </si>
  <si>
    <t>Programa: Ciclorutas en el departamento del Quindío apoyado</t>
  </si>
  <si>
    <t>Generear oportunidadesinstitucionales a través de procesos de gestion orientados a insentivar programas de movilidad sostenible en la jurisdiccion del I.D.T.Q</t>
  </si>
  <si>
    <t>Campañas de difusión y sensibilización a la población del Programa Nacional de ciclorutas</t>
  </si>
  <si>
    <t>GLORIA MERCEDES BUITRAGO SALAZAR</t>
  </si>
  <si>
    <t>Directora</t>
  </si>
  <si>
    <t>1400 - 5 -</t>
  </si>
  <si>
    <t>IVETTE FRANCIOSA JAIMES PARADA</t>
  </si>
  <si>
    <t>-</t>
  </si>
  <si>
    <t>CIGARRILLO 70%</t>
  </si>
  <si>
    <t xml:space="preserve">2334468202-6
</t>
  </si>
  <si>
    <t>Edad Económicamente Activa (20-59 años)</t>
  </si>
  <si>
    <t>PROGRAMACION PLAN DE ACCIÓN
SECRETARIA ADMINISTRATIVA
IV TRIMESTRE  2019</t>
  </si>
  <si>
    <t>Superavit Recursos Ordinarios</t>
  </si>
  <si>
    <t>0305 - 5 - 3 1 5 28 87 17 9 - 20</t>
  </si>
  <si>
    <t>0305 - 5 - 3 1 5 28 87 17 9 - 88</t>
  </si>
  <si>
    <t>PROGRAMACION PLAN DE ACCIÓN
SECRETARIA DE PLANEACION
IV TRIMESTRE 2019</t>
  </si>
  <si>
    <t>PROGRAMACIÓN PLAN DE ACCIÓN
SECRETARIA DE HACIENDA Y FINANZAS PUBLICAS
IV TRIMESTRE 2019</t>
  </si>
  <si>
    <t>PROGRAMACION PLAN DE ACCIÓN
SECRETARIA DE REPRESENTACION JUDICIAL
IV TRIMESTRE 2019</t>
  </si>
  <si>
    <t>RECURSO REINTEGRO</t>
  </si>
  <si>
    <t>PROGRAMACIÓN PLAN DE ACCIÓN
SECRETARIA DE AGUAS E INFRAESTRUCTURA
IV TRIMESTRE 2019</t>
  </si>
  <si>
    <t>PROGRAMACION PLAN DE ACCIÓN
SECRETARIA DEL INTERIOR
IV TRIMESTRE 2019</t>
  </si>
  <si>
    <t>0309 - 5 - 3 1 4 25 81 12 36 - 163</t>
  </si>
  <si>
    <t>0309 - 5 - 3 1 4 25 81 12 36 - 20</t>
  </si>
  <si>
    <t>0309 - 5 - 3 1 4 25 81 12 36 - 88</t>
  </si>
  <si>
    <t xml:space="preserve">Adquisición y/o mantenimiento  de equipos de  comunicación y/o tecnología   </t>
  </si>
  <si>
    <t>PROGRAMACIÓN PLAN DE ACCIÓN
SECRETARIA DE CULTURA
IV TRIMESTRE 2019</t>
  </si>
  <si>
    <t>Recurso Ordinario.</t>
  </si>
  <si>
    <t>0310 - 5 - 3 1 3 9 29 5 46 - 39
0310 - 5 - 3 1 3 9 29 5 46 - 83</t>
  </si>
  <si>
    <t>0310 - 5 - 3 1 3 9 29 5 46 - 41</t>
  </si>
  <si>
    <t>PROGRAMACION PLAN DE ACCIÓN
SECRETARIA DE TURISMO, INDUSTRIA Y COMERCIO
IV TRIMESTRE 2019</t>
  </si>
  <si>
    <t>0311 - 5 - 3 1 2 2 10 13 56 - 20
0311 - 5 - 3 1 2 2 10 13 56 - 88</t>
  </si>
  <si>
    <t>PROGRAMACIÓN PLAN DE ACCIÓN 
SECRETARIA DE AGRICULTURA,  DESARROLLO RURAL Y MEDIO AMBIENTE
IV TRIMESTRE 2019</t>
  </si>
  <si>
    <t>PROGRAMACIÓN  PLAN DE ACCIÓN
OFICINA PRIVADA
IV TRIMESTRE 2019</t>
  </si>
  <si>
    <t xml:space="preserve">Recurso Ordinario 
</t>
  </si>
  <si>
    <t>PROGRAMACION PLAN DE ACCIÓN
SECRETARIA DE EDUCACION
IV TRIMESTRE 2019</t>
  </si>
  <si>
    <t xml:space="preserve">1401 - 5 -  1402 - 5 -  1403 - 5 -
1402 - 5 - 3 1 3 5 18 1 1 1 1 6 - 26
1402 - 5 - 3 1 3 5 18 1 2 4 1 1 - 26
1402 - 5 - 3 1 3 5 18 1 2 4 1 2 - 146
1403 - 5 - 3 1 3 5 18 1 1 1 1 6 - 26
1403 - 5 - 3 1 3 5 18 1 2 4 1 1 - 26
1402 - 5 - 3 1 3 5 18 1 2 3 1 - 09
1404 - 5 - 3 1 3 5 16 1 84 - 137
1404 - 5 - 3 1 3 6 20 1 90 - 21
0314 - 5 - 3 1 3 5 18 1 87 - 88
</t>
  </si>
  <si>
    <t>PROGRAMACIÓN PLAN DE ACCIÓN 
SECRETARIA DE FAMILIA
IV TRIMESTRE  2019</t>
  </si>
  <si>
    <t xml:space="preserve"> -   </t>
  </si>
  <si>
    <t>Edad Económicamente Activa(20-59 años)</t>
  </si>
  <si>
    <t xml:space="preserve">PROGRAMACION PLAN DE ACCIÓN
SECRETARIA DE SALUD
IV TRIMESTRE  2019
</t>
  </si>
  <si>
    <t>PROGRAMACION PLAN DE ACCIÓN
Secretaría de Tecnologías de la Información y las Comunicaciones 
IV TRIMESTRE 2019</t>
  </si>
  <si>
    <t>PROGRAMACIÓN PLAN DE ACCIÓN 
INDEPORTES
IV TRIMESTRE 2019</t>
  </si>
  <si>
    <t>Edad Escolar (0 - 14 años)</t>
  </si>
  <si>
    <t xml:space="preserve">PROGRAMACION DEL PLAN DE ACCIÓN
PROMOTORA DE VIVIENDA DEL QUINDIO "PROVIQUINDIO"
IV TRIMESTRE 2019
</t>
  </si>
  <si>
    <t>PROGRAMACIÓN PLAN DE ACCIÓN 
INSTITUTO DEPARTAMETNAL DE TRANSITO  - I.D.T.Q. 
IV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</si>
</sst>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_);_(&quot;$&quot;* \(#,##0\);_(&quot;$&quot;* &quot;-&quot;_);_(@_)"/>
    <numFmt numFmtId="168" formatCode="00"/>
    <numFmt numFmtId="169" formatCode="dd/mm/yy;@"/>
    <numFmt numFmtId="170" formatCode="0.0"/>
    <numFmt numFmtId="171" formatCode="&quot;$&quot;\ #,##0"/>
    <numFmt numFmtId="172" formatCode="dd/mm/yyyy;@"/>
    <numFmt numFmtId="173" formatCode="d/mm/yyyy;@"/>
    <numFmt numFmtId="174" formatCode="_(* #,##0_);_(* \(#,##0\);_(* &quot;-&quot;??_);_(@_)"/>
    <numFmt numFmtId="175" formatCode="_(&quot;$&quot;\ * #,##0_);_(&quot;$&quot;\ * \(#,##0\);_(&quot;$&quot;\ * &quot;-&quot;??_);_(@_)"/>
    <numFmt numFmtId="176" formatCode="&quot;$&quot;#,##0"/>
    <numFmt numFmtId="177" formatCode="&quot;$&quot;#,##0.00"/>
    <numFmt numFmtId="178" formatCode="_ [$€-2]\ * #,##0.00_ ;_ [$€-2]\ * \-#,##0.00_ ;_ [$€-2]\ * &quot;-&quot;??_ "/>
    <numFmt numFmtId="179" formatCode="0_ ;\-0\ "/>
    <numFmt numFmtId="180" formatCode="_-* #,##0.00\ _€_-;\-* #,##0.00\ _€_-;_-* &quot;-&quot;??\ _€_-;_-@_-"/>
    <numFmt numFmtId="181" formatCode="0.0%"/>
    <numFmt numFmtId="182" formatCode="#,##0.00;[Red]#,##0.00"/>
    <numFmt numFmtId="183" formatCode="#,##0;[Red]#,##0"/>
    <numFmt numFmtId="184" formatCode="0;[Red]0"/>
    <numFmt numFmtId="185" formatCode="_-[$$-240A]* #,##0.00_-;\-[$$-240A]* #,##0.00_-;_-[$$-240A]* &quot;-&quot;??_-;_-@_-"/>
    <numFmt numFmtId="186" formatCode="_-* #,##0.00\ &quot;€&quot;_-;\-* #,##0.00\ &quot;€&quot;_-;_-* &quot;-&quot;??\ &quot;€&quot;_-;_-@_-"/>
    <numFmt numFmtId="187" formatCode="#,##0.000"/>
    <numFmt numFmtId="188" formatCode="_([$$-240A]\ * #,##0_);_([$$-240A]\ * \(#,##0\);_([$$-240A]\ * &quot;-&quot;_);_(@_)"/>
    <numFmt numFmtId="189" formatCode="#,##0.0"/>
    <numFmt numFmtId="190" formatCode="#,##0.00_);\-#,##0.00"/>
    <numFmt numFmtId="191" formatCode="_(* #,##0.00_);_(* \(#,##0.00\);_(* &quot;-&quot;_);_(@_)"/>
    <numFmt numFmtId="192" formatCode="_(&quot;$&quot;* #,##0_);_(&quot;$&quot;* \(#,##0\);_(&quot;$&quot;* &quot;-&quot;??_);_(@_)"/>
    <numFmt numFmtId="193" formatCode="&quot;$&quot;\ #,##0.00"/>
  </numFmts>
  <fonts count="55" x14ac:knownFonts="1">
    <font>
      <sz val="11"/>
      <color theme="1"/>
      <name val="Calibri"/>
      <family val="2"/>
      <scheme val="minor"/>
    </font>
    <font>
      <sz val="11"/>
      <color theme="1"/>
      <name val="Calibri"/>
      <family val="2"/>
      <scheme val="minor"/>
    </font>
    <font>
      <b/>
      <sz val="14"/>
      <color theme="1"/>
      <name val="Arial"/>
      <family val="2"/>
    </font>
    <font>
      <b/>
      <sz val="10"/>
      <color theme="1"/>
      <name val="Arial"/>
      <family val="2"/>
    </font>
    <font>
      <sz val="12"/>
      <color theme="1"/>
      <name val="Arial"/>
      <family val="2"/>
    </font>
    <font>
      <b/>
      <sz val="10"/>
      <color indexed="8"/>
      <name val="Arial"/>
      <family val="2"/>
    </font>
    <font>
      <b/>
      <sz val="12"/>
      <color theme="1"/>
      <name val="Arial"/>
      <family val="2"/>
    </font>
    <font>
      <b/>
      <sz val="12"/>
      <name val="Arial"/>
      <family val="2"/>
    </font>
    <font>
      <sz val="12"/>
      <name val="Arial"/>
      <family val="2"/>
    </font>
    <font>
      <b/>
      <sz val="14"/>
      <color indexed="8"/>
      <name val="Arial"/>
      <family val="2"/>
    </font>
    <font>
      <sz val="12"/>
      <color indexed="8"/>
      <name val="Arial"/>
      <family val="2"/>
    </font>
    <font>
      <b/>
      <sz val="12"/>
      <color indexed="8"/>
      <name val="Arial"/>
      <family val="2"/>
    </font>
    <font>
      <sz val="11"/>
      <color indexed="8"/>
      <name val="Calibri"/>
      <family val="2"/>
    </font>
    <font>
      <sz val="12"/>
      <color rgb="FFFF0000"/>
      <name val="Arial"/>
      <family val="2"/>
    </font>
    <font>
      <sz val="12"/>
      <color theme="1"/>
      <name val="Calibri"/>
      <family val="2"/>
      <scheme val="minor"/>
    </font>
    <font>
      <sz val="10"/>
      <name val="Arial"/>
      <family val="2"/>
    </font>
    <font>
      <sz val="12"/>
      <color rgb="FF000000"/>
      <name val="Arial"/>
      <family val="2"/>
    </font>
    <font>
      <b/>
      <sz val="12"/>
      <color theme="1"/>
      <name val="Calibri"/>
      <family val="2"/>
      <scheme val="minor"/>
    </font>
    <font>
      <b/>
      <sz val="12"/>
      <name val="Calibri"/>
      <family val="2"/>
      <scheme val="minor"/>
    </font>
    <font>
      <b/>
      <sz val="10"/>
      <name val="Arial"/>
      <family val="2"/>
    </font>
    <font>
      <sz val="12"/>
      <color rgb="FF000000"/>
      <name val="Calibri"/>
      <family val="2"/>
      <scheme val="minor"/>
    </font>
    <font>
      <b/>
      <sz val="12"/>
      <color rgb="FFFF0000"/>
      <name val="Arial"/>
      <family val="2"/>
    </font>
    <font>
      <sz val="11"/>
      <color theme="1"/>
      <name val="Arial"/>
      <family val="2"/>
    </font>
    <font>
      <b/>
      <sz val="11"/>
      <color theme="1"/>
      <name val="Arial"/>
      <family val="2"/>
    </font>
    <font>
      <sz val="11"/>
      <name val="Arial"/>
      <family val="2"/>
    </font>
    <font>
      <sz val="10"/>
      <color theme="1"/>
      <name val="Arial"/>
      <family val="2"/>
    </font>
    <font>
      <sz val="12"/>
      <color rgb="FFFF0000"/>
      <name val="Calibri"/>
      <family val="2"/>
      <scheme val="minor"/>
    </font>
    <font>
      <b/>
      <sz val="11"/>
      <color indexed="8"/>
      <name val="Arial"/>
      <family val="2"/>
    </font>
    <font>
      <b/>
      <sz val="11"/>
      <name val="Arial"/>
      <family val="2"/>
    </font>
    <font>
      <sz val="11"/>
      <name val="Calibri"/>
      <family val="2"/>
      <scheme val="minor"/>
    </font>
    <font>
      <sz val="11"/>
      <color rgb="FF000000"/>
      <name val="Arial"/>
      <family val="2"/>
    </font>
    <font>
      <b/>
      <sz val="9"/>
      <name val="Calibri"/>
      <family val="2"/>
      <scheme val="minor"/>
    </font>
    <font>
      <sz val="11"/>
      <color rgb="FF000000"/>
      <name val="Calibri"/>
      <family val="2"/>
      <scheme val="minor"/>
    </font>
    <font>
      <sz val="11"/>
      <color indexed="8"/>
      <name val="Arial"/>
      <family val="2"/>
    </font>
    <font>
      <sz val="8"/>
      <color theme="1"/>
      <name val="Calibri"/>
      <family val="2"/>
      <scheme val="minor"/>
    </font>
    <font>
      <b/>
      <sz val="11"/>
      <name val="Calibri"/>
      <family val="2"/>
      <scheme val="minor"/>
    </font>
    <font>
      <sz val="8"/>
      <name val="Arial"/>
      <family val="2"/>
    </font>
    <font>
      <sz val="9"/>
      <color theme="1"/>
      <name val="Arial Narrow"/>
      <family val="2"/>
    </font>
    <font>
      <sz val="11"/>
      <color theme="1"/>
      <name val="Arial Narrow"/>
      <family val="2"/>
    </font>
    <font>
      <b/>
      <sz val="11"/>
      <color theme="1"/>
      <name val="Calibri"/>
      <family val="2"/>
      <scheme val="minor"/>
    </font>
    <font>
      <sz val="11"/>
      <color theme="0"/>
      <name val="Arial"/>
      <family val="2"/>
    </font>
    <font>
      <b/>
      <sz val="20"/>
      <color theme="1"/>
      <name val="Arial Narrow"/>
      <family val="2"/>
    </font>
    <font>
      <sz val="20"/>
      <color theme="1"/>
      <name val="Arial Narrow"/>
      <family val="2"/>
    </font>
    <font>
      <i/>
      <sz val="14"/>
      <color theme="1"/>
      <name val="Arial Narrow"/>
      <family val="2"/>
    </font>
    <font>
      <sz val="14"/>
      <color theme="1"/>
      <name val="Arial Narrow"/>
      <family val="2"/>
    </font>
    <font>
      <sz val="11"/>
      <color rgb="FFFF0000"/>
      <name val="Arial"/>
      <family val="2"/>
    </font>
    <font>
      <sz val="12"/>
      <color theme="1"/>
      <name val="Arial"/>
      <family val="2"/>
    </font>
    <font>
      <b/>
      <sz val="12"/>
      <color theme="1"/>
      <name val="Arial"/>
      <family val="2"/>
    </font>
    <font>
      <sz val="11"/>
      <name val="Calibri"/>
      <family val="2"/>
    </font>
    <font>
      <sz val="16"/>
      <color theme="1"/>
      <name val="Arial"/>
      <family val="2"/>
    </font>
    <font>
      <sz val="14"/>
      <color theme="1"/>
      <name val="Arial"/>
      <family val="2"/>
    </font>
    <font>
      <sz val="10"/>
      <color indexed="8"/>
      <name val="MS Sans Serif"/>
      <family val="2"/>
    </font>
    <font>
      <b/>
      <sz val="12"/>
      <color indexed="8"/>
      <name val="Arial Narrow"/>
      <family val="2"/>
    </font>
    <font>
      <b/>
      <sz val="14"/>
      <name val="Arial"/>
      <family val="2"/>
    </font>
    <font>
      <sz val="11"/>
      <color rgb="FFFF0000"/>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0C316"/>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FF"/>
        <bgColor indexed="64"/>
      </patternFill>
    </fill>
    <fill>
      <patternFill patternType="solid">
        <fgColor theme="3"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A9D08E"/>
        <bgColor indexed="64"/>
      </patternFill>
    </fill>
    <fill>
      <patternFill patternType="solid">
        <fgColor rgb="FFC6E0B4"/>
        <bgColor indexed="64"/>
      </patternFill>
    </fill>
    <fill>
      <patternFill patternType="solid">
        <fgColor rgb="FFFFFFFF"/>
        <bgColor rgb="FF000000"/>
      </patternFill>
    </fill>
  </fills>
  <borders count="8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right/>
      <top/>
      <bottom style="thin">
        <color indexed="64"/>
      </bottom>
      <diagonal/>
    </border>
    <border>
      <left style="medium">
        <color indexed="64"/>
      </left>
      <right/>
      <top style="thin">
        <color auto="1"/>
      </top>
      <bottom/>
      <diagonal/>
    </border>
    <border>
      <left/>
      <right/>
      <top style="thin">
        <color indexed="64"/>
      </top>
      <bottom/>
      <diagonal/>
    </border>
    <border>
      <left/>
      <right style="thin">
        <color auto="1"/>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indexed="64"/>
      </left>
      <right style="thin">
        <color indexed="64"/>
      </right>
      <top/>
      <bottom/>
      <diagonal/>
    </border>
    <border>
      <left style="thin">
        <color auto="1"/>
      </left>
      <right/>
      <top/>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auto="1"/>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auto="1"/>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indexed="64"/>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style="thin">
        <color indexed="64"/>
      </right>
      <top/>
      <bottom/>
      <diagonal/>
    </border>
    <border>
      <left style="thin">
        <color indexed="64"/>
      </left>
      <right/>
      <top style="medium">
        <color indexed="64"/>
      </top>
      <bottom/>
      <diagonal/>
    </border>
    <border>
      <left style="thin">
        <color auto="1"/>
      </left>
      <right/>
      <top style="thin">
        <color rgb="FF000000"/>
      </top>
      <bottom/>
      <diagonal/>
    </border>
    <border>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auto="1"/>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s>
  <cellStyleXfs count="4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1" fontId="1" fillId="0" borderId="0" applyFont="0" applyFill="0" applyBorder="0" applyAlignment="0" applyProtection="0"/>
    <xf numFmtId="0" fontId="15" fillId="0" borderId="0"/>
    <xf numFmtId="0" fontId="15" fillId="0" borderId="0"/>
    <xf numFmtId="0" fontId="15" fillId="0" borderId="0"/>
    <xf numFmtId="43" fontId="1" fillId="0" borderId="0" applyFont="0" applyFill="0" applyBorder="0" applyAlignment="0" applyProtection="0"/>
    <xf numFmtId="0" fontId="1" fillId="0" borderId="0"/>
    <xf numFmtId="178" fontId="1" fillId="0" borderId="0"/>
    <xf numFmtId="164" fontId="1" fillId="0" borderId="0" applyFont="0" applyFill="0" applyBorder="0" applyAlignment="0" applyProtection="0"/>
    <xf numFmtId="180" fontId="1" fillId="0" borderId="0" applyFont="0" applyFill="0" applyBorder="0" applyAlignment="0" applyProtection="0"/>
    <xf numFmtId="0" fontId="25" fillId="0" borderId="0"/>
    <xf numFmtId="43"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9" fontId="12" fillId="0" borderId="0" applyFont="0" applyFill="0" applyBorder="0" applyAlignment="0" applyProtection="0"/>
    <xf numFmtId="0" fontId="1" fillId="0" borderId="0"/>
    <xf numFmtId="0" fontId="15" fillId="0" borderId="0"/>
    <xf numFmtId="186" fontId="12"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xf numFmtId="42" fontId="1" fillId="0" borderId="0" applyFont="0" applyFill="0" applyBorder="0" applyAlignment="0" applyProtection="0"/>
    <xf numFmtId="0" fontId="25" fillId="0" borderId="0"/>
    <xf numFmtId="43" fontId="52" fillId="0" borderId="0" applyFont="0" applyFill="0" applyBorder="0" applyAlignment="0" applyProtection="0"/>
    <xf numFmtId="41" fontId="52" fillId="0" borderId="0" applyFont="0" applyFill="0" applyBorder="0" applyAlignment="0" applyProtection="0"/>
    <xf numFmtId="178"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4545">
    <xf numFmtId="0" fontId="0" fillId="0" borderId="0" xfId="0"/>
    <xf numFmtId="0" fontId="4" fillId="0" borderId="0" xfId="0" applyFont="1"/>
    <xf numFmtId="0" fontId="3" fillId="0" borderId="6" xfId="0" applyFont="1" applyBorder="1" applyAlignment="1">
      <alignment horizontal="left"/>
    </xf>
    <xf numFmtId="0" fontId="3" fillId="0" borderId="6" xfId="0" applyFont="1" applyBorder="1"/>
    <xf numFmtId="0" fontId="3" fillId="0" borderId="6" xfId="0" applyFont="1" applyBorder="1" applyAlignment="1">
      <alignment vertical="center"/>
    </xf>
    <xf numFmtId="3" fontId="5" fillId="2" borderId="7" xfId="0" applyNumberFormat="1" applyFont="1" applyFill="1" applyBorder="1" applyAlignment="1">
      <alignment horizontal="left" vertical="center" wrapText="1"/>
    </xf>
    <xf numFmtId="0" fontId="4" fillId="0" borderId="0" xfId="0" applyFont="1" applyAlignment="1">
      <alignment wrapText="1"/>
    </xf>
    <xf numFmtId="1" fontId="6" fillId="5" borderId="18" xfId="0" applyNumberFormat="1" applyFont="1" applyFill="1" applyBorder="1" applyAlignment="1">
      <alignment horizontal="left" vertical="center" wrapText="1"/>
    </xf>
    <xf numFmtId="0" fontId="6" fillId="5" borderId="14" xfId="0" applyFont="1" applyFill="1" applyBorder="1" applyAlignment="1">
      <alignment vertical="center"/>
    </xf>
    <xf numFmtId="0" fontId="6" fillId="5" borderId="15" xfId="0" applyFont="1" applyFill="1" applyBorder="1" applyAlignment="1">
      <alignment vertical="center"/>
    </xf>
    <xf numFmtId="0" fontId="6" fillId="5" borderId="15" xfId="0" applyFont="1" applyFill="1" applyBorder="1" applyAlignment="1">
      <alignment horizontal="justify" vertical="center"/>
    </xf>
    <xf numFmtId="0" fontId="6" fillId="5" borderId="15" xfId="0" applyFont="1" applyFill="1" applyBorder="1" applyAlignment="1">
      <alignment horizontal="center" vertical="center"/>
    </xf>
    <xf numFmtId="170" fontId="6" fillId="5" borderId="15" xfId="0" applyNumberFormat="1" applyFont="1" applyFill="1" applyBorder="1" applyAlignment="1">
      <alignment horizontal="center" vertical="center"/>
    </xf>
    <xf numFmtId="171" fontId="6" fillId="5" borderId="15" xfId="0" applyNumberFormat="1" applyFont="1" applyFill="1" applyBorder="1" applyAlignment="1">
      <alignment vertical="center"/>
    </xf>
    <xf numFmtId="171" fontId="6" fillId="5" borderId="15" xfId="0" applyNumberFormat="1" applyFont="1" applyFill="1" applyBorder="1" applyAlignment="1">
      <alignment horizontal="center" vertical="center"/>
    </xf>
    <xf numFmtId="1" fontId="6" fillId="5" borderId="15" xfId="0" applyNumberFormat="1" applyFont="1" applyFill="1" applyBorder="1" applyAlignment="1">
      <alignment horizontal="center" vertical="center"/>
    </xf>
    <xf numFmtId="1" fontId="4" fillId="6" borderId="5" xfId="0" applyNumberFormat="1" applyFont="1" applyFill="1" applyBorder="1" applyAlignment="1">
      <alignment horizontal="center" vertical="center" wrapText="1"/>
    </xf>
    <xf numFmtId="1" fontId="4" fillId="0" borderId="0" xfId="0" applyNumberFormat="1" applyFont="1"/>
    <xf numFmtId="0" fontId="4" fillId="0" borderId="31" xfId="0" applyFont="1" applyBorder="1" applyAlignment="1">
      <alignment vertical="center"/>
    </xf>
    <xf numFmtId="0" fontId="4" fillId="0" borderId="31" xfId="0" applyFont="1" applyBorder="1" applyAlignment="1">
      <alignment horizontal="center" vertical="center"/>
    </xf>
    <xf numFmtId="0" fontId="4" fillId="0" borderId="0" xfId="0" applyFont="1" applyAlignment="1">
      <alignment vertical="center"/>
    </xf>
    <xf numFmtId="0" fontId="4" fillId="0" borderId="9" xfId="0" applyFont="1" applyBorder="1"/>
    <xf numFmtId="0" fontId="6" fillId="0" borderId="11" xfId="0" applyFont="1" applyBorder="1"/>
    <xf numFmtId="0" fontId="6" fillId="0" borderId="0" xfId="0" applyFont="1"/>
    <xf numFmtId="0" fontId="5" fillId="0" borderId="6" xfId="0" applyFont="1" applyBorder="1" applyAlignment="1">
      <alignment vertical="center"/>
    </xf>
    <xf numFmtId="0" fontId="10" fillId="0" borderId="0" xfId="0" applyFont="1"/>
    <xf numFmtId="0" fontId="5" fillId="0" borderId="6" xfId="0" applyFont="1" applyBorder="1" applyAlignment="1">
      <alignment horizontal="left" vertical="center"/>
    </xf>
    <xf numFmtId="49" fontId="5" fillId="0" borderId="6" xfId="0" applyNumberFormat="1" applyFont="1" applyBorder="1" applyAlignment="1">
      <alignment vertical="center"/>
    </xf>
    <xf numFmtId="17" fontId="5" fillId="0" borderId="6" xfId="0" applyNumberFormat="1" applyFont="1" applyBorder="1" applyAlignment="1">
      <alignment horizontal="left"/>
    </xf>
    <xf numFmtId="3" fontId="5" fillId="0" borderId="6" xfId="0" applyNumberFormat="1" applyFont="1" applyBorder="1" applyAlignment="1">
      <alignment horizontal="left" vertical="center" wrapText="1"/>
    </xf>
    <xf numFmtId="0" fontId="11" fillId="0" borderId="21" xfId="0" applyFont="1" applyBorder="1" applyAlignment="1">
      <alignment horizontal="justify" vertical="center"/>
    </xf>
    <xf numFmtId="0" fontId="11" fillId="0" borderId="9" xfId="0" applyFont="1" applyBorder="1" applyAlignment="1">
      <alignment horizontal="justify" vertical="center"/>
    </xf>
    <xf numFmtId="10" fontId="7" fillId="0" borderId="9" xfId="5" applyNumberFormat="1" applyFont="1" applyBorder="1" applyAlignment="1">
      <alignment horizontal="center" vertical="center"/>
    </xf>
    <xf numFmtId="0" fontId="11" fillId="0" borderId="9" xfId="0" applyFont="1" applyBorder="1" applyAlignment="1">
      <alignment vertical="center"/>
    </xf>
    <xf numFmtId="0" fontId="11" fillId="0" borderId="13" xfId="0" applyFont="1" applyBorder="1" applyAlignment="1">
      <alignment vertical="center"/>
    </xf>
    <xf numFmtId="1" fontId="11" fillId="8" borderId="20" xfId="0" applyNumberFormat="1" applyFont="1" applyFill="1" applyBorder="1" applyAlignment="1">
      <alignment horizontal="center" vertical="center" wrapText="1"/>
    </xf>
    <xf numFmtId="1" fontId="11" fillId="10" borderId="14" xfId="0" applyNumberFormat="1" applyFont="1" applyFill="1" applyBorder="1" applyAlignment="1">
      <alignment horizontal="left" vertical="center" wrapText="1"/>
    </xf>
    <xf numFmtId="0" fontId="11" fillId="10" borderId="15" xfId="0" applyFont="1" applyFill="1" applyBorder="1" applyAlignment="1">
      <alignment vertical="center"/>
    </xf>
    <xf numFmtId="0" fontId="11" fillId="10" borderId="15" xfId="0" applyFont="1" applyFill="1" applyBorder="1" applyAlignment="1">
      <alignment horizontal="justify" vertical="center"/>
    </xf>
    <xf numFmtId="10" fontId="7" fillId="10" borderId="15" xfId="5" applyNumberFormat="1" applyFont="1" applyFill="1" applyBorder="1" applyAlignment="1">
      <alignment horizontal="center" vertical="center"/>
    </xf>
    <xf numFmtId="43" fontId="11" fillId="10" borderId="15" xfId="6" applyFont="1" applyFill="1" applyBorder="1" applyAlignment="1">
      <alignment horizontal="justify" vertical="center"/>
    </xf>
    <xf numFmtId="171" fontId="11" fillId="10" borderId="15" xfId="0" applyNumberFormat="1" applyFont="1" applyFill="1" applyBorder="1" applyAlignment="1">
      <alignment horizontal="center" vertical="center"/>
    </xf>
    <xf numFmtId="1" fontId="11" fillId="10" borderId="15" xfId="0" applyNumberFormat="1" applyFont="1" applyFill="1" applyBorder="1" applyAlignment="1">
      <alignment horizontal="center" vertical="center"/>
    </xf>
    <xf numFmtId="0" fontId="11" fillId="10" borderId="15" xfId="0" applyFont="1" applyFill="1" applyBorder="1" applyAlignment="1">
      <alignment horizontal="center" vertical="center"/>
    </xf>
    <xf numFmtId="172" fontId="11" fillId="10" borderId="15" xfId="0" applyNumberFormat="1" applyFont="1" applyFill="1" applyBorder="1" applyAlignment="1">
      <alignment vertical="center"/>
    </xf>
    <xf numFmtId="0" fontId="11" fillId="10" borderId="16" xfId="0" applyFont="1" applyFill="1" applyBorder="1" applyAlignment="1">
      <alignment horizontal="justify" vertical="center"/>
    </xf>
    <xf numFmtId="1" fontId="11" fillId="2" borderId="19" xfId="0" applyNumberFormat="1" applyFont="1" applyFill="1" applyBorder="1" applyAlignment="1">
      <alignment vertical="center" wrapText="1"/>
    </xf>
    <xf numFmtId="1" fontId="11" fillId="2" borderId="11" xfId="0" applyNumberFormat="1" applyFont="1" applyFill="1" applyBorder="1" applyAlignment="1">
      <alignment vertical="center" wrapText="1"/>
    </xf>
    <xf numFmtId="1" fontId="11" fillId="2" borderId="12" xfId="0" applyNumberFormat="1" applyFont="1" applyFill="1" applyBorder="1" applyAlignment="1">
      <alignment vertical="center" wrapText="1"/>
    </xf>
    <xf numFmtId="1" fontId="11" fillId="8" borderId="21" xfId="0" applyNumberFormat="1" applyFont="1" applyFill="1" applyBorder="1" applyAlignment="1">
      <alignment horizontal="center" vertical="center"/>
    </xf>
    <xf numFmtId="0" fontId="11" fillId="8" borderId="9" xfId="0" applyFont="1" applyFill="1" applyBorder="1" applyAlignment="1">
      <alignment vertical="center"/>
    </xf>
    <xf numFmtId="0" fontId="11" fillId="8" borderId="9" xfId="0" applyFont="1" applyFill="1" applyBorder="1" applyAlignment="1">
      <alignment horizontal="justify" vertical="center"/>
    </xf>
    <xf numFmtId="10" fontId="7" fillId="8" borderId="9" xfId="5" applyNumberFormat="1" applyFont="1" applyFill="1" applyBorder="1" applyAlignment="1">
      <alignment horizontal="center" vertical="center"/>
    </xf>
    <xf numFmtId="43" fontId="11" fillId="8" borderId="9" xfId="6" applyFont="1" applyFill="1" applyBorder="1" applyAlignment="1">
      <alignment horizontal="justify" vertical="center"/>
    </xf>
    <xf numFmtId="171" fontId="11" fillId="8" borderId="9" xfId="0" applyNumberFormat="1" applyFont="1" applyFill="1" applyBorder="1" applyAlignment="1">
      <alignment horizontal="center" vertical="center"/>
    </xf>
    <xf numFmtId="1" fontId="11" fillId="8" borderId="9" xfId="0" applyNumberFormat="1" applyFont="1" applyFill="1" applyBorder="1" applyAlignment="1">
      <alignment horizontal="center" vertical="center"/>
    </xf>
    <xf numFmtId="0" fontId="11" fillId="8" borderId="9" xfId="0" applyFont="1" applyFill="1" applyBorder="1" applyAlignment="1">
      <alignment horizontal="center" vertical="center"/>
    </xf>
    <xf numFmtId="172" fontId="11" fillId="8" borderId="9" xfId="0" applyNumberFormat="1" applyFont="1" applyFill="1" applyBorder="1" applyAlignment="1">
      <alignment vertical="center"/>
    </xf>
    <xf numFmtId="0" fontId="11" fillId="8" borderId="13" xfId="0" applyFont="1" applyFill="1" applyBorder="1" applyAlignment="1">
      <alignment horizontal="justify" vertical="center"/>
    </xf>
    <xf numFmtId="1" fontId="11" fillId="2" borderId="23" xfId="0" applyNumberFormat="1" applyFont="1" applyFill="1" applyBorder="1" applyAlignment="1">
      <alignment vertical="center" wrapText="1"/>
    </xf>
    <xf numFmtId="1" fontId="11" fillId="2" borderId="0" xfId="0" applyNumberFormat="1" applyFont="1" applyFill="1" applyAlignment="1">
      <alignment vertical="center" wrapText="1"/>
    </xf>
    <xf numFmtId="1" fontId="11" fillId="2" borderId="25" xfId="0" applyNumberFormat="1" applyFont="1" applyFill="1" applyBorder="1" applyAlignment="1">
      <alignment vertical="center" wrapText="1"/>
    </xf>
    <xf numFmtId="0" fontId="11" fillId="2" borderId="19" xfId="0" applyFont="1" applyFill="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1" fontId="11" fillId="11" borderId="14" xfId="0" applyNumberFormat="1" applyFont="1" applyFill="1" applyBorder="1" applyAlignment="1">
      <alignment horizontal="left" vertical="center" wrapText="1" indent="1"/>
    </xf>
    <xf numFmtId="0" fontId="11" fillId="11" borderId="15" xfId="0" applyFont="1" applyFill="1" applyBorder="1" applyAlignment="1">
      <alignment vertical="center"/>
    </xf>
    <xf numFmtId="0" fontId="11" fillId="11" borderId="15" xfId="0" applyFont="1" applyFill="1" applyBorder="1" applyAlignment="1">
      <alignment horizontal="justify" vertical="center"/>
    </xf>
    <xf numFmtId="10" fontId="7" fillId="11" borderId="15" xfId="5" applyNumberFormat="1" applyFont="1" applyFill="1" applyBorder="1" applyAlignment="1">
      <alignment horizontal="center" vertical="center"/>
    </xf>
    <xf numFmtId="43" fontId="11" fillId="11" borderId="15" xfId="6" applyFont="1" applyFill="1" applyBorder="1" applyAlignment="1">
      <alignment horizontal="justify" vertical="center"/>
    </xf>
    <xf numFmtId="171" fontId="11" fillId="11" borderId="15" xfId="0" applyNumberFormat="1" applyFont="1" applyFill="1" applyBorder="1" applyAlignment="1">
      <alignment horizontal="center" vertical="center"/>
    </xf>
    <xf numFmtId="1" fontId="11" fillId="11" borderId="11" xfId="0" applyNumberFormat="1" applyFont="1" applyFill="1" applyBorder="1" applyAlignment="1">
      <alignment horizontal="center" vertical="center"/>
    </xf>
    <xf numFmtId="0" fontId="11" fillId="11" borderId="11" xfId="0" applyFont="1" applyFill="1" applyBorder="1" applyAlignment="1">
      <alignment horizontal="center" vertical="center"/>
    </xf>
    <xf numFmtId="172" fontId="11" fillId="11" borderId="15" xfId="0" applyNumberFormat="1" applyFont="1" applyFill="1" applyBorder="1" applyAlignment="1">
      <alignment vertical="center"/>
    </xf>
    <xf numFmtId="0" fontId="11" fillId="11" borderId="16" xfId="0" applyFont="1" applyFill="1" applyBorder="1" applyAlignment="1">
      <alignment horizontal="justify" vertical="center"/>
    </xf>
    <xf numFmtId="0" fontId="11" fillId="2" borderId="23" xfId="0" applyFont="1" applyFill="1" applyBorder="1" applyAlignment="1">
      <alignment vertical="center" wrapText="1"/>
    </xf>
    <xf numFmtId="0" fontId="11" fillId="2" borderId="0" xfId="0" applyFont="1" applyFill="1" applyAlignment="1">
      <alignment vertical="center" wrapText="1"/>
    </xf>
    <xf numFmtId="0" fontId="11" fillId="2" borderId="25" xfId="0" applyFont="1" applyFill="1" applyBorder="1" applyAlignment="1">
      <alignment vertical="center" wrapText="1"/>
    </xf>
    <xf numFmtId="0" fontId="10" fillId="2" borderId="23" xfId="0" applyFont="1" applyFill="1" applyBorder="1" applyAlignment="1">
      <alignment vertical="center" wrapText="1"/>
    </xf>
    <xf numFmtId="0" fontId="10" fillId="2" borderId="0" xfId="0" applyFont="1" applyFill="1" applyAlignment="1">
      <alignment vertical="center" wrapText="1"/>
    </xf>
    <xf numFmtId="0" fontId="10" fillId="2" borderId="25" xfId="0" applyFont="1" applyFill="1" applyBorder="1" applyAlignment="1">
      <alignment vertical="center" wrapText="1"/>
    </xf>
    <xf numFmtId="0" fontId="10" fillId="2" borderId="20" xfId="0" applyFont="1" applyFill="1" applyBorder="1" applyAlignment="1">
      <alignment vertical="center" wrapText="1"/>
    </xf>
    <xf numFmtId="10" fontId="8" fillId="2" borderId="6" xfId="5"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2" xfId="0" applyFont="1" applyFill="1" applyBorder="1" applyAlignment="1">
      <alignment vertical="center" wrapText="1"/>
    </xf>
    <xf numFmtId="0" fontId="10" fillId="0" borderId="19" xfId="0" applyFont="1" applyBorder="1" applyAlignment="1">
      <alignment horizontal="justify" vertical="center" wrapText="1"/>
    </xf>
    <xf numFmtId="1" fontId="11" fillId="2" borderId="23" xfId="0" applyNumberFormat="1" applyFont="1" applyFill="1" applyBorder="1" applyAlignment="1">
      <alignment horizontal="center" vertical="center" wrapText="1"/>
    </xf>
    <xf numFmtId="1" fontId="11" fillId="2" borderId="0" xfId="0" applyNumberFormat="1" applyFont="1" applyFill="1" applyAlignment="1">
      <alignment horizontal="center" vertical="center" wrapText="1"/>
    </xf>
    <xf numFmtId="1" fontId="11" fillId="2" borderId="25" xfId="0" applyNumberFormat="1"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5"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6" xfId="0" applyFont="1" applyBorder="1" applyAlignment="1">
      <alignment horizontal="center" vertical="center" wrapText="1"/>
    </xf>
    <xf numFmtId="0" fontId="10" fillId="2" borderId="31" xfId="0" applyFont="1" applyFill="1" applyBorder="1"/>
    <xf numFmtId="0" fontId="10" fillId="2" borderId="31" xfId="0" applyFont="1" applyFill="1" applyBorder="1" applyAlignment="1">
      <alignment horizontal="justify"/>
    </xf>
    <xf numFmtId="0" fontId="10" fillId="2" borderId="31" xfId="0" applyFont="1" applyFill="1" applyBorder="1" applyAlignment="1">
      <alignment horizontal="justify" vertical="center" wrapText="1"/>
    </xf>
    <xf numFmtId="0" fontId="10" fillId="2" borderId="31" xfId="0" applyFont="1" applyFill="1" applyBorder="1" applyAlignment="1">
      <alignment horizontal="justify" vertical="center"/>
    </xf>
    <xf numFmtId="1" fontId="10" fillId="2" borderId="31" xfId="0" applyNumberFormat="1" applyFont="1" applyFill="1" applyBorder="1" applyAlignment="1">
      <alignment horizontal="justify" vertical="center"/>
    </xf>
    <xf numFmtId="10" fontId="8" fillId="2" borderId="33" xfId="5" applyNumberFormat="1" applyFont="1" applyFill="1" applyBorder="1" applyAlignment="1">
      <alignment horizontal="center" vertical="center"/>
    </xf>
    <xf numFmtId="43" fontId="11" fillId="2" borderId="32" xfId="6" applyFont="1" applyFill="1" applyBorder="1" applyAlignment="1">
      <alignment horizontal="justify" vertical="center"/>
    </xf>
    <xf numFmtId="0" fontId="10" fillId="2" borderId="30" xfId="0" applyFont="1" applyFill="1" applyBorder="1" applyAlignment="1">
      <alignment horizontal="justify" vertical="center" wrapText="1"/>
    </xf>
    <xf numFmtId="0" fontId="10" fillId="2" borderId="33" xfId="0" applyFont="1" applyFill="1" applyBorder="1" applyAlignment="1">
      <alignment horizontal="justify" vertical="center" wrapText="1"/>
    </xf>
    <xf numFmtId="1" fontId="10" fillId="2" borderId="30" xfId="0" applyNumberFormat="1" applyFont="1" applyFill="1" applyBorder="1" applyAlignment="1">
      <alignment horizontal="center" vertical="center"/>
    </xf>
    <xf numFmtId="1" fontId="10" fillId="2" borderId="31" xfId="0" applyNumberFormat="1" applyFont="1" applyFill="1" applyBorder="1" applyAlignment="1">
      <alignment horizontal="center" vertical="center"/>
    </xf>
    <xf numFmtId="1" fontId="10" fillId="2" borderId="31" xfId="0" applyNumberFormat="1" applyFont="1" applyFill="1" applyBorder="1" applyAlignment="1">
      <alignment horizontal="center" vertical="center" textRotation="180" wrapText="1"/>
    </xf>
    <xf numFmtId="172" fontId="10" fillId="2" borderId="31" xfId="0" applyNumberFormat="1" applyFont="1" applyFill="1" applyBorder="1" applyAlignment="1">
      <alignment horizontal="center" vertical="center"/>
    </xf>
    <xf numFmtId="0" fontId="10" fillId="2" borderId="33" xfId="0" applyFont="1" applyFill="1" applyBorder="1" applyAlignment="1">
      <alignment horizontal="justify" vertical="center"/>
    </xf>
    <xf numFmtId="0" fontId="10" fillId="2" borderId="0" xfId="0" applyFont="1" applyFill="1"/>
    <xf numFmtId="0" fontId="10" fillId="2" borderId="0" xfId="0" applyFont="1" applyFill="1" applyAlignment="1">
      <alignment horizontal="justify"/>
    </xf>
    <xf numFmtId="0" fontId="10" fillId="2" borderId="0" xfId="0" applyFont="1" applyFill="1" applyAlignment="1">
      <alignment horizontal="justify" vertical="center"/>
    </xf>
    <xf numFmtId="10" fontId="8" fillId="2" borderId="0" xfId="5" applyNumberFormat="1" applyFont="1" applyFill="1" applyAlignment="1">
      <alignment horizontal="center" vertical="center"/>
    </xf>
    <xf numFmtId="171" fontId="10" fillId="0" borderId="0" xfId="0" applyNumberFormat="1" applyFont="1" applyAlignment="1">
      <alignment horizontal="justify" vertical="center"/>
    </xf>
    <xf numFmtId="171" fontId="10" fillId="0" borderId="0" xfId="0" applyNumberFormat="1" applyFont="1" applyAlignment="1">
      <alignment horizontal="center" vertical="center"/>
    </xf>
    <xf numFmtId="1" fontId="10" fillId="2" borderId="0" xfId="0" applyNumberFormat="1" applyFont="1" applyFill="1" applyAlignment="1">
      <alignment horizontal="center" vertical="center"/>
    </xf>
    <xf numFmtId="0" fontId="10" fillId="2" borderId="0" xfId="0" applyFont="1" applyFill="1" applyAlignment="1">
      <alignment horizontal="center" vertical="center"/>
    </xf>
    <xf numFmtId="171" fontId="10" fillId="2" borderId="0" xfId="0" applyNumberFormat="1" applyFont="1" applyFill="1" applyAlignment="1">
      <alignment horizontal="center" vertical="center"/>
    </xf>
    <xf numFmtId="171" fontId="10" fillId="2" borderId="0" xfId="0" applyNumberFormat="1" applyFont="1" applyFill="1" applyAlignment="1">
      <alignment horizontal="justify" vertical="center"/>
    </xf>
    <xf numFmtId="0" fontId="11" fillId="2" borderId="0" xfId="0" applyFont="1" applyFill="1"/>
    <xf numFmtId="0" fontId="10" fillId="0" borderId="0" xfId="0" applyFont="1" applyAlignment="1">
      <alignment horizontal="justify"/>
    </xf>
    <xf numFmtId="10" fontId="8" fillId="0" borderId="0" xfId="5" applyNumberFormat="1" applyFont="1" applyAlignment="1">
      <alignment horizontal="center"/>
    </xf>
    <xf numFmtId="0" fontId="4" fillId="6" borderId="0" xfId="0" applyFont="1" applyFill="1"/>
    <xf numFmtId="0" fontId="3" fillId="0" borderId="6" xfId="0" applyFont="1" applyBorder="1" applyAlignment="1">
      <alignment horizontal="left" vertical="center"/>
    </xf>
    <xf numFmtId="0" fontId="3" fillId="0" borderId="6" xfId="0" applyFont="1" applyBorder="1" applyAlignment="1">
      <alignment vertical="center" wrapText="1"/>
    </xf>
    <xf numFmtId="0" fontId="6" fillId="12" borderId="14" xfId="0" applyFont="1" applyFill="1" applyBorder="1" applyAlignment="1">
      <alignment horizontal="center" vertical="center" textRotation="90" wrapText="1"/>
    </xf>
    <xf numFmtId="49" fontId="6" fillId="12" borderId="14" xfId="0" applyNumberFormat="1" applyFont="1" applyFill="1" applyBorder="1" applyAlignment="1">
      <alignment horizontal="center" vertical="center" textRotation="90" wrapText="1"/>
    </xf>
    <xf numFmtId="0" fontId="6" fillId="12" borderId="6" xfId="0" applyFont="1" applyFill="1" applyBorder="1" applyAlignment="1">
      <alignment horizontal="center" vertical="center" textRotation="90" wrapText="1"/>
    </xf>
    <xf numFmtId="0" fontId="4" fillId="0" borderId="0" xfId="0" applyFont="1" applyAlignment="1">
      <alignment horizontal="center" vertical="center"/>
    </xf>
    <xf numFmtId="1" fontId="6" fillId="13" borderId="11" xfId="0" applyNumberFormat="1" applyFont="1" applyFill="1" applyBorder="1" applyAlignment="1">
      <alignment horizontal="justify" vertical="center" wrapText="1"/>
    </xf>
    <xf numFmtId="0" fontId="6" fillId="13" borderId="15" xfId="0" applyFont="1" applyFill="1" applyBorder="1" applyAlignment="1">
      <alignment horizontal="justify" vertical="center"/>
    </xf>
    <xf numFmtId="0" fontId="6" fillId="13" borderId="15" xfId="0" applyFont="1" applyFill="1" applyBorder="1" applyAlignment="1">
      <alignment horizontal="center" vertical="center"/>
    </xf>
    <xf numFmtId="170" fontId="6" fillId="13" borderId="15" xfId="0" applyNumberFormat="1" applyFont="1" applyFill="1" applyBorder="1" applyAlignment="1">
      <alignment horizontal="justify" vertical="center"/>
    </xf>
    <xf numFmtId="171" fontId="6" fillId="13" borderId="15" xfId="0" applyNumberFormat="1" applyFont="1" applyFill="1" applyBorder="1" applyAlignment="1">
      <alignment horizontal="center" vertical="center"/>
    </xf>
    <xf numFmtId="1" fontId="6" fillId="13" borderId="15" xfId="0" applyNumberFormat="1" applyFont="1" applyFill="1" applyBorder="1" applyAlignment="1">
      <alignment horizontal="center" vertical="center"/>
    </xf>
    <xf numFmtId="0" fontId="6" fillId="13" borderId="15" xfId="0" applyFont="1" applyFill="1" applyBorder="1" applyAlignment="1">
      <alignment vertical="center"/>
    </xf>
    <xf numFmtId="172" fontId="6" fillId="13" borderId="15" xfId="0" applyNumberFormat="1" applyFont="1" applyFill="1" applyBorder="1" applyAlignment="1">
      <alignment vertical="center"/>
    </xf>
    <xf numFmtId="0" fontId="6" fillId="13" borderId="16" xfId="0" applyFont="1" applyFill="1" applyBorder="1" applyAlignment="1">
      <alignment horizontal="justify" vertical="center"/>
    </xf>
    <xf numFmtId="1" fontId="6" fillId="6" borderId="19" xfId="0" applyNumberFormat="1" applyFont="1" applyFill="1" applyBorder="1" applyAlignment="1">
      <alignment horizontal="justify" vertical="center" wrapText="1"/>
    </xf>
    <xf numFmtId="0" fontId="6" fillId="6" borderId="11" xfId="0" applyFont="1" applyFill="1" applyBorder="1" applyAlignment="1">
      <alignment horizontal="justify" vertical="center" wrapText="1"/>
    </xf>
    <xf numFmtId="0" fontId="6" fillId="6" borderId="12" xfId="0" applyFont="1" applyFill="1" applyBorder="1" applyAlignment="1">
      <alignment horizontal="justify" vertical="center" wrapText="1"/>
    </xf>
    <xf numFmtId="1" fontId="6" fillId="14" borderId="0" xfId="0" applyNumberFormat="1" applyFont="1" applyFill="1" applyAlignment="1">
      <alignment horizontal="justify" vertical="center"/>
    </xf>
    <xf numFmtId="0" fontId="6" fillId="14" borderId="9" xfId="0" applyFont="1" applyFill="1" applyBorder="1" applyAlignment="1">
      <alignment horizontal="justify" vertical="center"/>
    </xf>
    <xf numFmtId="0" fontId="6" fillId="14" borderId="9" xfId="0" applyFont="1" applyFill="1" applyBorder="1" applyAlignment="1">
      <alignment horizontal="center" vertical="center"/>
    </xf>
    <xf numFmtId="170" fontId="6" fillId="14" borderId="9" xfId="0" applyNumberFormat="1" applyFont="1" applyFill="1" applyBorder="1" applyAlignment="1">
      <alignment horizontal="justify" vertical="center"/>
    </xf>
    <xf numFmtId="171" fontId="6" fillId="14" borderId="9" xfId="0" applyNumberFormat="1" applyFont="1" applyFill="1" applyBorder="1" applyAlignment="1">
      <alignment horizontal="center" vertical="center"/>
    </xf>
    <xf numFmtId="0" fontId="4" fillId="14" borderId="9" xfId="0" applyFont="1" applyFill="1" applyBorder="1" applyAlignment="1">
      <alignment horizontal="justify" vertical="center"/>
    </xf>
    <xf numFmtId="1" fontId="6" fillId="14" borderId="9" xfId="0" applyNumberFormat="1" applyFont="1" applyFill="1" applyBorder="1" applyAlignment="1">
      <alignment horizontal="center" vertical="center"/>
    </xf>
    <xf numFmtId="0" fontId="6" fillId="14" borderId="9" xfId="0" applyFont="1" applyFill="1" applyBorder="1" applyAlignment="1">
      <alignment vertical="center"/>
    </xf>
    <xf numFmtId="172" fontId="6" fillId="14" borderId="9" xfId="0" applyNumberFormat="1" applyFont="1" applyFill="1" applyBorder="1" applyAlignment="1">
      <alignment vertical="center"/>
    </xf>
    <xf numFmtId="0" fontId="6" fillId="14" borderId="13" xfId="0" applyFont="1" applyFill="1" applyBorder="1" applyAlignment="1">
      <alignment horizontal="justify" vertical="center"/>
    </xf>
    <xf numFmtId="1" fontId="6" fillId="6" borderId="23" xfId="0" applyNumberFormat="1" applyFont="1" applyFill="1" applyBorder="1" applyAlignment="1">
      <alignment horizontal="justify" vertical="center" wrapText="1"/>
    </xf>
    <xf numFmtId="0" fontId="6" fillId="6" borderId="0" xfId="0" applyFont="1" applyFill="1" applyAlignment="1">
      <alignment horizontal="justify" vertical="center" wrapText="1"/>
    </xf>
    <xf numFmtId="0" fontId="6" fillId="6" borderId="19" xfId="0" applyFont="1" applyFill="1" applyBorder="1" applyAlignment="1">
      <alignment horizontal="justify" vertical="center" wrapText="1"/>
    </xf>
    <xf numFmtId="1" fontId="6" fillId="15" borderId="14" xfId="0" applyNumberFormat="1" applyFont="1" applyFill="1" applyBorder="1" applyAlignment="1">
      <alignment horizontal="justify" vertical="center" wrapText="1"/>
    </xf>
    <xf numFmtId="0" fontId="6" fillId="15" borderId="15" xfId="0" applyFont="1" applyFill="1" applyBorder="1" applyAlignment="1">
      <alignment horizontal="justify" vertical="center"/>
    </xf>
    <xf numFmtId="0" fontId="6" fillId="15" borderId="15" xfId="0" applyFont="1" applyFill="1" applyBorder="1" applyAlignment="1">
      <alignment horizontal="center" vertical="center"/>
    </xf>
    <xf numFmtId="170" fontId="6" fillId="15" borderId="15" xfId="0" applyNumberFormat="1" applyFont="1" applyFill="1" applyBorder="1" applyAlignment="1">
      <alignment horizontal="justify" vertical="center"/>
    </xf>
    <xf numFmtId="171" fontId="6" fillId="15" borderId="11" xfId="0" applyNumberFormat="1" applyFont="1" applyFill="1" applyBorder="1" applyAlignment="1">
      <alignment horizontal="center" vertical="center"/>
    </xf>
    <xf numFmtId="1" fontId="6" fillId="15" borderId="15" xfId="0" applyNumberFormat="1" applyFont="1" applyFill="1" applyBorder="1" applyAlignment="1">
      <alignment horizontal="center" vertical="center"/>
    </xf>
    <xf numFmtId="0" fontId="6" fillId="15" borderId="15" xfId="0" applyFont="1" applyFill="1" applyBorder="1" applyAlignment="1">
      <alignment vertical="center"/>
    </xf>
    <xf numFmtId="172" fontId="6" fillId="15" borderId="15" xfId="0" applyNumberFormat="1" applyFont="1" applyFill="1" applyBorder="1" applyAlignment="1">
      <alignment vertical="center"/>
    </xf>
    <xf numFmtId="0" fontId="6" fillId="15" borderId="16" xfId="0" applyFont="1" applyFill="1" applyBorder="1" applyAlignment="1">
      <alignment horizontal="justify" vertical="center"/>
    </xf>
    <xf numFmtId="1" fontId="4" fillId="0" borderId="23" xfId="0" applyNumberFormat="1" applyFont="1" applyBorder="1" applyAlignment="1">
      <alignment horizontal="justify" vertical="center" wrapText="1"/>
    </xf>
    <xf numFmtId="1" fontId="4" fillId="6" borderId="23" xfId="0" applyNumberFormat="1" applyFont="1" applyFill="1" applyBorder="1" applyAlignment="1">
      <alignment horizontal="justify"/>
    </xf>
    <xf numFmtId="0" fontId="4" fillId="6" borderId="0" xfId="0" applyFont="1" applyFill="1" applyAlignment="1">
      <alignment horizontal="justify"/>
    </xf>
    <xf numFmtId="0" fontId="4" fillId="6" borderId="23" xfId="0" applyFont="1" applyFill="1" applyBorder="1" applyAlignment="1">
      <alignment horizontal="justify"/>
    </xf>
    <xf numFmtId="0" fontId="4" fillId="0" borderId="0" xfId="0" applyFont="1" applyAlignment="1">
      <alignment horizontal="justify"/>
    </xf>
    <xf numFmtId="0" fontId="6" fillId="15" borderId="15" xfId="0" applyFont="1" applyFill="1" applyBorder="1" applyAlignment="1">
      <alignment horizontal="justify" vertical="center" wrapText="1"/>
    </xf>
    <xf numFmtId="1" fontId="4" fillId="15" borderId="15" xfId="0" applyNumberFormat="1" applyFont="1" applyFill="1" applyBorder="1" applyAlignment="1">
      <alignment horizontal="center" vertical="center"/>
    </xf>
    <xf numFmtId="0" fontId="4" fillId="15" borderId="15" xfId="0" applyFont="1" applyFill="1" applyBorder="1" applyAlignment="1">
      <alignment horizontal="center" vertical="center"/>
    </xf>
    <xf numFmtId="0" fontId="4" fillId="15" borderId="15" xfId="0" applyFont="1" applyFill="1" applyBorder="1"/>
    <xf numFmtId="2" fontId="4" fillId="15" borderId="15" xfId="0" applyNumberFormat="1" applyFont="1" applyFill="1" applyBorder="1" applyAlignment="1">
      <alignment vertical="center" wrapText="1"/>
    </xf>
    <xf numFmtId="172" fontId="4" fillId="15" borderId="15" xfId="0" applyNumberFormat="1" applyFont="1" applyFill="1" applyBorder="1" applyAlignment="1">
      <alignment horizontal="right" vertical="center"/>
    </xf>
    <xf numFmtId="172" fontId="4" fillId="15" borderId="15" xfId="0" applyNumberFormat="1" applyFont="1" applyFill="1" applyBorder="1" applyAlignment="1">
      <alignment horizontal="center"/>
    </xf>
    <xf numFmtId="0" fontId="4" fillId="15" borderId="16" xfId="0" applyFont="1" applyFill="1" applyBorder="1" applyAlignment="1">
      <alignment horizontal="justify" vertical="center" wrapText="1"/>
    </xf>
    <xf numFmtId="0" fontId="4" fillId="0" borderId="21" xfId="0" applyFont="1" applyBorder="1" applyAlignment="1">
      <alignment horizontal="justify"/>
    </xf>
    <xf numFmtId="1" fontId="6" fillId="16" borderId="14" xfId="0" applyNumberFormat="1" applyFont="1" applyFill="1" applyBorder="1" applyAlignment="1">
      <alignment horizontal="justify" vertical="center"/>
    </xf>
    <xf numFmtId="0" fontId="6" fillId="16" borderId="11" xfId="0" applyFont="1" applyFill="1" applyBorder="1" applyAlignment="1">
      <alignment horizontal="justify" vertical="center"/>
    </xf>
    <xf numFmtId="0" fontId="6" fillId="16" borderId="11" xfId="0" applyFont="1" applyFill="1" applyBorder="1" applyAlignment="1">
      <alignment horizontal="center" vertical="center"/>
    </xf>
    <xf numFmtId="170" fontId="6" fillId="16" borderId="11" xfId="0" applyNumberFormat="1" applyFont="1" applyFill="1" applyBorder="1" applyAlignment="1">
      <alignment horizontal="justify" vertical="center"/>
    </xf>
    <xf numFmtId="0" fontId="4" fillId="16" borderId="11" xfId="0" applyFont="1" applyFill="1" applyBorder="1"/>
    <xf numFmtId="2" fontId="4" fillId="16" borderId="11" xfId="0" applyNumberFormat="1" applyFont="1" applyFill="1" applyBorder="1" applyAlignment="1">
      <alignment vertical="center" wrapText="1"/>
    </xf>
    <xf numFmtId="172" fontId="4" fillId="16" borderId="11" xfId="0" applyNumberFormat="1" applyFont="1" applyFill="1" applyBorder="1" applyAlignment="1">
      <alignment horizontal="right" vertical="center"/>
    </xf>
    <xf numFmtId="172" fontId="4" fillId="16" borderId="11" xfId="0" applyNumberFormat="1" applyFont="1" applyFill="1" applyBorder="1" applyAlignment="1">
      <alignment horizontal="center"/>
    </xf>
    <xf numFmtId="0" fontId="4" fillId="16" borderId="12" xfId="0" applyFont="1" applyFill="1" applyBorder="1" applyAlignment="1">
      <alignment horizontal="justify" vertical="center" wrapText="1"/>
    </xf>
    <xf numFmtId="0" fontId="4" fillId="6" borderId="25" xfId="0" applyFont="1" applyFill="1" applyBorder="1" applyAlignment="1">
      <alignment horizontal="justify"/>
    </xf>
    <xf numFmtId="171" fontId="6" fillId="15" borderId="15" xfId="0" applyNumberFormat="1" applyFont="1" applyFill="1" applyBorder="1" applyAlignment="1">
      <alignment horizontal="center" vertical="center"/>
    </xf>
    <xf numFmtId="1" fontId="4" fillId="0" borderId="23" xfId="0" applyNumberFormat="1" applyFont="1" applyBorder="1" applyAlignment="1">
      <alignment horizontal="justify" vertical="center"/>
    </xf>
    <xf numFmtId="0" fontId="4" fillId="0" borderId="0" xfId="0" applyFont="1" applyAlignment="1">
      <alignment horizontal="justify" vertical="center"/>
    </xf>
    <xf numFmtId="0" fontId="4" fillId="0" borderId="25" xfId="0" applyFont="1" applyBorder="1" applyAlignment="1">
      <alignment horizontal="justify" vertical="center"/>
    </xf>
    <xf numFmtId="0" fontId="4" fillId="0" borderId="23" xfId="0" applyFont="1" applyBorder="1" applyAlignment="1">
      <alignment horizontal="justify" vertical="center"/>
    </xf>
    <xf numFmtId="0" fontId="4" fillId="0" borderId="19" xfId="0" applyFont="1" applyBorder="1" applyAlignment="1">
      <alignment horizontal="justify" vertical="center"/>
    </xf>
    <xf numFmtId="1" fontId="6" fillId="17" borderId="14" xfId="0" applyNumberFormat="1" applyFont="1" applyFill="1" applyBorder="1" applyAlignment="1">
      <alignment horizontal="justify" vertical="center"/>
    </xf>
    <xf numFmtId="0" fontId="6" fillId="17" borderId="15" xfId="0" applyFont="1" applyFill="1" applyBorder="1" applyAlignment="1">
      <alignment horizontal="justify" vertical="center"/>
    </xf>
    <xf numFmtId="0" fontId="6" fillId="17" borderId="11" xfId="0" applyFont="1" applyFill="1" applyBorder="1" applyAlignment="1">
      <alignment horizontal="justify" vertical="center"/>
    </xf>
    <xf numFmtId="0" fontId="6" fillId="17" borderId="11" xfId="0" applyFont="1" applyFill="1" applyBorder="1" applyAlignment="1">
      <alignment horizontal="center" vertical="center"/>
    </xf>
    <xf numFmtId="170" fontId="6" fillId="17" borderId="11" xfId="0" applyNumberFormat="1" applyFont="1" applyFill="1" applyBorder="1" applyAlignment="1">
      <alignment horizontal="justify" vertical="center"/>
    </xf>
    <xf numFmtId="1" fontId="4" fillId="17" borderId="11" xfId="0" applyNumberFormat="1" applyFont="1" applyFill="1" applyBorder="1" applyAlignment="1">
      <alignment horizontal="center" vertical="center"/>
    </xf>
    <xf numFmtId="0" fontId="4" fillId="17" borderId="11" xfId="0" applyFont="1" applyFill="1" applyBorder="1" applyAlignment="1">
      <alignment horizontal="center" vertical="center"/>
    </xf>
    <xf numFmtId="0" fontId="4" fillId="17" borderId="11" xfId="0" applyFont="1" applyFill="1" applyBorder="1"/>
    <xf numFmtId="2" fontId="4" fillId="17" borderId="11" xfId="0" applyNumberFormat="1" applyFont="1" applyFill="1" applyBorder="1" applyAlignment="1">
      <alignment vertical="center" wrapText="1"/>
    </xf>
    <xf numFmtId="172" fontId="4" fillId="17" borderId="11" xfId="0" applyNumberFormat="1" applyFont="1" applyFill="1" applyBorder="1" applyAlignment="1">
      <alignment horizontal="right" vertical="center"/>
    </xf>
    <xf numFmtId="172" fontId="4" fillId="17" borderId="11" xfId="0" applyNumberFormat="1" applyFont="1" applyFill="1" applyBorder="1" applyAlignment="1">
      <alignment horizontal="center"/>
    </xf>
    <xf numFmtId="0" fontId="4" fillId="17" borderId="12" xfId="0" applyFont="1" applyFill="1" applyBorder="1" applyAlignment="1">
      <alignment horizontal="justify" vertical="center" wrapText="1"/>
    </xf>
    <xf numFmtId="0" fontId="4" fillId="6" borderId="19" xfId="0" applyFont="1" applyFill="1" applyBorder="1" applyAlignment="1">
      <alignment horizontal="justify"/>
    </xf>
    <xf numFmtId="0" fontId="4" fillId="6" borderId="11" xfId="0" applyFont="1" applyFill="1" applyBorder="1" applyAlignment="1">
      <alignment horizontal="justify"/>
    </xf>
    <xf numFmtId="0" fontId="4" fillId="6" borderId="12" xfId="0" applyFont="1" applyFill="1" applyBorder="1" applyAlignment="1">
      <alignment horizontal="justify"/>
    </xf>
    <xf numFmtId="0" fontId="6" fillId="15" borderId="11" xfId="0" applyFont="1" applyFill="1" applyBorder="1" applyAlignment="1">
      <alignment horizontal="center" vertical="center"/>
    </xf>
    <xf numFmtId="1" fontId="4" fillId="15" borderId="11" xfId="0" applyNumberFormat="1" applyFont="1" applyFill="1" applyBorder="1" applyAlignment="1">
      <alignment horizontal="center" vertical="center"/>
    </xf>
    <xf numFmtId="0" fontId="4" fillId="15" borderId="11" xfId="0" applyFont="1" applyFill="1" applyBorder="1" applyAlignment="1">
      <alignment horizontal="center" vertical="center"/>
    </xf>
    <xf numFmtId="0" fontId="4" fillId="15" borderId="11" xfId="0" applyFont="1" applyFill="1" applyBorder="1"/>
    <xf numFmtId="0" fontId="4" fillId="0" borderId="19" xfId="0" applyFont="1" applyBorder="1" applyAlignment="1">
      <alignment horizontal="justify"/>
    </xf>
    <xf numFmtId="0" fontId="4" fillId="0" borderId="11" xfId="0" applyFont="1" applyBorder="1" applyAlignment="1">
      <alignment horizontal="justify"/>
    </xf>
    <xf numFmtId="0" fontId="4" fillId="0" borderId="0" xfId="0" applyFont="1" applyAlignment="1">
      <alignment horizontal="justify" wrapText="1"/>
    </xf>
    <xf numFmtId="1" fontId="4" fillId="0" borderId="14" xfId="0" applyNumberFormat="1" applyFont="1" applyBorder="1" applyAlignment="1">
      <alignment horizontal="center" vertical="center"/>
    </xf>
    <xf numFmtId="0" fontId="4" fillId="0" borderId="25" xfId="0" applyFont="1" applyBorder="1" applyAlignment="1">
      <alignment horizontal="justify"/>
    </xf>
    <xf numFmtId="1" fontId="4" fillId="0" borderId="30" xfId="0" applyNumberFormat="1" applyFont="1" applyBorder="1" applyAlignment="1">
      <alignment horizontal="justify"/>
    </xf>
    <xf numFmtId="0" fontId="4" fillId="0" borderId="31" xfId="0" applyFont="1" applyBorder="1" applyAlignment="1">
      <alignment horizontal="justify"/>
    </xf>
    <xf numFmtId="0" fontId="4" fillId="6" borderId="31" xfId="0" applyFont="1" applyFill="1" applyBorder="1" applyAlignment="1">
      <alignment horizontal="justify" vertical="center"/>
    </xf>
    <xf numFmtId="0" fontId="4" fillId="6" borderId="31" xfId="0" applyFont="1" applyFill="1" applyBorder="1" applyAlignment="1">
      <alignment horizontal="justify"/>
    </xf>
    <xf numFmtId="0" fontId="6" fillId="6" borderId="31" xfId="0" applyFont="1" applyFill="1" applyBorder="1" applyAlignment="1">
      <alignment horizontal="center" vertical="center"/>
    </xf>
    <xf numFmtId="0" fontId="4" fillId="6" borderId="31" xfId="0" applyFont="1" applyFill="1" applyBorder="1" applyAlignment="1">
      <alignment horizontal="center"/>
    </xf>
    <xf numFmtId="170" fontId="4" fillId="6" borderId="33" xfId="0" applyNumberFormat="1" applyFont="1" applyFill="1" applyBorder="1" applyAlignment="1">
      <alignment horizontal="justify" vertical="center"/>
    </xf>
    <xf numFmtId="0" fontId="4" fillId="6" borderId="30" xfId="0" applyFont="1" applyFill="1" applyBorder="1" applyAlignment="1">
      <alignment horizontal="justify" vertical="center"/>
    </xf>
    <xf numFmtId="0" fontId="4" fillId="6" borderId="33" xfId="0" applyFont="1" applyFill="1" applyBorder="1" applyAlignment="1">
      <alignment horizontal="justify" vertical="center"/>
    </xf>
    <xf numFmtId="0" fontId="4" fillId="0" borderId="31" xfId="0" applyFont="1" applyBorder="1"/>
    <xf numFmtId="172" fontId="4" fillId="0" borderId="31" xfId="0" applyNumberFormat="1" applyFont="1" applyBorder="1" applyAlignment="1">
      <alignment horizontal="right" vertical="center"/>
    </xf>
    <xf numFmtId="172" fontId="4" fillId="0" borderId="31" xfId="0" applyNumberFormat="1" applyFont="1" applyBorder="1" applyAlignment="1">
      <alignment horizontal="center"/>
    </xf>
    <xf numFmtId="0" fontId="4" fillId="0" borderId="33" xfId="0" applyFont="1" applyBorder="1" applyAlignment="1">
      <alignment horizontal="justify" vertical="center"/>
    </xf>
    <xf numFmtId="1" fontId="4" fillId="0" borderId="0" xfId="0" applyNumberFormat="1" applyFont="1" applyAlignment="1">
      <alignment horizontal="justify"/>
    </xf>
    <xf numFmtId="0" fontId="4" fillId="6" borderId="0" xfId="0" applyFont="1" applyFill="1" applyAlignment="1">
      <alignment horizontal="justify" vertical="center"/>
    </xf>
    <xf numFmtId="0" fontId="4" fillId="6" borderId="0" xfId="0" applyFont="1" applyFill="1" applyAlignment="1">
      <alignment horizontal="center"/>
    </xf>
    <xf numFmtId="170" fontId="4" fillId="6" borderId="0" xfId="0" applyNumberFormat="1" applyFont="1" applyFill="1" applyAlignment="1">
      <alignment horizontal="justify" vertical="center"/>
    </xf>
    <xf numFmtId="171" fontId="4" fillId="6" borderId="0" xfId="0" applyNumberFormat="1" applyFont="1" applyFill="1" applyAlignment="1">
      <alignment horizontal="center" vertical="center"/>
    </xf>
    <xf numFmtId="1" fontId="4" fillId="6" borderId="0" xfId="0" applyNumberFormat="1" applyFont="1" applyFill="1" applyAlignment="1">
      <alignment horizontal="center" vertical="center"/>
    </xf>
    <xf numFmtId="172" fontId="4" fillId="0" borderId="0" xfId="0" applyNumberFormat="1" applyFont="1" applyAlignment="1">
      <alignment horizontal="right" vertical="center"/>
    </xf>
    <xf numFmtId="172" fontId="4" fillId="0" borderId="0" xfId="0" applyNumberFormat="1" applyFont="1" applyAlignment="1">
      <alignment horizontal="center"/>
    </xf>
    <xf numFmtId="170" fontId="4" fillId="0" borderId="0" xfId="0" applyNumberFormat="1" applyFont="1" applyAlignment="1">
      <alignment horizontal="center" vertical="center"/>
    </xf>
    <xf numFmtId="171" fontId="4" fillId="0" borderId="0" xfId="0" applyNumberFormat="1" applyFont="1" applyAlignment="1">
      <alignment horizontal="justify" vertical="center"/>
    </xf>
    <xf numFmtId="0" fontId="6" fillId="0" borderId="11" xfId="0" applyFont="1" applyBorder="1" applyAlignment="1">
      <alignment horizontal="center"/>
    </xf>
    <xf numFmtId="0" fontId="6" fillId="0" borderId="0" xfId="0" applyFont="1" applyAlignment="1">
      <alignment horizontal="center"/>
    </xf>
    <xf numFmtId="0" fontId="3" fillId="0" borderId="3"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vertical="center" wrapText="1"/>
    </xf>
    <xf numFmtId="3" fontId="5" fillId="0" borderId="7" xfId="0" applyNumberFormat="1" applyFont="1" applyBorder="1" applyAlignment="1">
      <alignment horizontal="left" vertical="center" wrapText="1"/>
    </xf>
    <xf numFmtId="0" fontId="6" fillId="0" borderId="21" xfId="0" applyFont="1" applyBorder="1" applyAlignment="1">
      <alignment horizontal="justify" vertical="center"/>
    </xf>
    <xf numFmtId="0" fontId="6" fillId="0" borderId="9" xfId="0" applyFont="1" applyBorder="1" applyAlignment="1">
      <alignment horizontal="justify" vertical="center"/>
    </xf>
    <xf numFmtId="0" fontId="6" fillId="0" borderId="9" xfId="0" applyFont="1" applyBorder="1" applyAlignment="1">
      <alignment vertical="center"/>
    </xf>
    <xf numFmtId="0" fontId="6" fillId="0" borderId="0" xfId="0" applyFont="1" applyAlignment="1">
      <alignment vertical="center"/>
    </xf>
    <xf numFmtId="0" fontId="6" fillId="0" borderId="24" xfId="0" applyFont="1" applyBorder="1" applyAlignment="1">
      <alignment vertical="center"/>
    </xf>
    <xf numFmtId="1" fontId="6" fillId="13" borderId="38" xfId="0" applyNumberFormat="1" applyFont="1" applyFill="1" applyBorder="1" applyAlignment="1">
      <alignment horizontal="left" vertical="center" wrapText="1"/>
    </xf>
    <xf numFmtId="170" fontId="6" fillId="13" borderId="15" xfId="0" applyNumberFormat="1" applyFont="1" applyFill="1" applyBorder="1" applyAlignment="1">
      <alignment horizontal="center" vertical="center"/>
    </xf>
    <xf numFmtId="172" fontId="6" fillId="13" borderId="9" xfId="0" applyNumberFormat="1" applyFont="1" applyFill="1" applyBorder="1" applyAlignment="1">
      <alignment vertical="center"/>
    </xf>
    <xf numFmtId="0" fontId="6" fillId="13" borderId="17" xfId="0" applyFont="1" applyFill="1" applyBorder="1" applyAlignment="1">
      <alignment horizontal="justify" vertical="center"/>
    </xf>
    <xf numFmtId="1" fontId="6" fillId="14" borderId="21" xfId="0" applyNumberFormat="1" applyFont="1" applyFill="1" applyBorder="1" applyAlignment="1">
      <alignment horizontal="center" vertical="center"/>
    </xf>
    <xf numFmtId="0" fontId="6" fillId="14" borderId="0" xfId="0" applyFont="1" applyFill="1" applyAlignment="1">
      <alignment horizontal="justify" vertical="center"/>
    </xf>
    <xf numFmtId="170" fontId="6" fillId="14" borderId="9" xfId="0" applyNumberFormat="1" applyFont="1" applyFill="1" applyBorder="1" applyAlignment="1">
      <alignment horizontal="center" vertical="center"/>
    </xf>
    <xf numFmtId="0" fontId="6" fillId="14" borderId="24" xfId="0" applyFont="1" applyFill="1" applyBorder="1" applyAlignment="1">
      <alignment horizontal="justify" vertical="center"/>
    </xf>
    <xf numFmtId="0" fontId="6" fillId="15" borderId="6" xfId="0" applyFont="1" applyFill="1" applyBorder="1" applyAlignment="1">
      <alignment horizontal="center" vertical="center" wrapText="1"/>
    </xf>
    <xf numFmtId="0" fontId="6" fillId="15" borderId="11" xfId="0" applyFont="1" applyFill="1" applyBorder="1" applyAlignment="1">
      <alignment horizontal="justify" vertical="center"/>
    </xf>
    <xf numFmtId="0" fontId="6" fillId="15" borderId="20" xfId="0" applyFont="1" applyFill="1" applyBorder="1" applyAlignment="1">
      <alignment horizontal="justify" vertical="center"/>
    </xf>
    <xf numFmtId="170" fontId="6" fillId="15" borderId="11" xfId="0" applyNumberFormat="1" applyFont="1" applyFill="1" applyBorder="1" applyAlignment="1">
      <alignment horizontal="center" vertical="center"/>
    </xf>
    <xf numFmtId="1" fontId="6" fillId="15" borderId="11" xfId="0" applyNumberFormat="1" applyFont="1" applyFill="1" applyBorder="1" applyAlignment="1">
      <alignment horizontal="center" vertical="center"/>
    </xf>
    <xf numFmtId="0" fontId="6" fillId="15" borderId="11" xfId="0" applyFont="1" applyFill="1" applyBorder="1" applyAlignment="1">
      <alignment vertical="center"/>
    </xf>
    <xf numFmtId="172" fontId="6" fillId="15" borderId="11" xfId="0" applyNumberFormat="1" applyFont="1" applyFill="1" applyBorder="1" applyAlignment="1">
      <alignment vertical="center"/>
    </xf>
    <xf numFmtId="0" fontId="6" fillId="15" borderId="36" xfId="0" applyFont="1" applyFill="1" applyBorder="1" applyAlignment="1">
      <alignment horizontal="justify" vertical="center"/>
    </xf>
    <xf numFmtId="172" fontId="4" fillId="0" borderId="31" xfId="0" applyNumberFormat="1" applyFont="1" applyBorder="1" applyAlignment="1">
      <alignment horizontal="center" vertical="center"/>
    </xf>
    <xf numFmtId="176" fontId="6" fillId="6" borderId="0" xfId="0" applyNumberFormat="1" applyFont="1" applyFill="1" applyAlignment="1">
      <alignment horizontal="right" vertical="center"/>
    </xf>
    <xf numFmtId="177" fontId="4" fillId="6" borderId="0" xfId="0" applyNumberFormat="1" applyFont="1" applyFill="1" applyAlignment="1">
      <alignment vertical="center"/>
    </xf>
    <xf numFmtId="170" fontId="4" fillId="6" borderId="0" xfId="0" applyNumberFormat="1" applyFont="1" applyFill="1" applyAlignment="1">
      <alignment horizontal="center" vertical="center"/>
    </xf>
    <xf numFmtId="175" fontId="4" fillId="6" borderId="0" xfId="2" applyNumberFormat="1" applyFont="1" applyFill="1" applyAlignment="1">
      <alignment horizontal="justify" vertical="center"/>
    </xf>
    <xf numFmtId="0" fontId="6" fillId="13" borderId="11" xfId="0" applyFont="1" applyFill="1" applyBorder="1" applyAlignment="1">
      <alignment vertical="center"/>
    </xf>
    <xf numFmtId="0" fontId="6" fillId="13" borderId="15" xfId="0" applyFont="1" applyFill="1" applyBorder="1" applyAlignment="1">
      <alignment vertical="center" wrapText="1"/>
    </xf>
    <xf numFmtId="1" fontId="6" fillId="14" borderId="0" xfId="0" applyNumberFormat="1" applyFont="1" applyFill="1" applyAlignment="1">
      <alignment horizontal="center" vertical="center"/>
    </xf>
    <xf numFmtId="0" fontId="6" fillId="14" borderId="0" xfId="0" applyFont="1" applyFill="1" applyAlignment="1">
      <alignment vertical="center"/>
    </xf>
    <xf numFmtId="0" fontId="4" fillId="6" borderId="0" xfId="0" applyFont="1" applyFill="1" applyAlignment="1">
      <alignment horizontal="justify" vertical="center" wrapText="1"/>
    </xf>
    <xf numFmtId="0" fontId="7" fillId="13" borderId="5" xfId="0" applyFont="1" applyFill="1" applyBorder="1" applyAlignment="1">
      <alignment vertical="center"/>
    </xf>
    <xf numFmtId="0" fontId="7" fillId="13" borderId="9" xfId="0" applyFont="1" applyFill="1" applyBorder="1" applyAlignment="1">
      <alignment horizontal="justify" vertical="center"/>
    </xf>
    <xf numFmtId="0" fontId="7" fillId="13" borderId="9" xfId="0" applyFont="1" applyFill="1" applyBorder="1" applyAlignment="1">
      <alignment vertical="center"/>
    </xf>
    <xf numFmtId="172" fontId="7" fillId="13" borderId="9" xfId="0" applyNumberFormat="1" applyFont="1" applyFill="1" applyBorder="1" applyAlignment="1">
      <alignment vertical="center"/>
    </xf>
    <xf numFmtId="0" fontId="7" fillId="14" borderId="9" xfId="0" applyFont="1" applyFill="1" applyBorder="1" applyAlignment="1">
      <alignment horizontal="justify" vertical="center"/>
    </xf>
    <xf numFmtId="0" fontId="7" fillId="14" borderId="9" xfId="0" applyFont="1" applyFill="1" applyBorder="1" applyAlignment="1">
      <alignment horizontal="center" vertical="center"/>
    </xf>
    <xf numFmtId="0" fontId="7" fillId="14" borderId="9" xfId="0" applyFont="1" applyFill="1" applyBorder="1" applyAlignment="1">
      <alignment vertical="center"/>
    </xf>
    <xf numFmtId="172" fontId="7" fillId="14" borderId="9" xfId="0" applyNumberFormat="1" applyFont="1" applyFill="1" applyBorder="1" applyAlignment="1">
      <alignment vertical="center"/>
    </xf>
    <xf numFmtId="0" fontId="8" fillId="14" borderId="11" xfId="0" applyFont="1" applyFill="1" applyBorder="1" applyAlignment="1">
      <alignment vertical="center"/>
    </xf>
    <xf numFmtId="0" fontId="8" fillId="14" borderId="15" xfId="0" applyFont="1" applyFill="1" applyBorder="1" applyAlignment="1">
      <alignment vertical="center"/>
    </xf>
    <xf numFmtId="0" fontId="7" fillId="15" borderId="15" xfId="0" applyFont="1" applyFill="1" applyBorder="1" applyAlignment="1">
      <alignment horizontal="center" vertical="center"/>
    </xf>
    <xf numFmtId="0" fontId="7" fillId="15" borderId="15" xfId="0" applyFont="1" applyFill="1" applyBorder="1" applyAlignment="1">
      <alignment horizontal="justify" vertical="center"/>
    </xf>
    <xf numFmtId="0" fontId="7" fillId="15" borderId="15" xfId="0" applyFont="1" applyFill="1" applyBorder="1" applyAlignment="1">
      <alignment vertical="center"/>
    </xf>
    <xf numFmtId="172" fontId="7" fillId="15" borderId="15" xfId="0" applyNumberFormat="1" applyFont="1" applyFill="1" applyBorder="1" applyAlignment="1">
      <alignment vertical="center"/>
    </xf>
    <xf numFmtId="0" fontId="8" fillId="15" borderId="11" xfId="0" applyFont="1" applyFill="1" applyBorder="1" applyAlignment="1">
      <alignment vertical="center"/>
    </xf>
    <xf numFmtId="0" fontId="8" fillId="15" borderId="15" xfId="0" applyFont="1" applyFill="1" applyBorder="1" applyAlignment="1">
      <alignment vertical="center"/>
    </xf>
    <xf numFmtId="0" fontId="7" fillId="15" borderId="14" xfId="0" applyFont="1" applyFill="1" applyBorder="1" applyAlignment="1">
      <alignment vertical="center"/>
    </xf>
    <xf numFmtId="0" fontId="8" fillId="6" borderId="25" xfId="0" applyFont="1" applyFill="1" applyBorder="1" applyAlignment="1">
      <alignment vertical="center" wrapText="1"/>
    </xf>
    <xf numFmtId="0" fontId="6" fillId="0" borderId="30" xfId="0" applyFont="1" applyBorder="1" applyAlignment="1">
      <alignment vertical="center"/>
    </xf>
    <xf numFmtId="0" fontId="6" fillId="0" borderId="31" xfId="0" applyFont="1" applyBorder="1" applyAlignment="1">
      <alignment vertical="center"/>
    </xf>
    <xf numFmtId="0" fontId="7" fillId="0" borderId="31" xfId="0" applyFont="1" applyBorder="1" applyAlignment="1">
      <alignment vertical="center"/>
    </xf>
    <xf numFmtId="0" fontId="7" fillId="0" borderId="33" xfId="0" applyFont="1" applyBorder="1" applyAlignment="1">
      <alignment vertical="center"/>
    </xf>
    <xf numFmtId="43" fontId="7" fillId="0" borderId="32" xfId="4" applyFont="1" applyBorder="1" applyAlignment="1">
      <alignment vertical="center"/>
    </xf>
    <xf numFmtId="171" fontId="7" fillId="0" borderId="30" xfId="0" applyNumberFormat="1" applyFont="1" applyBorder="1" applyAlignment="1">
      <alignment vertical="center"/>
    </xf>
    <xf numFmtId="0" fontId="6" fillId="6" borderId="31" xfId="0" applyFont="1" applyFill="1" applyBorder="1" applyAlignment="1">
      <alignment horizontal="justify" vertical="center"/>
    </xf>
    <xf numFmtId="0" fontId="6" fillId="0" borderId="31" xfId="0" applyFont="1" applyBorder="1" applyAlignment="1">
      <alignment horizontal="right" vertical="center"/>
    </xf>
    <xf numFmtId="169" fontId="6" fillId="0" borderId="31" xfId="0" applyNumberFormat="1" applyFont="1" applyBorder="1" applyAlignment="1">
      <alignment horizontal="center" vertical="center"/>
    </xf>
    <xf numFmtId="0" fontId="6" fillId="0" borderId="33" xfId="0" applyFont="1" applyBorder="1" applyAlignment="1">
      <alignment horizontal="left" vertical="center"/>
    </xf>
    <xf numFmtId="0" fontId="19" fillId="0" borderId="3" xfId="0" applyFont="1" applyBorder="1" applyAlignment="1">
      <alignment vertical="center"/>
    </xf>
    <xf numFmtId="0" fontId="19" fillId="0" borderId="4" xfId="0" applyFont="1" applyBorder="1" applyAlignment="1">
      <alignment horizontal="justify" vertical="center" wrapText="1"/>
    </xf>
    <xf numFmtId="0" fontId="19" fillId="0" borderId="6" xfId="0" applyFont="1" applyBorder="1" applyAlignment="1">
      <alignment horizontal="left" vertical="center"/>
    </xf>
    <xf numFmtId="0" fontId="19" fillId="0" borderId="7" xfId="0" applyFont="1" applyBorder="1" applyAlignment="1">
      <alignment horizontal="justify" vertical="center" wrapText="1"/>
    </xf>
    <xf numFmtId="0" fontId="19" fillId="0" borderId="6" xfId="0" applyFont="1" applyBorder="1" applyAlignment="1">
      <alignment vertical="center"/>
    </xf>
    <xf numFmtId="3" fontId="19" fillId="0" borderId="7" xfId="0" applyNumberFormat="1" applyFont="1" applyBorder="1" applyAlignment="1">
      <alignment horizontal="justify" vertical="center" wrapText="1"/>
    </xf>
    <xf numFmtId="0" fontId="4" fillId="0" borderId="9" xfId="0" applyFont="1" applyBorder="1" applyAlignment="1">
      <alignment vertical="center"/>
    </xf>
    <xf numFmtId="0" fontId="6" fillId="0" borderId="9" xfId="0" applyFont="1" applyBorder="1" applyAlignment="1">
      <alignment horizontal="justify" vertical="center" wrapText="1"/>
    </xf>
    <xf numFmtId="0" fontId="6" fillId="0" borderId="24" xfId="0" applyFont="1" applyBorder="1" applyAlignment="1">
      <alignment horizontal="justify" vertical="center" wrapText="1"/>
    </xf>
    <xf numFmtId="0" fontId="6" fillId="13" borderId="11" xfId="0" applyFont="1" applyFill="1" applyBorder="1" applyAlignment="1">
      <alignment horizontal="justify" vertical="center"/>
    </xf>
    <xf numFmtId="0" fontId="6" fillId="13" borderId="11" xfId="0" applyFont="1" applyFill="1" applyBorder="1" applyAlignment="1">
      <alignment horizontal="center" vertical="center"/>
    </xf>
    <xf numFmtId="0" fontId="6" fillId="14" borderId="15" xfId="0" applyFont="1" applyFill="1" applyBorder="1" applyAlignment="1">
      <alignment vertical="center"/>
    </xf>
    <xf numFmtId="0" fontId="6" fillId="14" borderId="11" xfId="0" applyFont="1" applyFill="1" applyBorder="1" applyAlignment="1">
      <alignment vertical="center"/>
    </xf>
    <xf numFmtId="0" fontId="6" fillId="14" borderId="11" xfId="0" applyFont="1" applyFill="1" applyBorder="1" applyAlignment="1">
      <alignment horizontal="justify" vertical="center"/>
    </xf>
    <xf numFmtId="0" fontId="6" fillId="14" borderId="11" xfId="0" applyFont="1" applyFill="1" applyBorder="1" applyAlignment="1">
      <alignment horizontal="center" vertical="center"/>
    </xf>
    <xf numFmtId="0" fontId="4" fillId="6" borderId="12" xfId="0" applyFont="1" applyFill="1" applyBorder="1"/>
    <xf numFmtId="0" fontId="4" fillId="6" borderId="23" xfId="0" applyFont="1" applyFill="1" applyBorder="1"/>
    <xf numFmtId="0" fontId="4" fillId="6" borderId="25" xfId="0" applyFont="1" applyFill="1" applyBorder="1"/>
    <xf numFmtId="0" fontId="13" fillId="0" borderId="0" xfId="0" applyFont="1"/>
    <xf numFmtId="0" fontId="4" fillId="6" borderId="21" xfId="0" applyFont="1" applyFill="1" applyBorder="1"/>
    <xf numFmtId="0" fontId="4" fillId="6" borderId="13" xfId="0" applyFont="1" applyFill="1" applyBorder="1"/>
    <xf numFmtId="172" fontId="6" fillId="15" borderId="15" xfId="0" applyNumberFormat="1" applyFont="1" applyFill="1" applyBorder="1" applyAlignment="1">
      <alignment horizontal="center" vertical="center"/>
    </xf>
    <xf numFmtId="43" fontId="6" fillId="14" borderId="0" xfId="4" applyFont="1" applyFill="1" applyAlignment="1">
      <alignment vertical="center"/>
    </xf>
    <xf numFmtId="43" fontId="6" fillId="14" borderId="11" xfId="4" applyFont="1" applyFill="1" applyBorder="1" applyAlignment="1">
      <alignment vertical="center"/>
    </xf>
    <xf numFmtId="43" fontId="6" fillId="15" borderId="15" xfId="4" applyFont="1" applyFill="1" applyBorder="1" applyAlignment="1">
      <alignment vertical="center"/>
    </xf>
    <xf numFmtId="171" fontId="4" fillId="6" borderId="0" xfId="0" applyNumberFormat="1" applyFont="1" applyFill="1" applyAlignment="1">
      <alignment vertical="center"/>
    </xf>
    <xf numFmtId="0" fontId="6" fillId="0" borderId="0" xfId="0" applyFont="1" applyAlignment="1">
      <alignment horizontal="center" vertical="center"/>
    </xf>
    <xf numFmtId="3" fontId="7" fillId="3" borderId="6" xfId="0" applyNumberFormat="1" applyFont="1" applyFill="1" applyBorder="1" applyAlignment="1">
      <alignment horizontal="center" vertical="center" textRotation="90" wrapText="1"/>
    </xf>
    <xf numFmtId="3" fontId="7" fillId="3" borderId="15" xfId="0" applyNumberFormat="1" applyFont="1" applyFill="1" applyBorder="1" applyAlignment="1">
      <alignment horizontal="center" vertical="center" textRotation="90" wrapText="1"/>
    </xf>
    <xf numFmtId="0" fontId="7" fillId="3" borderId="14" xfId="0" applyFont="1" applyFill="1" applyBorder="1" applyAlignment="1">
      <alignment horizontal="center" vertical="center" textRotation="90" wrapText="1"/>
    </xf>
    <xf numFmtId="0" fontId="7" fillId="3" borderId="14" xfId="0" applyFont="1" applyFill="1" applyBorder="1" applyAlignment="1">
      <alignment horizontal="center" vertical="center" textRotation="90"/>
    </xf>
    <xf numFmtId="0" fontId="7" fillId="3" borderId="6" xfId="0" applyFont="1" applyFill="1" applyBorder="1" applyAlignment="1">
      <alignment horizontal="center" vertical="center" textRotation="90"/>
    </xf>
    <xf numFmtId="0" fontId="6" fillId="13" borderId="35" xfId="0" applyFont="1" applyFill="1" applyBorder="1" applyAlignment="1">
      <alignment horizontal="center" vertical="center" wrapText="1"/>
    </xf>
    <xf numFmtId="0" fontId="6" fillId="13" borderId="15" xfId="0" applyFont="1" applyFill="1" applyBorder="1" applyAlignment="1">
      <alignment horizontal="justify" vertical="center" wrapText="1"/>
    </xf>
    <xf numFmtId="2" fontId="6" fillId="13" borderId="15" xfId="0" applyNumberFormat="1" applyFont="1" applyFill="1" applyBorder="1" applyAlignment="1">
      <alignment horizontal="right" vertical="center" wrapText="1"/>
    </xf>
    <xf numFmtId="1" fontId="6" fillId="13" borderId="15" xfId="0" applyNumberFormat="1"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12" xfId="0" applyFont="1" applyFill="1" applyBorder="1"/>
    <xf numFmtId="0" fontId="6" fillId="20" borderId="12" xfId="0" applyFont="1" applyFill="1" applyBorder="1" applyAlignment="1">
      <alignment horizontal="center" vertical="center" wrapText="1"/>
    </xf>
    <xf numFmtId="0" fontId="6" fillId="20" borderId="15" xfId="0" applyFont="1" applyFill="1" applyBorder="1" applyAlignment="1">
      <alignment horizontal="justify" vertical="center" wrapText="1"/>
    </xf>
    <xf numFmtId="0" fontId="6" fillId="20" borderId="15" xfId="0" applyFont="1" applyFill="1" applyBorder="1" applyAlignment="1">
      <alignment vertical="center" wrapText="1"/>
    </xf>
    <xf numFmtId="2" fontId="6" fillId="20" borderId="15" xfId="0" applyNumberFormat="1" applyFont="1" applyFill="1" applyBorder="1" applyAlignment="1">
      <alignment horizontal="right" vertical="center" wrapText="1"/>
    </xf>
    <xf numFmtId="1" fontId="6" fillId="20" borderId="15" xfId="0" applyNumberFormat="1"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11" xfId="0" applyFont="1" applyFill="1" applyBorder="1"/>
    <xf numFmtId="0" fontId="4" fillId="15" borderId="15" xfId="0" applyFont="1" applyFill="1" applyBorder="1" applyAlignment="1">
      <alignment horizontal="justify" vertical="center" wrapText="1"/>
    </xf>
    <xf numFmtId="0" fontId="4" fillId="15" borderId="15" xfId="0" applyFont="1" applyFill="1" applyBorder="1" applyAlignment="1">
      <alignment vertical="center" wrapText="1"/>
    </xf>
    <xf numFmtId="2" fontId="4" fillId="15" borderId="15" xfId="0" applyNumberFormat="1" applyFont="1" applyFill="1" applyBorder="1" applyAlignment="1">
      <alignment horizontal="right" vertical="center" wrapText="1"/>
    </xf>
    <xf numFmtId="1" fontId="4" fillId="15" borderId="15" xfId="0" applyNumberFormat="1" applyFont="1" applyFill="1" applyBorder="1" applyAlignment="1">
      <alignment horizontal="center" vertical="center" wrapText="1"/>
    </xf>
    <xf numFmtId="0" fontId="6" fillId="15" borderId="15" xfId="0" applyFont="1" applyFill="1" applyBorder="1" applyAlignment="1">
      <alignment vertical="center" wrapText="1"/>
    </xf>
    <xf numFmtId="0" fontId="6" fillId="15" borderId="15" xfId="0" applyFont="1" applyFill="1" applyBorder="1" applyAlignment="1">
      <alignment horizontal="center" vertical="center" wrapText="1"/>
    </xf>
    <xf numFmtId="0" fontId="4" fillId="6" borderId="0" xfId="0" applyFont="1" applyFill="1" applyAlignment="1">
      <alignment vertical="center"/>
    </xf>
    <xf numFmtId="0" fontId="4" fillId="0" borderId="0" xfId="0" applyFont="1" applyAlignment="1">
      <alignment horizontal="left"/>
    </xf>
    <xf numFmtId="2" fontId="4" fillId="0" borderId="0" xfId="0" applyNumberFormat="1" applyFont="1" applyAlignment="1">
      <alignment horizontal="right"/>
    </xf>
    <xf numFmtId="0" fontId="22" fillId="0" borderId="0" xfId="0" applyFont="1"/>
    <xf numFmtId="0" fontId="22" fillId="0" borderId="0" xfId="0" applyFont="1" applyAlignment="1">
      <alignment wrapText="1"/>
    </xf>
    <xf numFmtId="0" fontId="23" fillId="21" borderId="15" xfId="0" applyFont="1" applyFill="1" applyBorder="1" applyAlignment="1">
      <alignment vertical="center"/>
    </xf>
    <xf numFmtId="0" fontId="23" fillId="21" borderId="15" xfId="0" applyFont="1" applyFill="1" applyBorder="1" applyAlignment="1">
      <alignment horizontal="justify" vertical="center"/>
    </xf>
    <xf numFmtId="0" fontId="23" fillId="21" borderId="15" xfId="0" applyFont="1" applyFill="1" applyBorder="1" applyAlignment="1">
      <alignment horizontal="center" vertical="center"/>
    </xf>
    <xf numFmtId="170" fontId="23" fillId="21" borderId="15" xfId="0" applyNumberFormat="1" applyFont="1" applyFill="1" applyBorder="1" applyAlignment="1">
      <alignment horizontal="center" vertical="center"/>
    </xf>
    <xf numFmtId="1" fontId="23" fillId="21" borderId="15" xfId="0" applyNumberFormat="1" applyFont="1" applyFill="1" applyBorder="1" applyAlignment="1">
      <alignment horizontal="center" vertical="center"/>
    </xf>
    <xf numFmtId="0" fontId="22" fillId="6" borderId="0" xfId="0" applyFont="1" applyFill="1"/>
    <xf numFmtId="0" fontId="22" fillId="6" borderId="19" xfId="0" applyFont="1" applyFill="1" applyBorder="1" applyAlignment="1">
      <alignment vertical="center" wrapText="1"/>
    </xf>
    <xf numFmtId="0" fontId="22" fillId="6" borderId="11" xfId="0" applyFont="1" applyFill="1" applyBorder="1" applyAlignment="1">
      <alignment vertical="center" wrapText="1"/>
    </xf>
    <xf numFmtId="0" fontId="22" fillId="6" borderId="12" xfId="0" applyFont="1" applyFill="1" applyBorder="1" applyAlignment="1">
      <alignment vertical="center" wrapText="1"/>
    </xf>
    <xf numFmtId="1" fontId="23" fillId="17" borderId="21" xfId="0" applyNumberFormat="1" applyFont="1" applyFill="1" applyBorder="1" applyAlignment="1">
      <alignment horizontal="center" vertical="center"/>
    </xf>
    <xf numFmtId="0" fontId="23" fillId="17" borderId="9" xfId="0" applyFont="1" applyFill="1" applyBorder="1" applyAlignment="1">
      <alignment vertical="center"/>
    </xf>
    <xf numFmtId="0" fontId="23" fillId="17" borderId="9" xfId="0" applyFont="1" applyFill="1" applyBorder="1" applyAlignment="1">
      <alignment horizontal="justify" vertical="center"/>
    </xf>
    <xf numFmtId="0" fontId="23" fillId="17" borderId="9" xfId="0" applyFont="1" applyFill="1" applyBorder="1" applyAlignment="1">
      <alignment horizontal="center" vertical="center"/>
    </xf>
    <xf numFmtId="170" fontId="23" fillId="17" borderId="9" xfId="0" applyNumberFormat="1" applyFont="1" applyFill="1" applyBorder="1" applyAlignment="1">
      <alignment horizontal="center" vertical="center"/>
    </xf>
    <xf numFmtId="1" fontId="23" fillId="17" borderId="9" xfId="0" applyNumberFormat="1" applyFont="1" applyFill="1" applyBorder="1" applyAlignment="1">
      <alignment horizontal="center" vertical="center"/>
    </xf>
    <xf numFmtId="0" fontId="22" fillId="6" borderId="23" xfId="0" applyFont="1" applyFill="1" applyBorder="1" applyAlignment="1">
      <alignment vertical="center" wrapText="1"/>
    </xf>
    <xf numFmtId="0" fontId="22" fillId="6" borderId="25" xfId="0" applyFont="1" applyFill="1" applyBorder="1" applyAlignment="1">
      <alignment vertical="center" wrapText="1"/>
    </xf>
    <xf numFmtId="1" fontId="23" fillId="7" borderId="14" xfId="0" applyNumberFormat="1" applyFont="1" applyFill="1" applyBorder="1" applyAlignment="1">
      <alignment horizontal="left" vertical="center" wrapText="1" indent="1"/>
    </xf>
    <xf numFmtId="0" fontId="23" fillId="7" borderId="15" xfId="0" applyFont="1" applyFill="1" applyBorder="1" applyAlignment="1">
      <alignment vertical="center"/>
    </xf>
    <xf numFmtId="0" fontId="23" fillId="7" borderId="15" xfId="0" applyFont="1" applyFill="1" applyBorder="1" applyAlignment="1">
      <alignment horizontal="justify" vertical="center"/>
    </xf>
    <xf numFmtId="0" fontId="23" fillId="7" borderId="15" xfId="0" applyFont="1" applyFill="1" applyBorder="1" applyAlignment="1">
      <alignment horizontal="center" vertical="center"/>
    </xf>
    <xf numFmtId="170" fontId="23" fillId="7" borderId="15" xfId="0" applyNumberFormat="1" applyFont="1" applyFill="1" applyBorder="1" applyAlignment="1">
      <alignment horizontal="center" vertical="center"/>
    </xf>
    <xf numFmtId="1" fontId="23" fillId="7" borderId="15" xfId="0" applyNumberFormat="1" applyFont="1" applyFill="1" applyBorder="1" applyAlignment="1">
      <alignment horizontal="center" vertical="center"/>
    </xf>
    <xf numFmtId="0" fontId="22" fillId="6" borderId="21" xfId="0" applyFont="1" applyFill="1" applyBorder="1" applyAlignment="1">
      <alignment vertical="center" wrapText="1"/>
    </xf>
    <xf numFmtId="0" fontId="22" fillId="6" borderId="13" xfId="0" applyFont="1" applyFill="1" applyBorder="1" applyAlignment="1">
      <alignment vertical="center" wrapText="1"/>
    </xf>
    <xf numFmtId="1" fontId="22" fillId="0" borderId="0" xfId="0" applyNumberFormat="1" applyFont="1"/>
    <xf numFmtId="0" fontId="22" fillId="6" borderId="0" xfId="0" applyFont="1" applyFill="1" applyAlignment="1">
      <alignment horizontal="justify" vertical="center"/>
    </xf>
    <xf numFmtId="0" fontId="22" fillId="6" borderId="0" xfId="0" applyFont="1" applyFill="1" applyAlignment="1">
      <alignment horizontal="center"/>
    </xf>
    <xf numFmtId="170" fontId="22" fillId="6" borderId="0" xfId="0" applyNumberFormat="1" applyFont="1" applyFill="1" applyAlignment="1">
      <alignment horizontal="center" vertical="center"/>
    </xf>
    <xf numFmtId="1" fontId="22" fillId="6" borderId="0" xfId="0" applyNumberFormat="1" applyFont="1" applyFill="1" applyAlignment="1">
      <alignment horizontal="center" vertical="center"/>
    </xf>
    <xf numFmtId="0" fontId="22" fillId="6" borderId="0" xfId="0" applyFont="1" applyFill="1" applyAlignment="1">
      <alignment horizontal="center" vertical="center"/>
    </xf>
    <xf numFmtId="172" fontId="22" fillId="0" borderId="0" xfId="0" applyNumberFormat="1" applyFont="1" applyAlignment="1">
      <alignment horizontal="center"/>
    </xf>
    <xf numFmtId="171" fontId="22" fillId="6" borderId="0" xfId="0" applyNumberFormat="1" applyFont="1" applyFill="1" applyAlignment="1">
      <alignment vertical="center"/>
    </xf>
    <xf numFmtId="171" fontId="22" fillId="6" borderId="0" xfId="0" applyNumberFormat="1" applyFont="1" applyFill="1" applyAlignment="1">
      <alignment horizontal="center" vertical="center"/>
    </xf>
    <xf numFmtId="0" fontId="6" fillId="0" borderId="21" xfId="0" applyFont="1" applyBorder="1" applyAlignment="1">
      <alignment vertical="center"/>
    </xf>
    <xf numFmtId="14" fontId="6" fillId="0" borderId="9" xfId="0" applyNumberFormat="1" applyFont="1" applyBorder="1" applyAlignment="1">
      <alignment vertical="center"/>
    </xf>
    <xf numFmtId="0" fontId="7" fillId="12" borderId="14" xfId="0" applyFont="1" applyFill="1" applyBorder="1" applyAlignment="1">
      <alignment horizontal="center" vertical="center" textRotation="90" wrapText="1"/>
    </xf>
    <xf numFmtId="14" fontId="6" fillId="12" borderId="20" xfId="0" applyNumberFormat="1" applyFont="1" applyFill="1" applyBorder="1" applyAlignment="1">
      <alignment horizontal="center" vertical="center" wrapText="1"/>
    </xf>
    <xf numFmtId="1" fontId="6" fillId="13" borderId="18" xfId="0" applyNumberFormat="1" applyFont="1" applyFill="1" applyBorder="1" applyAlignment="1">
      <alignment horizontal="center" vertical="center" wrapText="1"/>
    </xf>
    <xf numFmtId="0" fontId="4" fillId="13" borderId="15" xfId="0" applyFont="1" applyFill="1" applyBorder="1" applyAlignment="1">
      <alignment horizontal="center" vertical="center"/>
    </xf>
    <xf numFmtId="14" fontId="6" fillId="13" borderId="15" xfId="0" applyNumberFormat="1" applyFont="1" applyFill="1" applyBorder="1" applyAlignment="1">
      <alignment vertical="center"/>
    </xf>
    <xf numFmtId="1" fontId="6" fillId="14" borderId="16" xfId="0" applyNumberFormat="1" applyFont="1" applyFill="1" applyBorder="1" applyAlignment="1">
      <alignment horizontal="center" vertical="center"/>
    </xf>
    <xf numFmtId="0" fontId="6" fillId="14" borderId="6" xfId="0" applyFont="1" applyFill="1" applyBorder="1" applyAlignment="1">
      <alignment vertical="center"/>
    </xf>
    <xf numFmtId="0" fontId="4" fillId="14" borderId="9" xfId="0" applyFont="1" applyFill="1" applyBorder="1" applyAlignment="1">
      <alignment horizontal="center" vertical="center"/>
    </xf>
    <xf numFmtId="14" fontId="6" fillId="14" borderId="9" xfId="0" applyNumberFormat="1" applyFont="1" applyFill="1" applyBorder="1" applyAlignment="1">
      <alignment vertical="center"/>
    </xf>
    <xf numFmtId="1" fontId="6" fillId="15" borderId="16" xfId="0" applyNumberFormat="1" applyFont="1" applyFill="1" applyBorder="1" applyAlignment="1">
      <alignment horizontal="center" vertical="center" wrapText="1"/>
    </xf>
    <xf numFmtId="0" fontId="6" fillId="15" borderId="6" xfId="0" applyFont="1" applyFill="1" applyBorder="1" applyAlignment="1">
      <alignment vertical="center"/>
    </xf>
    <xf numFmtId="170" fontId="6" fillId="15" borderId="15" xfId="0" applyNumberFormat="1" applyFont="1" applyFill="1" applyBorder="1" applyAlignment="1">
      <alignment horizontal="center" vertical="center"/>
    </xf>
    <xf numFmtId="14" fontId="6" fillId="15" borderId="15" xfId="0" applyNumberFormat="1" applyFont="1" applyFill="1" applyBorder="1" applyAlignment="1">
      <alignment vertical="center"/>
    </xf>
    <xf numFmtId="14" fontId="4" fillId="15" borderId="15" xfId="0" applyNumberFormat="1" applyFont="1" applyFill="1" applyBorder="1" applyAlignment="1">
      <alignment vertical="center"/>
    </xf>
    <xf numFmtId="0" fontId="6" fillId="14" borderId="6" xfId="0" applyFont="1" applyFill="1" applyBorder="1" applyAlignment="1">
      <alignment horizontal="justify" vertical="center"/>
    </xf>
    <xf numFmtId="0" fontId="4" fillId="6" borderId="20" xfId="0" applyFont="1" applyFill="1" applyBorder="1" applyAlignment="1">
      <alignment horizontal="center"/>
    </xf>
    <xf numFmtId="0" fontId="6" fillId="15" borderId="9" xfId="0" applyFont="1" applyFill="1" applyBorder="1" applyAlignment="1">
      <alignment vertical="center"/>
    </xf>
    <xf numFmtId="0" fontId="6" fillId="15" borderId="9" xfId="0" applyFont="1" applyFill="1" applyBorder="1" applyAlignment="1">
      <alignment horizontal="justify" vertical="center"/>
    </xf>
    <xf numFmtId="0" fontId="6" fillId="15" borderId="9" xfId="0" applyFont="1" applyFill="1" applyBorder="1" applyAlignment="1">
      <alignment horizontal="center" vertical="center"/>
    </xf>
    <xf numFmtId="170" fontId="6" fillId="15" borderId="9" xfId="0" applyNumberFormat="1" applyFont="1" applyFill="1" applyBorder="1" applyAlignment="1">
      <alignment horizontal="center" vertical="center"/>
    </xf>
    <xf numFmtId="0" fontId="7" fillId="6" borderId="31" xfId="0" applyFont="1" applyFill="1" applyBorder="1" applyAlignment="1">
      <alignment horizontal="justify" vertical="center"/>
    </xf>
    <xf numFmtId="171" fontId="4" fillId="0" borderId="0" xfId="0" applyNumberFormat="1" applyFont="1" applyAlignment="1">
      <alignment horizontal="center" vertical="center"/>
    </xf>
    <xf numFmtId="174" fontId="4" fillId="0" borderId="0" xfId="1" applyNumberFormat="1" applyFont="1"/>
    <xf numFmtId="14" fontId="4" fillId="0" borderId="0" xfId="0" applyNumberFormat="1" applyFont="1" applyAlignment="1">
      <alignment horizontal="right" vertical="center"/>
    </xf>
    <xf numFmtId="0" fontId="4" fillId="6" borderId="9" xfId="0" applyFont="1" applyFill="1" applyBorder="1"/>
    <xf numFmtId="0" fontId="4" fillId="6" borderId="6" xfId="0" applyFont="1" applyFill="1" applyBorder="1" applyAlignment="1">
      <alignment horizontal="justify" vertical="center"/>
    </xf>
    <xf numFmtId="168" fontId="3" fillId="0" borderId="6" xfId="0" applyNumberFormat="1" applyFont="1" applyBorder="1" applyAlignment="1">
      <alignment horizontal="left"/>
    </xf>
    <xf numFmtId="17" fontId="3" fillId="0" borderId="6" xfId="0" applyNumberFormat="1" applyFont="1" applyBorder="1" applyAlignment="1">
      <alignment horizontal="left"/>
    </xf>
    <xf numFmtId="3" fontId="5" fillId="2" borderId="6" xfId="0" applyNumberFormat="1" applyFont="1" applyFill="1" applyBorder="1" applyAlignment="1">
      <alignment horizontal="left" vertical="center" wrapText="1"/>
    </xf>
    <xf numFmtId="49" fontId="6" fillId="12" borderId="6" xfId="0" applyNumberFormat="1" applyFont="1" applyFill="1" applyBorder="1" applyAlignment="1">
      <alignment horizontal="center" vertical="center" textRotation="90" wrapText="1"/>
    </xf>
    <xf numFmtId="1" fontId="6" fillId="13" borderId="19" xfId="0" applyNumberFormat="1" applyFont="1" applyFill="1" applyBorder="1" applyAlignment="1">
      <alignment horizontal="left" vertical="center" wrapText="1"/>
    </xf>
    <xf numFmtId="3" fontId="4" fillId="13" borderId="11" xfId="0" applyNumberFormat="1" applyFont="1" applyFill="1" applyBorder="1" applyAlignment="1">
      <alignment vertical="center"/>
    </xf>
    <xf numFmtId="3" fontId="6" fillId="13" borderId="11" xfId="0" applyNumberFormat="1" applyFont="1" applyFill="1" applyBorder="1" applyAlignment="1">
      <alignment horizontal="right" vertical="center"/>
    </xf>
    <xf numFmtId="174" fontId="6" fillId="13" borderId="11" xfId="0" applyNumberFormat="1" applyFont="1" applyFill="1" applyBorder="1" applyAlignment="1">
      <alignment horizontal="center" vertical="center"/>
    </xf>
    <xf numFmtId="0" fontId="6" fillId="13" borderId="6" xfId="0" applyFont="1" applyFill="1" applyBorder="1" applyAlignment="1">
      <alignment vertical="center"/>
    </xf>
    <xf numFmtId="0" fontId="6" fillId="13" borderId="6" xfId="0" applyFont="1" applyFill="1" applyBorder="1" applyAlignment="1">
      <alignment horizontal="justify" vertical="center"/>
    </xf>
    <xf numFmtId="0" fontId="4" fillId="6" borderId="19" xfId="0" applyFont="1" applyFill="1" applyBorder="1" applyAlignment="1">
      <alignment vertical="center" wrapText="1"/>
    </xf>
    <xf numFmtId="0" fontId="6" fillId="14" borderId="14" xfId="0" applyFont="1" applyFill="1" applyBorder="1" applyAlignment="1">
      <alignment horizontal="left" vertical="center"/>
    </xf>
    <xf numFmtId="1" fontId="6" fillId="14" borderId="15" xfId="0" applyNumberFormat="1" applyFont="1" applyFill="1" applyBorder="1" applyAlignment="1">
      <alignment horizontal="left" vertical="center"/>
    </xf>
    <xf numFmtId="3" fontId="4" fillId="14" borderId="11" xfId="0" applyNumberFormat="1" applyFont="1" applyFill="1" applyBorder="1" applyAlignment="1">
      <alignment vertical="center"/>
    </xf>
    <xf numFmtId="3" fontId="6" fillId="14" borderId="11" xfId="0" applyNumberFormat="1" applyFont="1" applyFill="1" applyBorder="1" applyAlignment="1">
      <alignment horizontal="right" vertical="center"/>
    </xf>
    <xf numFmtId="174" fontId="6" fillId="14" borderId="11" xfId="0" applyNumberFormat="1" applyFont="1" applyFill="1" applyBorder="1" applyAlignment="1">
      <alignment horizontal="center" vertical="center"/>
    </xf>
    <xf numFmtId="172" fontId="6" fillId="14" borderId="6" xfId="0" applyNumberFormat="1" applyFont="1" applyFill="1" applyBorder="1" applyAlignment="1">
      <alignment vertical="center"/>
    </xf>
    <xf numFmtId="0" fontId="4" fillId="6" borderId="23" xfId="0" applyFont="1" applyFill="1" applyBorder="1" applyAlignment="1">
      <alignment vertical="center" wrapText="1"/>
    </xf>
    <xf numFmtId="1" fontId="6" fillId="15" borderId="14" xfId="0" applyNumberFormat="1" applyFont="1" applyFill="1" applyBorder="1" applyAlignment="1">
      <alignment horizontal="left" vertical="center" wrapText="1"/>
    </xf>
    <xf numFmtId="1" fontId="6" fillId="15" borderId="15" xfId="0" applyNumberFormat="1" applyFont="1" applyFill="1" applyBorder="1" applyAlignment="1">
      <alignment vertical="center"/>
    </xf>
    <xf numFmtId="0" fontId="6" fillId="15" borderId="16" xfId="0" applyFont="1" applyFill="1" applyBorder="1" applyAlignment="1">
      <alignment vertical="center"/>
    </xf>
    <xf numFmtId="0" fontId="6" fillId="15" borderId="6" xfId="0" applyFont="1" applyFill="1" applyBorder="1" applyAlignment="1">
      <alignment horizontal="justify" vertical="center"/>
    </xf>
    <xf numFmtId="0" fontId="6" fillId="15" borderId="6" xfId="0" applyFont="1" applyFill="1" applyBorder="1" applyAlignment="1">
      <alignment horizontal="center" vertical="center"/>
    </xf>
    <xf numFmtId="3" fontId="4" fillId="15" borderId="6" xfId="0" applyNumberFormat="1" applyFont="1" applyFill="1" applyBorder="1" applyAlignment="1">
      <alignment vertical="center"/>
    </xf>
    <xf numFmtId="3" fontId="6" fillId="15" borderId="6" xfId="0" applyNumberFormat="1" applyFont="1" applyFill="1" applyBorder="1" applyAlignment="1">
      <alignment horizontal="right" vertical="center"/>
    </xf>
    <xf numFmtId="172" fontId="6" fillId="15" borderId="6" xfId="0" applyNumberFormat="1" applyFont="1" applyFill="1" applyBorder="1" applyAlignment="1">
      <alignment vertical="center"/>
    </xf>
    <xf numFmtId="1" fontId="6" fillId="14" borderId="14" xfId="0" applyNumberFormat="1" applyFont="1" applyFill="1" applyBorder="1" applyAlignment="1">
      <alignment horizontal="left" vertical="center"/>
    </xf>
    <xf numFmtId="0" fontId="6" fillId="14" borderId="16" xfId="0" applyFont="1" applyFill="1" applyBorder="1" applyAlignment="1">
      <alignment vertical="center"/>
    </xf>
    <xf numFmtId="0" fontId="6" fillId="14" borderId="6" xfId="0" applyFont="1" applyFill="1" applyBorder="1" applyAlignment="1">
      <alignment horizontal="center" vertical="center"/>
    </xf>
    <xf numFmtId="3" fontId="4" fillId="14" borderId="6" xfId="0" applyNumberFormat="1" applyFont="1" applyFill="1" applyBorder="1" applyAlignment="1">
      <alignment vertical="center"/>
    </xf>
    <xf numFmtId="3" fontId="6" fillId="14" borderId="6" xfId="0" applyNumberFormat="1" applyFont="1" applyFill="1" applyBorder="1" applyAlignment="1">
      <alignment horizontal="right" vertical="center"/>
    </xf>
    <xf numFmtId="174" fontId="6" fillId="14" borderId="6" xfId="0" applyNumberFormat="1" applyFont="1" applyFill="1" applyBorder="1" applyAlignment="1">
      <alignment horizontal="center" vertical="center"/>
    </xf>
    <xf numFmtId="1" fontId="6" fillId="15" borderId="14" xfId="0" applyNumberFormat="1" applyFont="1" applyFill="1" applyBorder="1" applyAlignment="1">
      <alignment horizontal="left" vertical="center" wrapText="1" indent="1"/>
    </xf>
    <xf numFmtId="0" fontId="4" fillId="6" borderId="43" xfId="0" applyFont="1" applyFill="1" applyBorder="1" applyAlignment="1">
      <alignment vertical="center" wrapText="1"/>
    </xf>
    <xf numFmtId="3" fontId="4" fillId="0" borderId="0" xfId="0" applyNumberFormat="1" applyFont="1"/>
    <xf numFmtId="174" fontId="4" fillId="0" borderId="0" xfId="0" applyNumberFormat="1" applyFont="1" applyAlignment="1">
      <alignment horizontal="center"/>
    </xf>
    <xf numFmtId="171" fontId="4" fillId="0" borderId="0" xfId="0" applyNumberFormat="1" applyFont="1"/>
    <xf numFmtId="3" fontId="6" fillId="6" borderId="11" xfId="0" applyNumberFormat="1" applyFont="1" applyFill="1" applyBorder="1" applyAlignment="1">
      <alignment vertical="center"/>
    </xf>
    <xf numFmtId="168" fontId="3" fillId="0" borderId="6" xfId="0" applyNumberFormat="1" applyFont="1" applyBorder="1" applyAlignment="1">
      <alignment horizontal="left" vertical="center"/>
    </xf>
    <xf numFmtId="17" fontId="3" fillId="0" borderId="6" xfId="0" applyNumberFormat="1" applyFont="1" applyBorder="1" applyAlignment="1">
      <alignment horizontal="left" vertical="center"/>
    </xf>
    <xf numFmtId="1" fontId="6" fillId="13" borderId="19" xfId="0" applyNumberFormat="1" applyFont="1" applyFill="1" applyBorder="1" applyAlignment="1">
      <alignment horizontal="left" vertical="center"/>
    </xf>
    <xf numFmtId="0" fontId="6" fillId="13" borderId="11" xfId="0" applyFont="1" applyFill="1" applyBorder="1" applyAlignment="1">
      <alignment horizontal="left" vertical="center"/>
    </xf>
    <xf numFmtId="170" fontId="6" fillId="13" borderId="11" xfId="0" applyNumberFormat="1" applyFont="1" applyFill="1" applyBorder="1" applyAlignment="1">
      <alignment horizontal="left" vertical="center"/>
    </xf>
    <xf numFmtId="171" fontId="6" fillId="13" borderId="11" xfId="0" applyNumberFormat="1" applyFont="1" applyFill="1" applyBorder="1" applyAlignment="1">
      <alignment horizontal="left" vertical="center"/>
    </xf>
    <xf numFmtId="172" fontId="6" fillId="13" borderId="11" xfId="0" applyNumberFormat="1" applyFont="1" applyFill="1" applyBorder="1" applyAlignment="1">
      <alignment horizontal="left" vertical="center"/>
    </xf>
    <xf numFmtId="0" fontId="14" fillId="13" borderId="11" xfId="0" applyFont="1" applyFill="1" applyBorder="1"/>
    <xf numFmtId="0" fontId="14" fillId="13" borderId="12" xfId="0" applyFont="1" applyFill="1" applyBorder="1" applyAlignment="1">
      <alignment horizontal="justify"/>
    </xf>
    <xf numFmtId="0" fontId="14" fillId="0" borderId="0" xfId="0" applyFont="1"/>
    <xf numFmtId="1" fontId="6" fillId="6" borderId="19" xfId="0" applyNumberFormat="1" applyFont="1" applyFill="1" applyBorder="1" applyAlignment="1">
      <alignment horizontal="center" vertical="center" wrapText="1"/>
    </xf>
    <xf numFmtId="1" fontId="6" fillId="14" borderId="11" xfId="0" applyNumberFormat="1" applyFont="1" applyFill="1" applyBorder="1" applyAlignment="1">
      <alignment horizontal="left" vertical="center"/>
    </xf>
    <xf numFmtId="0" fontId="6" fillId="14" borderId="11" xfId="0" applyFont="1" applyFill="1" applyBorder="1" applyAlignment="1">
      <alignment horizontal="left" vertical="center"/>
    </xf>
    <xf numFmtId="170" fontId="6" fillId="14" borderId="11" xfId="0" applyNumberFormat="1" applyFont="1" applyFill="1" applyBorder="1" applyAlignment="1">
      <alignment horizontal="left" vertical="center"/>
    </xf>
    <xf numFmtId="171" fontId="6" fillId="14" borderId="11" xfId="0" applyNumberFormat="1" applyFont="1" applyFill="1" applyBorder="1" applyAlignment="1">
      <alignment horizontal="left" vertical="center"/>
    </xf>
    <xf numFmtId="172" fontId="6" fillId="14" borderId="11" xfId="0" applyNumberFormat="1" applyFont="1" applyFill="1" applyBorder="1" applyAlignment="1">
      <alignment horizontal="left" vertical="center"/>
    </xf>
    <xf numFmtId="0" fontId="14" fillId="14" borderId="11" xfId="0" applyFont="1" applyFill="1" applyBorder="1"/>
    <xf numFmtId="0" fontId="14" fillId="14" borderId="12" xfId="0" applyFont="1" applyFill="1" applyBorder="1" applyAlignment="1">
      <alignment horizontal="justify"/>
    </xf>
    <xf numFmtId="1" fontId="6" fillId="6" borderId="23" xfId="0" applyNumberFormat="1" applyFont="1" applyFill="1" applyBorder="1" applyAlignment="1">
      <alignment horizontal="center" vertical="center" wrapText="1"/>
    </xf>
    <xf numFmtId="0" fontId="6" fillId="6" borderId="19"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1" fontId="6" fillId="15" borderId="15" xfId="0" applyNumberFormat="1" applyFont="1" applyFill="1" applyBorder="1" applyAlignment="1">
      <alignment horizontal="left" vertical="center"/>
    </xf>
    <xf numFmtId="170" fontId="6" fillId="15" borderId="15" xfId="0" applyNumberFormat="1" applyFont="1" applyFill="1" applyBorder="1" applyAlignment="1">
      <alignment horizontal="left" vertical="center"/>
    </xf>
    <xf numFmtId="171" fontId="6" fillId="15" borderId="15" xfId="0" applyNumberFormat="1" applyFont="1" applyFill="1" applyBorder="1" applyAlignment="1">
      <alignment horizontal="left" vertical="center"/>
    </xf>
    <xf numFmtId="1" fontId="4" fillId="15" borderId="15" xfId="0" applyNumberFormat="1" applyFont="1" applyFill="1" applyBorder="1" applyAlignment="1">
      <alignment vertical="center" wrapText="1"/>
    </xf>
    <xf numFmtId="172" fontId="6" fillId="15" borderId="15" xfId="0" applyNumberFormat="1" applyFont="1" applyFill="1" applyBorder="1" applyAlignment="1">
      <alignment horizontal="left" vertical="center"/>
    </xf>
    <xf numFmtId="0" fontId="14" fillId="15" borderId="15" xfId="0" applyFont="1" applyFill="1" applyBorder="1"/>
    <xf numFmtId="0" fontId="14" fillId="15" borderId="16" xfId="0" applyFont="1" applyFill="1" applyBorder="1" applyAlignment="1">
      <alignment horizontal="justify"/>
    </xf>
    <xf numFmtId="0" fontId="6" fillId="6" borderId="23" xfId="0" applyFont="1" applyFill="1" applyBorder="1" applyAlignment="1">
      <alignment horizontal="center" vertical="center"/>
    </xf>
    <xf numFmtId="0" fontId="6" fillId="6" borderId="0" xfId="0" applyFont="1" applyFill="1" applyAlignment="1">
      <alignment horizontal="center" vertical="center"/>
    </xf>
    <xf numFmtId="0" fontId="6" fillId="6" borderId="25" xfId="0" applyFont="1" applyFill="1" applyBorder="1" applyAlignment="1">
      <alignment horizontal="center" vertical="center"/>
    </xf>
    <xf numFmtId="0" fontId="14" fillId="0" borderId="0" xfId="0" applyFont="1" applyAlignment="1">
      <alignment wrapText="1"/>
    </xf>
    <xf numFmtId="1" fontId="6" fillId="6" borderId="23" xfId="0" applyNumberFormat="1" applyFont="1" applyFill="1" applyBorder="1" applyAlignment="1">
      <alignment horizontal="justify" vertical="center"/>
    </xf>
    <xf numFmtId="1" fontId="6" fillId="6" borderId="0" xfId="0" applyNumberFormat="1" applyFont="1" applyFill="1" applyAlignment="1">
      <alignment horizontal="justify" vertical="center"/>
    </xf>
    <xf numFmtId="1" fontId="6" fillId="6" borderId="25" xfId="0" applyNumberFormat="1" applyFont="1" applyFill="1" applyBorder="1" applyAlignment="1">
      <alignment horizontal="justify" vertical="center"/>
    </xf>
    <xf numFmtId="1" fontId="6" fillId="15" borderId="11" xfId="0" applyNumberFormat="1" applyFont="1" applyFill="1" applyBorder="1" applyAlignment="1">
      <alignment horizontal="justify" vertical="center"/>
    </xf>
    <xf numFmtId="0" fontId="14" fillId="15" borderId="16" xfId="0" applyFont="1" applyFill="1" applyBorder="1" applyAlignment="1">
      <alignment horizontal="center" vertical="center"/>
    </xf>
    <xf numFmtId="1" fontId="4" fillId="6" borderId="23" xfId="0" applyNumberFormat="1" applyFont="1" applyFill="1" applyBorder="1" applyAlignment="1">
      <alignment horizontal="justify" vertical="center"/>
    </xf>
    <xf numFmtId="1" fontId="4" fillId="6" borderId="0" xfId="0" applyNumberFormat="1" applyFont="1" applyFill="1" applyAlignment="1">
      <alignment horizontal="justify" vertical="center"/>
    </xf>
    <xf numFmtId="0" fontId="4" fillId="6" borderId="23" xfId="0" applyFont="1" applyFill="1" applyBorder="1" applyAlignment="1">
      <alignment horizontal="justify" vertical="center"/>
    </xf>
    <xf numFmtId="0" fontId="4" fillId="6" borderId="19" xfId="0" applyFont="1" applyFill="1" applyBorder="1" applyAlignment="1">
      <alignment horizontal="justify" vertical="center"/>
    </xf>
    <xf numFmtId="0" fontId="4" fillId="6" borderId="11" xfId="0" applyFont="1" applyFill="1" applyBorder="1" applyAlignment="1">
      <alignment horizontal="justify" vertical="center"/>
    </xf>
    <xf numFmtId="0" fontId="4" fillId="6" borderId="12" xfId="0" applyFont="1" applyFill="1" applyBorder="1" applyAlignment="1">
      <alignment horizontal="justify" vertical="center"/>
    </xf>
    <xf numFmtId="0" fontId="4" fillId="6" borderId="27" xfId="0" applyFont="1" applyFill="1" applyBorder="1" applyAlignment="1">
      <alignment horizontal="justify" vertical="center"/>
    </xf>
    <xf numFmtId="0" fontId="4" fillId="6" borderId="25" xfId="0" applyFont="1" applyFill="1" applyBorder="1" applyAlignment="1">
      <alignment horizontal="justify" vertical="center"/>
    </xf>
    <xf numFmtId="0" fontId="4" fillId="0" borderId="16" xfId="0" applyFont="1" applyBorder="1" applyAlignment="1">
      <alignment horizontal="center" vertical="center"/>
    </xf>
    <xf numFmtId="0" fontId="4" fillId="6" borderId="20" xfId="0" applyFont="1" applyFill="1" applyBorder="1" applyAlignment="1">
      <alignment horizontal="justify" vertical="center"/>
    </xf>
    <xf numFmtId="0" fontId="4" fillId="6" borderId="9" xfId="0" applyFont="1" applyFill="1" applyBorder="1" applyAlignment="1">
      <alignment horizontal="justify" vertical="center"/>
    </xf>
    <xf numFmtId="0" fontId="6" fillId="14" borderId="0" xfId="0" applyFont="1" applyFill="1" applyAlignment="1">
      <alignment horizontal="left" vertical="center"/>
    </xf>
    <xf numFmtId="170" fontId="6" fillId="14" borderId="11" xfId="0" applyNumberFormat="1" applyFont="1" applyFill="1" applyBorder="1" applyAlignment="1">
      <alignment horizontal="center" vertical="center"/>
    </xf>
    <xf numFmtId="43" fontId="6" fillId="14" borderId="11" xfId="4" applyFont="1" applyFill="1" applyBorder="1" applyAlignment="1">
      <alignment horizontal="justify" vertical="center"/>
    </xf>
    <xf numFmtId="172" fontId="6" fillId="14" borderId="11" xfId="0" applyNumberFormat="1" applyFont="1" applyFill="1" applyBorder="1" applyAlignment="1">
      <alignment horizontal="center" vertical="center"/>
    </xf>
    <xf numFmtId="0" fontId="14" fillId="14" borderId="12" xfId="0" applyFont="1" applyFill="1" applyBorder="1" applyAlignment="1">
      <alignment horizontal="center" vertical="center"/>
    </xf>
    <xf numFmtId="0" fontId="6" fillId="6" borderId="0" xfId="0" applyFont="1" applyFill="1" applyAlignment="1">
      <alignment horizontal="justify" vertical="center"/>
    </xf>
    <xf numFmtId="0" fontId="6" fillId="6" borderId="19" xfId="0" applyFont="1" applyFill="1" applyBorder="1" applyAlignment="1">
      <alignment horizontal="justify" vertical="center"/>
    </xf>
    <xf numFmtId="0" fontId="6" fillId="6" borderId="11" xfId="0" applyFont="1" applyFill="1" applyBorder="1" applyAlignment="1">
      <alignment horizontal="justify" vertical="center"/>
    </xf>
    <xf numFmtId="0" fontId="6" fillId="6" borderId="12" xfId="0" applyFont="1" applyFill="1" applyBorder="1" applyAlignment="1">
      <alignment horizontal="justify" vertical="center"/>
    </xf>
    <xf numFmtId="1" fontId="6" fillId="15" borderId="15" xfId="0" applyNumberFormat="1" applyFont="1" applyFill="1" applyBorder="1" applyAlignment="1">
      <alignment horizontal="justify" vertical="center"/>
    </xf>
    <xf numFmtId="43" fontId="6" fillId="15" borderId="15" xfId="4" applyFont="1" applyFill="1" applyBorder="1" applyAlignment="1">
      <alignment horizontal="justify" vertical="center"/>
    </xf>
    <xf numFmtId="0" fontId="6" fillId="6" borderId="23" xfId="0" applyFont="1" applyFill="1" applyBorder="1" applyAlignment="1">
      <alignment horizontal="justify" vertical="center"/>
    </xf>
    <xf numFmtId="0" fontId="6" fillId="6" borderId="25" xfId="0" applyFont="1" applyFill="1" applyBorder="1" applyAlignment="1">
      <alignment horizontal="justify" vertical="center"/>
    </xf>
    <xf numFmtId="0" fontId="4" fillId="6" borderId="22" xfId="0" applyFont="1" applyFill="1" applyBorder="1" applyAlignment="1">
      <alignment horizontal="center"/>
    </xf>
    <xf numFmtId="0" fontId="6" fillId="6" borderId="23" xfId="0" applyFont="1" applyFill="1" applyBorder="1" applyAlignment="1">
      <alignment vertical="center"/>
    </xf>
    <xf numFmtId="0" fontId="6" fillId="6" borderId="0" xfId="0" applyFont="1" applyFill="1" applyAlignment="1">
      <alignment vertical="center"/>
    </xf>
    <xf numFmtId="0" fontId="6" fillId="6" borderId="25" xfId="0" applyFont="1" applyFill="1" applyBorder="1" applyAlignment="1">
      <alignment vertical="center"/>
    </xf>
    <xf numFmtId="14" fontId="14" fillId="0" borderId="22" xfId="0" applyNumberFormat="1" applyFont="1" applyBorder="1" applyAlignment="1">
      <alignment vertical="center"/>
    </xf>
    <xf numFmtId="10" fontId="4" fillId="0" borderId="14" xfId="3" applyNumberFormat="1" applyFont="1" applyBorder="1" applyAlignment="1">
      <alignment horizontal="center" vertical="center"/>
    </xf>
    <xf numFmtId="10" fontId="4" fillId="0" borderId="19" xfId="3" applyNumberFormat="1" applyFont="1" applyBorder="1" applyAlignment="1">
      <alignment horizontal="center" vertical="center"/>
    </xf>
    <xf numFmtId="9" fontId="4" fillId="6" borderId="21" xfId="3" applyFont="1" applyFill="1" applyBorder="1" applyAlignment="1">
      <alignment horizontal="center" vertical="center"/>
    </xf>
    <xf numFmtId="9" fontId="4" fillId="6" borderId="19" xfId="3" applyFont="1" applyFill="1" applyBorder="1" applyAlignment="1">
      <alignment horizontal="center" vertical="center"/>
    </xf>
    <xf numFmtId="0" fontId="4" fillId="6" borderId="23" xfId="0" applyFont="1" applyFill="1" applyBorder="1" applyAlignment="1">
      <alignment vertical="center"/>
    </xf>
    <xf numFmtId="0" fontId="4" fillId="6" borderId="25" xfId="0" applyFont="1" applyFill="1" applyBorder="1" applyAlignment="1">
      <alignment vertical="center"/>
    </xf>
    <xf numFmtId="0" fontId="4" fillId="6" borderId="21" xfId="0" applyFont="1" applyFill="1" applyBorder="1" applyAlignment="1">
      <alignment vertical="center"/>
    </xf>
    <xf numFmtId="0" fontId="4" fillId="6" borderId="9" xfId="0" applyFont="1" applyFill="1" applyBorder="1" applyAlignment="1">
      <alignment vertical="center"/>
    </xf>
    <xf numFmtId="0" fontId="4" fillId="6" borderId="13" xfId="0" applyFont="1" applyFill="1" applyBorder="1" applyAlignment="1">
      <alignment vertical="center"/>
    </xf>
    <xf numFmtId="1" fontId="6" fillId="6" borderId="23" xfId="0" applyNumberFormat="1" applyFont="1" applyFill="1" applyBorder="1" applyAlignment="1">
      <alignment vertical="center" wrapText="1"/>
    </xf>
    <xf numFmtId="1" fontId="6" fillId="6" borderId="0" xfId="0" applyNumberFormat="1" applyFont="1" applyFill="1" applyAlignment="1">
      <alignment vertical="center" wrapText="1"/>
    </xf>
    <xf numFmtId="1" fontId="6" fillId="6" borderId="25" xfId="0" applyNumberFormat="1" applyFont="1" applyFill="1" applyBorder="1" applyAlignment="1">
      <alignment vertical="center" wrapText="1"/>
    </xf>
    <xf numFmtId="0" fontId="6" fillId="14" borderId="15" xfId="0" applyFont="1" applyFill="1" applyBorder="1" applyAlignment="1">
      <alignment horizontal="justify" vertical="center"/>
    </xf>
    <xf numFmtId="0" fontId="6" fillId="14" borderId="15" xfId="0" applyFont="1" applyFill="1" applyBorder="1" applyAlignment="1">
      <alignment horizontal="center" vertical="center"/>
    </xf>
    <xf numFmtId="170" fontId="6" fillId="14" borderId="15" xfId="0" applyNumberFormat="1" applyFont="1" applyFill="1" applyBorder="1" applyAlignment="1">
      <alignment horizontal="center" vertical="center"/>
    </xf>
    <xf numFmtId="43" fontId="6" fillId="14" borderId="15" xfId="4" applyFont="1" applyFill="1" applyBorder="1" applyAlignment="1">
      <alignment vertical="center"/>
    </xf>
    <xf numFmtId="172" fontId="6" fillId="14" borderId="15" xfId="0" applyNumberFormat="1" applyFont="1" applyFill="1" applyBorder="1" applyAlignment="1">
      <alignment horizontal="center" vertical="center"/>
    </xf>
    <xf numFmtId="0" fontId="14" fillId="14" borderId="15" xfId="0" applyFont="1" applyFill="1" applyBorder="1"/>
    <xf numFmtId="0" fontId="26" fillId="14" borderId="15" xfId="0" applyFont="1" applyFill="1" applyBorder="1"/>
    <xf numFmtId="0" fontId="14" fillId="4" borderId="15" xfId="0" applyFont="1" applyFill="1" applyBorder="1"/>
    <xf numFmtId="0" fontId="14" fillId="4" borderId="16" xfId="0" applyFont="1" applyFill="1" applyBorder="1" applyAlignment="1">
      <alignment horizontal="center" vertical="center"/>
    </xf>
    <xf numFmtId="1" fontId="6" fillId="15" borderId="9" xfId="0" applyNumberFormat="1" applyFont="1" applyFill="1" applyBorder="1" applyAlignment="1">
      <alignment horizontal="justify" vertical="center"/>
    </xf>
    <xf numFmtId="0" fontId="6" fillId="15" borderId="21" xfId="0" applyFont="1" applyFill="1" applyBorder="1" applyAlignment="1">
      <alignment horizontal="left" vertical="center"/>
    </xf>
    <xf numFmtId="0" fontId="6" fillId="15" borderId="9" xfId="0" applyFont="1" applyFill="1" applyBorder="1" applyAlignment="1">
      <alignment horizontal="left" vertical="center"/>
    </xf>
    <xf numFmtId="43" fontId="6" fillId="15" borderId="9" xfId="4" applyFont="1" applyFill="1" applyBorder="1" applyAlignment="1">
      <alignment vertical="center"/>
    </xf>
    <xf numFmtId="43" fontId="6" fillId="15" borderId="9" xfId="4" applyFont="1" applyFill="1" applyBorder="1" applyAlignment="1">
      <alignment horizontal="justify" vertical="center"/>
    </xf>
    <xf numFmtId="0" fontId="14" fillId="15" borderId="9" xfId="0" applyFont="1" applyFill="1" applyBorder="1"/>
    <xf numFmtId="0" fontId="26" fillId="15" borderId="9" xfId="0" applyFont="1" applyFill="1" applyBorder="1"/>
    <xf numFmtId="0" fontId="14" fillId="15" borderId="13" xfId="0" applyFont="1" applyFill="1" applyBorder="1" applyAlignment="1">
      <alignment horizontal="center" vertical="center"/>
    </xf>
    <xf numFmtId="0" fontId="14" fillId="0" borderId="0" xfId="0" applyFont="1" applyAlignment="1">
      <alignment horizontal="center"/>
    </xf>
    <xf numFmtId="9" fontId="4" fillId="6" borderId="14" xfId="3" applyFont="1" applyFill="1" applyBorder="1" applyAlignment="1">
      <alignment horizontal="center" vertical="center"/>
    </xf>
    <xf numFmtId="171" fontId="4" fillId="0" borderId="6" xfId="0" applyNumberFormat="1" applyFont="1" applyBorder="1" applyAlignment="1">
      <alignment horizontal="justify" vertical="center"/>
    </xf>
    <xf numFmtId="1" fontId="6" fillId="6" borderId="23" xfId="0" applyNumberFormat="1" applyFont="1" applyFill="1" applyBorder="1" applyAlignment="1">
      <alignment vertical="center"/>
    </xf>
    <xf numFmtId="1" fontId="6" fillId="6" borderId="0" xfId="0" applyNumberFormat="1" applyFont="1" applyFill="1" applyAlignment="1">
      <alignment vertical="center"/>
    </xf>
    <xf numFmtId="1" fontId="6" fillId="6" borderId="25" xfId="0" applyNumberFormat="1" applyFont="1" applyFill="1" applyBorder="1" applyAlignment="1">
      <alignment vertical="center"/>
    </xf>
    <xf numFmtId="43" fontId="6" fillId="15" borderId="15" xfId="4" applyFont="1" applyFill="1" applyBorder="1" applyAlignment="1">
      <alignment horizontal="left" vertical="center"/>
    </xf>
    <xf numFmtId="0" fontId="6" fillId="14" borderId="0" xfId="0" applyFont="1" applyFill="1" applyAlignment="1">
      <alignment horizontal="center" vertical="center"/>
    </xf>
    <xf numFmtId="170" fontId="6" fillId="14" borderId="0" xfId="0" applyNumberFormat="1" applyFont="1" applyFill="1" applyAlignment="1">
      <alignment horizontal="center" vertical="center"/>
    </xf>
    <xf numFmtId="43" fontId="6" fillId="14" borderId="0" xfId="4" applyFont="1" applyFill="1" applyAlignment="1">
      <alignment horizontal="justify" vertical="center"/>
    </xf>
    <xf numFmtId="1" fontId="6" fillId="14" borderId="0" xfId="0" applyNumberFormat="1" applyFont="1" applyFill="1" applyAlignment="1">
      <alignment vertical="center"/>
    </xf>
    <xf numFmtId="1" fontId="14" fillId="14" borderId="0" xfId="0" applyNumberFormat="1" applyFont="1" applyFill="1"/>
    <xf numFmtId="0" fontId="14" fillId="4" borderId="0" xfId="0" applyFont="1" applyFill="1"/>
    <xf numFmtId="0" fontId="14" fillId="4" borderId="25" xfId="0" applyFont="1" applyFill="1" applyBorder="1" applyAlignment="1">
      <alignment horizontal="center" vertical="center"/>
    </xf>
    <xf numFmtId="0" fontId="6" fillId="6" borderId="19" xfId="0" applyFont="1" applyFill="1" applyBorder="1" applyAlignment="1">
      <alignment vertical="center" wrapText="1"/>
    </xf>
    <xf numFmtId="0" fontId="6" fillId="6" borderId="11" xfId="0" applyFont="1" applyFill="1" applyBorder="1" applyAlignment="1">
      <alignment vertical="center" wrapText="1"/>
    </xf>
    <xf numFmtId="0" fontId="6" fillId="6" borderId="12" xfId="0" applyFont="1" applyFill="1" applyBorder="1" applyAlignment="1">
      <alignment vertical="center" wrapText="1"/>
    </xf>
    <xf numFmtId="0" fontId="6" fillId="6" borderId="23" xfId="0" applyFont="1" applyFill="1" applyBorder="1" applyAlignment="1">
      <alignment vertical="center" wrapText="1"/>
    </xf>
    <xf numFmtId="0" fontId="6" fillId="6" borderId="0" xfId="0" applyFont="1" applyFill="1" applyAlignment="1">
      <alignment vertical="center" wrapText="1"/>
    </xf>
    <xf numFmtId="0" fontId="6" fillId="6" borderId="25" xfId="0" applyFont="1" applyFill="1" applyBorder="1" applyAlignment="1">
      <alignment vertical="center" wrapText="1"/>
    </xf>
    <xf numFmtId="0" fontId="4" fillId="6" borderId="22" xfId="0" applyFont="1" applyFill="1" applyBorder="1" applyAlignment="1">
      <alignment horizontal="justify" vertical="center"/>
    </xf>
    <xf numFmtId="1" fontId="4" fillId="6" borderId="23" xfId="0" applyNumberFormat="1" applyFont="1" applyFill="1" applyBorder="1" applyAlignment="1">
      <alignment horizontal="center" vertical="center"/>
    </xf>
    <xf numFmtId="9" fontId="4" fillId="0" borderId="22" xfId="19" applyFont="1" applyBorder="1" applyAlignment="1">
      <alignment horizontal="center" vertical="center"/>
    </xf>
    <xf numFmtId="174" fontId="6" fillId="15" borderId="15" xfId="0" applyNumberFormat="1" applyFont="1" applyFill="1" applyBorder="1" applyAlignment="1">
      <alignment horizontal="center" vertical="center"/>
    </xf>
    <xf numFmtId="1" fontId="6" fillId="14" borderId="11" xfId="0" applyNumberFormat="1" applyFont="1" applyFill="1" applyBorder="1" applyAlignment="1">
      <alignment horizontal="center" vertical="center"/>
    </xf>
    <xf numFmtId="0" fontId="6" fillId="6" borderId="11" xfId="0" applyFont="1" applyFill="1" applyBorder="1" applyAlignment="1">
      <alignment vertical="center"/>
    </xf>
    <xf numFmtId="0" fontId="6" fillId="6" borderId="12" xfId="0" applyFont="1" applyFill="1" applyBorder="1" applyAlignment="1">
      <alignment vertical="center"/>
    </xf>
    <xf numFmtId="1" fontId="6" fillId="6" borderId="21" xfId="0" applyNumberFormat="1" applyFont="1" applyFill="1" applyBorder="1" applyAlignment="1">
      <alignment vertical="center"/>
    </xf>
    <xf numFmtId="1" fontId="6" fillId="6" borderId="9" xfId="0" applyNumberFormat="1" applyFont="1" applyFill="1" applyBorder="1" applyAlignment="1">
      <alignment vertical="center"/>
    </xf>
    <xf numFmtId="1" fontId="6" fillId="6" borderId="13" xfId="0" applyNumberFormat="1" applyFont="1" applyFill="1" applyBorder="1" applyAlignment="1">
      <alignment vertical="center"/>
    </xf>
    <xf numFmtId="0" fontId="6" fillId="6" borderId="9" xfId="0" applyFont="1" applyFill="1" applyBorder="1" applyAlignment="1">
      <alignment vertical="center"/>
    </xf>
    <xf numFmtId="0" fontId="6" fillId="6" borderId="13" xfId="0" applyFont="1" applyFill="1" applyBorder="1" applyAlignment="1">
      <alignment vertical="center"/>
    </xf>
    <xf numFmtId="0" fontId="4" fillId="6" borderId="9" xfId="0" applyFont="1" applyFill="1" applyBorder="1" applyAlignment="1">
      <alignment horizontal="justify"/>
    </xf>
    <xf numFmtId="0" fontId="6" fillId="6" borderId="6" xfId="0" applyFont="1" applyFill="1" applyBorder="1" applyAlignment="1">
      <alignment horizontal="justify" vertical="center"/>
    </xf>
    <xf numFmtId="0" fontId="6" fillId="6" borderId="6" xfId="0" applyFont="1" applyFill="1" applyBorder="1" applyAlignment="1">
      <alignment horizontal="center" vertical="center" wrapText="1"/>
    </xf>
    <xf numFmtId="9" fontId="6" fillId="6" borderId="6" xfId="3" applyFont="1" applyFill="1" applyBorder="1" applyAlignment="1">
      <alignment horizontal="center" vertical="center"/>
    </xf>
    <xf numFmtId="43" fontId="6" fillId="6" borderId="6" xfId="4" applyFont="1" applyFill="1" applyBorder="1" applyAlignment="1">
      <alignment horizontal="center" vertical="center"/>
    </xf>
    <xf numFmtId="43" fontId="6" fillId="0" borderId="6" xfId="4" applyFont="1" applyBorder="1" applyAlignment="1">
      <alignment horizontal="center" vertical="center"/>
    </xf>
    <xf numFmtId="171" fontId="6" fillId="6" borderId="6" xfId="0" applyNumberFormat="1" applyFont="1" applyFill="1" applyBorder="1" applyAlignment="1">
      <alignment horizontal="center" vertical="center"/>
    </xf>
    <xf numFmtId="14" fontId="17" fillId="0" borderId="6" xfId="0" applyNumberFormat="1" applyFont="1" applyBorder="1" applyAlignment="1">
      <alignment vertical="center"/>
    </xf>
    <xf numFmtId="0" fontId="17" fillId="0" borderId="6" xfId="0" applyFont="1" applyBorder="1" applyAlignment="1">
      <alignment horizontal="justify" vertical="center" wrapText="1"/>
    </xf>
    <xf numFmtId="0" fontId="17" fillId="0" borderId="0" xfId="0" applyFont="1"/>
    <xf numFmtId="171" fontId="8" fillId="0" borderId="0" xfId="20" applyNumberFormat="1" applyFont="1" applyAlignment="1">
      <alignment horizontal="center" vertical="center"/>
    </xf>
    <xf numFmtId="0" fontId="14" fillId="0" borderId="0" xfId="0" applyFont="1" applyAlignment="1">
      <alignment horizontal="justify"/>
    </xf>
    <xf numFmtId="3" fontId="4" fillId="0" borderId="0" xfId="0" applyNumberFormat="1" applyFont="1" applyAlignment="1">
      <alignment horizontal="right" vertical="center"/>
    </xf>
    <xf numFmtId="4" fontId="4" fillId="0" borderId="0" xfId="0" applyNumberFormat="1" applyFont="1" applyAlignment="1">
      <alignment horizontal="justify" vertical="center"/>
    </xf>
    <xf numFmtId="43" fontId="4" fillId="0" borderId="0" xfId="0" applyNumberFormat="1" applyFont="1" applyAlignment="1">
      <alignment horizontal="justify" vertical="center"/>
    </xf>
    <xf numFmtId="0" fontId="13" fillId="0" borderId="0" xfId="0" applyFont="1" applyAlignment="1">
      <alignment horizontal="justify"/>
    </xf>
    <xf numFmtId="42" fontId="13" fillId="0" borderId="0" xfId="20" applyFont="1" applyAlignment="1">
      <alignment horizontal="justify"/>
    </xf>
    <xf numFmtId="171" fontId="4" fillId="0" borderId="0" xfId="0" applyNumberFormat="1" applyFont="1" applyAlignment="1">
      <alignment horizontal="justify"/>
    </xf>
    <xf numFmtId="42" fontId="4" fillId="0" borderId="0" xfId="20" applyFont="1" applyAlignment="1">
      <alignment horizontal="justify"/>
    </xf>
    <xf numFmtId="0" fontId="4" fillId="0" borderId="0" xfId="0" applyFont="1" applyAlignment="1">
      <alignment horizontal="center" wrapText="1"/>
    </xf>
    <xf numFmtId="0" fontId="7" fillId="15" borderId="14" xfId="0" applyFont="1" applyFill="1" applyBorder="1" applyAlignment="1">
      <alignment horizontal="left" vertical="center"/>
    </xf>
    <xf numFmtId="0" fontId="23" fillId="0" borderId="3" xfId="0" applyFont="1" applyBorder="1"/>
    <xf numFmtId="0" fontId="23" fillId="0" borderId="6" xfId="0" applyFont="1" applyBorder="1" applyAlignment="1">
      <alignment horizontal="left"/>
    </xf>
    <xf numFmtId="0" fontId="23" fillId="0" borderId="6" xfId="0" applyFont="1" applyBorder="1"/>
    <xf numFmtId="0" fontId="23" fillId="0" borderId="6" xfId="0" applyFont="1" applyBorder="1" applyAlignment="1">
      <alignment vertical="center"/>
    </xf>
    <xf numFmtId="43" fontId="7" fillId="0" borderId="33" xfId="4" applyFont="1" applyBorder="1" applyAlignment="1">
      <alignment vertical="center"/>
    </xf>
    <xf numFmtId="171" fontId="22" fillId="0" borderId="0" xfId="0" applyNumberFormat="1" applyFont="1"/>
    <xf numFmtId="0" fontId="23" fillId="0" borderId="6" xfId="0" applyFont="1" applyBorder="1" applyAlignment="1">
      <alignment horizontal="left" vertical="center"/>
    </xf>
    <xf numFmtId="0" fontId="23" fillId="0" borderId="6" xfId="0" applyFont="1" applyBorder="1" applyAlignment="1">
      <alignment vertical="center" wrapText="1"/>
    </xf>
    <xf numFmtId="3" fontId="27" fillId="0" borderId="20" xfId="0" applyNumberFormat="1" applyFont="1" applyBorder="1" applyAlignment="1">
      <alignment horizontal="left" vertical="center" wrapText="1"/>
    </xf>
    <xf numFmtId="43" fontId="4" fillId="15" borderId="15" xfId="4" applyFont="1" applyFill="1" applyBorder="1" applyAlignment="1">
      <alignment horizontal="right" vertical="center"/>
    </xf>
    <xf numFmtId="43" fontId="4" fillId="15" borderId="15" xfId="7" applyNumberFormat="1" applyFont="1" applyFill="1" applyBorder="1" applyAlignment="1">
      <alignment horizontal="right" vertical="center"/>
    </xf>
    <xf numFmtId="0" fontId="22" fillId="6" borderId="6" xfId="0" applyFont="1" applyFill="1" applyBorder="1" applyAlignment="1">
      <alignment horizontal="justify" vertical="center"/>
    </xf>
    <xf numFmtId="0" fontId="30" fillId="6" borderId="6" xfId="10" applyFont="1" applyFill="1" applyBorder="1" applyAlignment="1">
      <alignment horizontal="justify" vertical="center" wrapText="1"/>
    </xf>
    <xf numFmtId="0" fontId="24" fillId="6" borderId="6" xfId="10" applyFont="1" applyFill="1" applyBorder="1" applyAlignment="1">
      <alignment horizontal="justify" vertical="center" wrapText="1"/>
    </xf>
    <xf numFmtId="0" fontId="7" fillId="15" borderId="6" xfId="0" applyFont="1" applyFill="1" applyBorder="1" applyAlignment="1">
      <alignment horizontal="left" vertical="center"/>
    </xf>
    <xf numFmtId="0" fontId="7" fillId="0" borderId="15" xfId="0" applyFont="1" applyBorder="1" applyAlignment="1">
      <alignment horizontal="center" vertical="center"/>
    </xf>
    <xf numFmtId="1" fontId="11" fillId="0" borderId="23" xfId="0" applyNumberFormat="1" applyFont="1" applyBorder="1" applyAlignment="1">
      <alignment vertical="center" wrapText="1"/>
    </xf>
    <xf numFmtId="1" fontId="11" fillId="0" borderId="0" xfId="0" applyNumberFormat="1" applyFont="1" applyAlignment="1">
      <alignment vertical="center" wrapText="1"/>
    </xf>
    <xf numFmtId="1" fontId="11" fillId="0" borderId="25" xfId="0" applyNumberFormat="1" applyFont="1" applyBorder="1" applyAlignment="1">
      <alignment vertical="center" wrapText="1"/>
    </xf>
    <xf numFmtId="0" fontId="11" fillId="0" borderId="23" xfId="0" applyFont="1" applyBorder="1" applyAlignment="1">
      <alignment vertical="center" wrapText="1"/>
    </xf>
    <xf numFmtId="0" fontId="11" fillId="0" borderId="0" xfId="0" applyFont="1" applyAlignment="1">
      <alignment vertical="center" wrapText="1"/>
    </xf>
    <xf numFmtId="0" fontId="11" fillId="0" borderId="25" xfId="0" applyFont="1" applyBorder="1" applyAlignment="1">
      <alignment vertical="center" wrapText="1"/>
    </xf>
    <xf numFmtId="0" fontId="10" fillId="0" borderId="19"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23" xfId="0" applyFont="1" applyBorder="1" applyAlignment="1">
      <alignment vertical="center" wrapText="1"/>
    </xf>
    <xf numFmtId="0" fontId="10" fillId="0" borderId="0" xfId="0" applyFont="1" applyAlignment="1">
      <alignment vertical="center" wrapText="1"/>
    </xf>
    <xf numFmtId="0" fontId="10" fillId="0" borderId="25" xfId="0" applyFont="1" applyBorder="1" applyAlignment="1">
      <alignment vertical="center" wrapText="1"/>
    </xf>
    <xf numFmtId="3" fontId="10" fillId="0" borderId="6" xfId="0" applyNumberFormat="1" applyFont="1" applyBorder="1" applyAlignment="1">
      <alignment horizontal="justify" vertical="center" wrapText="1"/>
    </xf>
    <xf numFmtId="0" fontId="10" fillId="0" borderId="22" xfId="0" applyFont="1" applyBorder="1" applyAlignment="1">
      <alignment horizontal="center" vertical="center" wrapText="1"/>
    </xf>
    <xf numFmtId="3" fontId="27" fillId="0" borderId="6" xfId="0" applyNumberFormat="1" applyFont="1" applyBorder="1" applyAlignment="1">
      <alignment horizontal="left" vertical="center" wrapText="1"/>
    </xf>
    <xf numFmtId="0" fontId="23" fillId="0" borderId="21" xfId="0" applyFont="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1" fontId="23" fillId="12" borderId="22" xfId="0" applyNumberFormat="1" applyFont="1" applyFill="1" applyBorder="1" applyAlignment="1">
      <alignment horizontal="center" vertical="center" wrapText="1"/>
    </xf>
    <xf numFmtId="0" fontId="23" fillId="12" borderId="20" xfId="0" applyFont="1" applyFill="1" applyBorder="1" applyAlignment="1">
      <alignment horizontal="center" vertical="center" textRotation="90" wrapText="1"/>
    </xf>
    <xf numFmtId="49" fontId="23" fillId="12" borderId="20" xfId="0" applyNumberFormat="1" applyFont="1" applyFill="1" applyBorder="1" applyAlignment="1">
      <alignment horizontal="center" vertical="center" textRotation="90" wrapText="1"/>
    </xf>
    <xf numFmtId="0" fontId="23" fillId="12" borderId="19" xfId="0" applyFont="1" applyFill="1" applyBorder="1" applyAlignment="1">
      <alignment horizontal="center" vertical="center" textRotation="90" wrapText="1"/>
    </xf>
    <xf numFmtId="1" fontId="23" fillId="13" borderId="14" xfId="0" applyNumberFormat="1" applyFont="1" applyFill="1" applyBorder="1" applyAlignment="1">
      <alignment horizontal="center" vertical="center" wrapText="1"/>
    </xf>
    <xf numFmtId="0" fontId="23" fillId="13" borderId="15" xfId="0" applyFont="1" applyFill="1" applyBorder="1" applyAlignment="1">
      <alignment vertical="center"/>
    </xf>
    <xf numFmtId="0" fontId="23" fillId="13" borderId="15" xfId="0" applyFont="1" applyFill="1" applyBorder="1" applyAlignment="1">
      <alignment horizontal="justify" vertical="center"/>
    </xf>
    <xf numFmtId="0" fontId="23" fillId="13" borderId="15" xfId="0" applyFont="1" applyFill="1" applyBorder="1" applyAlignment="1">
      <alignment horizontal="center" vertical="center"/>
    </xf>
    <xf numFmtId="1" fontId="23" fillId="13" borderId="15" xfId="0" applyNumberFormat="1" applyFont="1" applyFill="1" applyBorder="1" applyAlignment="1">
      <alignment horizontal="center" vertical="center"/>
    </xf>
    <xf numFmtId="172" fontId="23" fillId="13" borderId="15" xfId="0" applyNumberFormat="1" applyFont="1" applyFill="1" applyBorder="1" applyAlignment="1">
      <alignment vertical="center"/>
    </xf>
    <xf numFmtId="1" fontId="23" fillId="14" borderId="6" xfId="0" applyNumberFormat="1" applyFont="1" applyFill="1" applyBorder="1" applyAlignment="1">
      <alignment horizontal="center" vertical="center"/>
    </xf>
    <xf numFmtId="0" fontId="23" fillId="14" borderId="6" xfId="0" applyFont="1" applyFill="1" applyBorder="1" applyAlignment="1">
      <alignment vertical="center"/>
    </xf>
    <xf numFmtId="0" fontId="23" fillId="14" borderId="6" xfId="0" applyFont="1" applyFill="1" applyBorder="1" applyAlignment="1">
      <alignment horizontal="justify" vertical="center"/>
    </xf>
    <xf numFmtId="0" fontId="23" fillId="14" borderId="6" xfId="0" applyFont="1" applyFill="1" applyBorder="1" applyAlignment="1">
      <alignment horizontal="center" vertical="center"/>
    </xf>
    <xf numFmtId="172" fontId="23" fillId="14" borderId="6" xfId="0" applyNumberFormat="1" applyFont="1" applyFill="1" applyBorder="1" applyAlignment="1">
      <alignment vertical="center"/>
    </xf>
    <xf numFmtId="1" fontId="23" fillId="15" borderId="6" xfId="0" applyNumberFormat="1" applyFont="1" applyFill="1" applyBorder="1" applyAlignment="1">
      <alignment horizontal="center" vertical="center" wrapText="1"/>
    </xf>
    <xf numFmtId="0" fontId="23" fillId="15" borderId="6" xfId="0" applyFont="1" applyFill="1" applyBorder="1" applyAlignment="1">
      <alignment vertical="center"/>
    </xf>
    <xf numFmtId="0" fontId="23" fillId="15" borderId="6" xfId="0" applyFont="1" applyFill="1" applyBorder="1" applyAlignment="1">
      <alignment horizontal="justify" vertical="center"/>
    </xf>
    <xf numFmtId="0" fontId="23" fillId="15" borderId="6" xfId="0" applyFont="1" applyFill="1" applyBorder="1" applyAlignment="1">
      <alignment horizontal="center" vertical="center"/>
    </xf>
    <xf numFmtId="172" fontId="23" fillId="15" borderId="6" xfId="0" applyNumberFormat="1" applyFont="1" applyFill="1" applyBorder="1" applyAlignment="1">
      <alignment vertical="center"/>
    </xf>
    <xf numFmtId="14" fontId="25" fillId="6" borderId="6" xfId="0" applyNumberFormat="1" applyFont="1" applyFill="1" applyBorder="1" applyAlignment="1">
      <alignment horizontal="center" vertical="center" wrapText="1"/>
    </xf>
    <xf numFmtId="0" fontId="7" fillId="13" borderId="11" xfId="0" applyFont="1" applyFill="1" applyBorder="1" applyAlignment="1">
      <alignment vertical="center"/>
    </xf>
    <xf numFmtId="0" fontId="7" fillId="13" borderId="15" xfId="0" applyFont="1" applyFill="1" applyBorder="1" applyAlignment="1">
      <alignment horizontal="justify" vertical="center"/>
    </xf>
    <xf numFmtId="0" fontId="7" fillId="13" borderId="15" xfId="0" applyFont="1" applyFill="1" applyBorder="1" applyAlignment="1">
      <alignment horizontal="center" vertical="center"/>
    </xf>
    <xf numFmtId="171" fontId="7" fillId="13" borderId="15" xfId="0" applyNumberFormat="1" applyFont="1" applyFill="1" applyBorder="1" applyAlignment="1">
      <alignment horizontal="center" vertical="center"/>
    </xf>
    <xf numFmtId="3" fontId="7" fillId="13" borderId="9" xfId="0" applyNumberFormat="1" applyFont="1" applyFill="1" applyBorder="1" applyAlignment="1">
      <alignment horizontal="center" vertical="center"/>
    </xf>
    <xf numFmtId="1" fontId="7" fillId="13" borderId="9" xfId="0" applyNumberFormat="1" applyFont="1" applyFill="1" applyBorder="1" applyAlignment="1">
      <alignment horizontal="center" vertical="center"/>
    </xf>
    <xf numFmtId="0" fontId="8" fillId="13" borderId="9" xfId="0" applyFont="1" applyFill="1" applyBorder="1" applyAlignment="1">
      <alignment horizontal="left" vertical="center"/>
    </xf>
    <xf numFmtId="0" fontId="7" fillId="13" borderId="15" xfId="0" applyFont="1" applyFill="1" applyBorder="1" applyAlignment="1">
      <alignment vertical="center"/>
    </xf>
    <xf numFmtId="0" fontId="8" fillId="13" borderId="11" xfId="0" applyFont="1" applyFill="1" applyBorder="1" applyAlignment="1">
      <alignment vertical="center"/>
    </xf>
    <xf numFmtId="0" fontId="8" fillId="13" borderId="15" xfId="0" applyFont="1" applyFill="1" applyBorder="1" applyAlignment="1">
      <alignment vertical="center"/>
    </xf>
    <xf numFmtId="0" fontId="7" fillId="14" borderId="15" xfId="0" applyFont="1" applyFill="1" applyBorder="1" applyAlignment="1">
      <alignment vertical="center"/>
    </xf>
    <xf numFmtId="171" fontId="7" fillId="14" borderId="9" xfId="0" applyNumberFormat="1" applyFont="1" applyFill="1" applyBorder="1" applyAlignment="1">
      <alignment horizontal="center" vertical="center"/>
    </xf>
    <xf numFmtId="3" fontId="7" fillId="14" borderId="9" xfId="0" applyNumberFormat="1" applyFont="1" applyFill="1" applyBorder="1" applyAlignment="1">
      <alignment horizontal="center" vertical="center"/>
    </xf>
    <xf numFmtId="1" fontId="7" fillId="14" borderId="9" xfId="0" applyNumberFormat="1" applyFont="1" applyFill="1" applyBorder="1" applyAlignment="1">
      <alignment horizontal="center" vertical="center"/>
    </xf>
    <xf numFmtId="0" fontId="8" fillId="14" borderId="9" xfId="0" applyFont="1" applyFill="1" applyBorder="1" applyAlignment="1">
      <alignment horizontal="left" vertical="center"/>
    </xf>
    <xf numFmtId="171" fontId="7" fillId="15" borderId="15" xfId="0" applyNumberFormat="1" applyFont="1" applyFill="1" applyBorder="1" applyAlignment="1">
      <alignment horizontal="center" vertical="center"/>
    </xf>
    <xf numFmtId="3" fontId="7" fillId="15" borderId="11" xfId="0" applyNumberFormat="1" applyFont="1" applyFill="1" applyBorder="1" applyAlignment="1">
      <alignment horizontal="center" vertical="center"/>
    </xf>
    <xf numFmtId="0" fontId="8" fillId="15" borderId="15" xfId="0" applyFont="1" applyFill="1" applyBorder="1" applyAlignment="1">
      <alignment horizontal="left" vertical="center"/>
    </xf>
    <xf numFmtId="0" fontId="8" fillId="6" borderId="0" xfId="0" applyFont="1" applyFill="1" applyAlignment="1">
      <alignment vertical="center" wrapText="1"/>
    </xf>
    <xf numFmtId="0" fontId="7" fillId="15" borderId="9" xfId="0" applyFont="1" applyFill="1" applyBorder="1" applyAlignment="1">
      <alignment vertical="center"/>
    </xf>
    <xf numFmtId="0" fontId="0" fillId="0" borderId="0" xfId="0" applyAlignment="1">
      <alignment vertical="center" wrapText="1"/>
    </xf>
    <xf numFmtId="44" fontId="22" fillId="6" borderId="0" xfId="2" applyFont="1" applyFill="1" applyAlignment="1">
      <alignment horizontal="center" vertical="center"/>
    </xf>
    <xf numFmtId="172" fontId="22" fillId="0" borderId="0" xfId="0" applyNumberFormat="1" applyFont="1" applyAlignment="1">
      <alignment horizontal="right" vertical="center"/>
    </xf>
    <xf numFmtId="0" fontId="22" fillId="0" borderId="0" xfId="0" applyFont="1" applyAlignment="1">
      <alignment horizontal="justify" vertical="center"/>
    </xf>
    <xf numFmtId="0" fontId="23" fillId="0" borderId="0" xfId="0" applyFont="1"/>
    <xf numFmtId="171" fontId="4" fillId="6" borderId="6" xfId="0" applyNumberFormat="1" applyFont="1" applyFill="1" applyBorder="1" applyAlignment="1">
      <alignment vertical="center" wrapText="1"/>
    </xf>
    <xf numFmtId="3" fontId="4" fillId="0" borderId="19" xfId="0" applyNumberFormat="1" applyFont="1" applyBorder="1" applyAlignment="1">
      <alignment horizontal="center" vertical="center"/>
    </xf>
    <xf numFmtId="9" fontId="4" fillId="6" borderId="6" xfId="3" applyFont="1" applyFill="1" applyBorder="1" applyAlignment="1">
      <alignment horizontal="center" vertical="center"/>
    </xf>
    <xf numFmtId="0" fontId="22" fillId="6" borderId="0" xfId="0" applyFont="1" applyFill="1" applyAlignment="1">
      <alignment vertical="center"/>
    </xf>
    <xf numFmtId="0" fontId="22" fillId="0" borderId="0" xfId="0" applyFont="1" applyAlignment="1">
      <alignment vertical="center"/>
    </xf>
    <xf numFmtId="10" fontId="23" fillId="0" borderId="9" xfId="0" applyNumberFormat="1" applyFont="1" applyBorder="1" applyAlignment="1">
      <alignment vertical="center"/>
    </xf>
    <xf numFmtId="1" fontId="22" fillId="12" borderId="22" xfId="0" applyNumberFormat="1" applyFont="1" applyFill="1" applyBorder="1" applyAlignment="1">
      <alignment horizontal="center" vertical="center" wrapText="1"/>
    </xf>
    <xf numFmtId="0" fontId="22" fillId="12" borderId="20" xfId="0" applyFont="1" applyFill="1" applyBorder="1" applyAlignment="1">
      <alignment horizontal="center" vertical="center" textRotation="90" wrapText="1"/>
    </xf>
    <xf numFmtId="49" fontId="22" fillId="12" borderId="20" xfId="0" applyNumberFormat="1" applyFont="1" applyFill="1" applyBorder="1" applyAlignment="1">
      <alignment horizontal="center" vertical="center" textRotation="90" wrapText="1"/>
    </xf>
    <xf numFmtId="0" fontId="22" fillId="12" borderId="19" xfId="0" applyFont="1" applyFill="1" applyBorder="1" applyAlignment="1">
      <alignment horizontal="center" vertical="center" textRotation="90" wrapText="1"/>
    </xf>
    <xf numFmtId="0" fontId="22" fillId="0" borderId="0" xfId="0" applyFont="1" applyAlignment="1">
      <alignment horizontal="center" vertical="center"/>
    </xf>
    <xf numFmtId="1" fontId="23" fillId="13" borderId="15" xfId="0" applyNumberFormat="1" applyFont="1" applyFill="1" applyBorder="1" applyAlignment="1">
      <alignment vertical="center" wrapText="1"/>
    </xf>
    <xf numFmtId="1" fontId="23" fillId="13" borderId="15" xfId="0" applyNumberFormat="1" applyFont="1" applyFill="1" applyBorder="1" applyAlignment="1">
      <alignment horizontal="center" vertical="center" wrapText="1"/>
    </xf>
    <xf numFmtId="10" fontId="23" fillId="13" borderId="15" xfId="0" applyNumberFormat="1" applyFont="1" applyFill="1" applyBorder="1" applyAlignment="1">
      <alignment vertical="center" wrapText="1"/>
    </xf>
    <xf numFmtId="1" fontId="23" fillId="13" borderId="16" xfId="0" applyNumberFormat="1" applyFont="1" applyFill="1" applyBorder="1" applyAlignment="1">
      <alignment vertical="center" wrapText="1"/>
    </xf>
    <xf numFmtId="0" fontId="23" fillId="14" borderId="9" xfId="0" applyFont="1" applyFill="1" applyBorder="1" applyAlignment="1">
      <alignment vertical="center"/>
    </xf>
    <xf numFmtId="0" fontId="23" fillId="14" borderId="9" xfId="0" applyFont="1" applyFill="1" applyBorder="1" applyAlignment="1">
      <alignment horizontal="center" vertical="center"/>
    </xf>
    <xf numFmtId="0" fontId="23" fillId="14" borderId="9" xfId="0" applyFont="1" applyFill="1" applyBorder="1" applyAlignment="1">
      <alignment horizontal="justify" vertical="center"/>
    </xf>
    <xf numFmtId="10" fontId="23" fillId="14" borderId="9" xfId="0" applyNumberFormat="1" applyFont="1" applyFill="1" applyBorder="1" applyAlignment="1">
      <alignment horizontal="center" vertical="center"/>
    </xf>
    <xf numFmtId="171" fontId="23" fillId="14" borderId="9" xfId="0" applyNumberFormat="1" applyFont="1" applyFill="1" applyBorder="1" applyAlignment="1">
      <alignment vertical="center"/>
    </xf>
    <xf numFmtId="171" fontId="23" fillId="14" borderId="9" xfId="0" applyNumberFormat="1" applyFont="1" applyFill="1" applyBorder="1" applyAlignment="1">
      <alignment horizontal="center" vertical="center"/>
    </xf>
    <xf numFmtId="1" fontId="23" fillId="14" borderId="9" xfId="0" applyNumberFormat="1" applyFont="1" applyFill="1" applyBorder="1" applyAlignment="1">
      <alignment horizontal="center" vertical="center"/>
    </xf>
    <xf numFmtId="172" fontId="23" fillId="14" borderId="9" xfId="0" applyNumberFormat="1" applyFont="1" applyFill="1" applyBorder="1" applyAlignment="1">
      <alignment vertical="center"/>
    </xf>
    <xf numFmtId="0" fontId="23" fillId="14" borderId="13" xfId="0" applyFont="1" applyFill="1" applyBorder="1" applyAlignment="1">
      <alignment horizontal="justify" vertical="center"/>
    </xf>
    <xf numFmtId="0" fontId="23" fillId="15" borderId="15" xfId="0" applyFont="1" applyFill="1" applyBorder="1" applyAlignment="1">
      <alignment vertical="center"/>
    </xf>
    <xf numFmtId="0" fontId="23" fillId="15" borderId="15" xfId="0" applyFont="1" applyFill="1" applyBorder="1" applyAlignment="1">
      <alignment horizontal="center" vertical="center"/>
    </xf>
    <xf numFmtId="0" fontId="23" fillId="15" borderId="15" xfId="0" applyFont="1" applyFill="1" applyBorder="1" applyAlignment="1">
      <alignment horizontal="justify" vertical="center"/>
    </xf>
    <xf numFmtId="10" fontId="23" fillId="15" borderId="15" xfId="0" applyNumberFormat="1" applyFont="1" applyFill="1" applyBorder="1" applyAlignment="1">
      <alignment horizontal="center" vertical="center"/>
    </xf>
    <xf numFmtId="171" fontId="23" fillId="15" borderId="15" xfId="0" applyNumberFormat="1" applyFont="1" applyFill="1" applyBorder="1" applyAlignment="1">
      <alignment vertical="center"/>
    </xf>
    <xf numFmtId="171" fontId="23" fillId="15" borderId="15" xfId="0" applyNumberFormat="1" applyFont="1" applyFill="1" applyBorder="1" applyAlignment="1">
      <alignment horizontal="center" vertical="center"/>
    </xf>
    <xf numFmtId="1" fontId="23" fillId="15" borderId="15" xfId="0" applyNumberFormat="1" applyFont="1" applyFill="1" applyBorder="1" applyAlignment="1">
      <alignment horizontal="center" vertical="center"/>
    </xf>
    <xf numFmtId="172" fontId="23" fillId="15" borderId="15" xfId="0" applyNumberFormat="1" applyFont="1" applyFill="1" applyBorder="1" applyAlignment="1">
      <alignment vertical="center"/>
    </xf>
    <xf numFmtId="0" fontId="23" fillId="15" borderId="16" xfId="0" applyFont="1" applyFill="1" applyBorder="1" applyAlignment="1">
      <alignment horizontal="justify" vertical="center"/>
    </xf>
    <xf numFmtId="0" fontId="22" fillId="6" borderId="6" xfId="0" applyFont="1" applyFill="1" applyBorder="1" applyAlignment="1">
      <alignment vertical="center" wrapText="1"/>
    </xf>
    <xf numFmtId="3" fontId="24" fillId="0" borderId="6" xfId="0" applyNumberFormat="1" applyFont="1" applyBorder="1" applyAlignment="1">
      <alignment horizontal="center" vertical="center" wrapText="1"/>
    </xf>
    <xf numFmtId="10" fontId="22" fillId="6" borderId="6" xfId="0" applyNumberFormat="1" applyFont="1" applyFill="1" applyBorder="1" applyAlignment="1">
      <alignment horizontal="center" vertical="center" wrapText="1"/>
    </xf>
    <xf numFmtId="0" fontId="23" fillId="15" borderId="6" xfId="0" applyFont="1" applyFill="1" applyBorder="1" applyAlignment="1">
      <alignment horizontal="center" vertical="center" wrapText="1"/>
    </xf>
    <xf numFmtId="0" fontId="22" fillId="15" borderId="6" xfId="0" applyFont="1" applyFill="1" applyBorder="1" applyAlignment="1">
      <alignment vertical="center" wrapText="1"/>
    </xf>
    <xf numFmtId="10" fontId="22" fillId="15" borderId="6" xfId="0" applyNumberFormat="1" applyFont="1" applyFill="1" applyBorder="1" applyAlignment="1">
      <alignment vertical="center" wrapText="1"/>
    </xf>
    <xf numFmtId="0" fontId="22" fillId="15" borderId="6" xfId="0" applyFont="1" applyFill="1" applyBorder="1" applyAlignment="1">
      <alignment horizontal="justify" vertical="center" wrapText="1"/>
    </xf>
    <xf numFmtId="0" fontId="22" fillId="15" borderId="6" xfId="0" applyFont="1" applyFill="1" applyBorder="1" applyAlignment="1">
      <alignment horizontal="center" vertical="center" wrapText="1"/>
    </xf>
    <xf numFmtId="1" fontId="23" fillId="15" borderId="6" xfId="0" applyNumberFormat="1" applyFont="1" applyFill="1" applyBorder="1" applyAlignment="1">
      <alignment vertical="center" textRotation="180" wrapText="1" readingOrder="2"/>
    </xf>
    <xf numFmtId="1" fontId="23" fillId="15" borderId="6" xfId="0" applyNumberFormat="1" applyFont="1" applyFill="1" applyBorder="1" applyAlignment="1">
      <alignment vertical="center" textRotation="180" wrapText="1"/>
    </xf>
    <xf numFmtId="1" fontId="22" fillId="15" borderId="6" xfId="0" applyNumberFormat="1" applyFont="1" applyFill="1" applyBorder="1" applyAlignment="1">
      <alignment vertical="center" textRotation="180" wrapText="1"/>
    </xf>
    <xf numFmtId="1" fontId="22" fillId="15" borderId="6" xfId="0" applyNumberFormat="1" applyFont="1" applyFill="1" applyBorder="1" applyAlignment="1">
      <alignment horizontal="center" vertical="center" textRotation="180" wrapText="1"/>
    </xf>
    <xf numFmtId="1" fontId="23" fillId="15" borderId="6" xfId="0" applyNumberFormat="1" applyFont="1" applyFill="1" applyBorder="1" applyAlignment="1">
      <alignment horizontal="center" vertical="center" textRotation="180" wrapText="1"/>
    </xf>
    <xf numFmtId="172" fontId="22" fillId="15" borderId="6" xfId="0" applyNumberFormat="1" applyFont="1" applyFill="1" applyBorder="1" applyAlignment="1">
      <alignment vertical="center" wrapText="1"/>
    </xf>
    <xf numFmtId="3" fontId="22" fillId="15" borderId="6" xfId="0" applyNumberFormat="1" applyFont="1" applyFill="1" applyBorder="1" applyAlignment="1">
      <alignment vertical="center" wrapText="1"/>
    </xf>
    <xf numFmtId="0" fontId="22" fillId="6" borderId="22" xfId="0" applyFont="1" applyFill="1" applyBorder="1" applyAlignment="1">
      <alignment vertical="center" wrapText="1"/>
    </xf>
    <xf numFmtId="0" fontId="22" fillId="15" borderId="0" xfId="0" applyFont="1" applyFill="1" applyAlignment="1">
      <alignment horizontal="center" vertical="center"/>
    </xf>
    <xf numFmtId="0" fontId="22" fillId="15" borderId="0" xfId="0" applyFont="1" applyFill="1" applyAlignment="1">
      <alignment horizontal="justify" vertical="center"/>
    </xf>
    <xf numFmtId="0" fontId="22" fillId="15" borderId="0" xfId="0" applyFont="1" applyFill="1" applyAlignment="1">
      <alignment vertical="center"/>
    </xf>
    <xf numFmtId="0" fontId="22" fillId="15" borderId="0" xfId="0" applyFont="1" applyFill="1" applyAlignment="1">
      <alignment vertical="center" wrapText="1"/>
    </xf>
    <xf numFmtId="10" fontId="22" fillId="15" borderId="0" xfId="0" applyNumberFormat="1" applyFont="1" applyFill="1" applyAlignment="1">
      <alignment horizontal="center" vertical="center"/>
    </xf>
    <xf numFmtId="1" fontId="22" fillId="15" borderId="0" xfId="0" applyNumberFormat="1" applyFont="1" applyFill="1" applyAlignment="1">
      <alignment horizontal="center" vertical="center"/>
    </xf>
    <xf numFmtId="3" fontId="24" fillId="6" borderId="6" xfId="0" applyNumberFormat="1" applyFont="1" applyFill="1" applyBorder="1" applyAlignment="1">
      <alignment horizontal="center" vertical="center" wrapText="1"/>
    </xf>
    <xf numFmtId="1" fontId="23" fillId="13" borderId="6" xfId="0" applyNumberFormat="1" applyFont="1" applyFill="1" applyBorder="1" applyAlignment="1">
      <alignment horizontal="center" vertical="center"/>
    </xf>
    <xf numFmtId="0" fontId="22" fillId="13" borderId="15" xfId="0" applyFont="1" applyFill="1" applyBorder="1" applyAlignment="1">
      <alignment vertical="center"/>
    </xf>
    <xf numFmtId="0" fontId="22" fillId="13" borderId="15" xfId="0" applyFont="1" applyFill="1" applyBorder="1" applyAlignment="1">
      <alignment horizontal="center" vertical="center"/>
    </xf>
    <xf numFmtId="0" fontId="22" fillId="13" borderId="11" xfId="0" applyFont="1" applyFill="1" applyBorder="1" applyAlignment="1">
      <alignment horizontal="justify" vertical="center"/>
    </xf>
    <xf numFmtId="0" fontId="22" fillId="13" borderId="11" xfId="0" applyFont="1" applyFill="1" applyBorder="1" applyAlignment="1">
      <alignment vertical="center"/>
    </xf>
    <xf numFmtId="0" fontId="22" fillId="13" borderId="11" xfId="0" applyFont="1" applyFill="1" applyBorder="1" applyAlignment="1">
      <alignment horizontal="center" vertical="center"/>
    </xf>
    <xf numFmtId="10" fontId="22" fillId="13" borderId="11" xfId="0" applyNumberFormat="1" applyFont="1" applyFill="1" applyBorder="1" applyAlignment="1">
      <alignment horizontal="center" vertical="center"/>
    </xf>
    <xf numFmtId="1" fontId="22" fillId="13" borderId="11" xfId="0" applyNumberFormat="1" applyFont="1" applyFill="1" applyBorder="1" applyAlignment="1">
      <alignment horizontal="center" vertical="center"/>
    </xf>
    <xf numFmtId="172" fontId="22" fillId="13" borderId="11" xfId="0" applyNumberFormat="1" applyFont="1" applyFill="1" applyBorder="1" applyAlignment="1">
      <alignment horizontal="right" vertical="center"/>
    </xf>
    <xf numFmtId="172" fontId="22" fillId="13" borderId="11" xfId="0" applyNumberFormat="1" applyFont="1" applyFill="1" applyBorder="1" applyAlignment="1">
      <alignment horizontal="center" vertical="center"/>
    </xf>
    <xf numFmtId="0" fontId="22" fillId="13" borderId="12" xfId="0" applyFont="1" applyFill="1" applyBorder="1" applyAlignment="1">
      <alignment horizontal="justify" vertical="center"/>
    </xf>
    <xf numFmtId="0" fontId="23" fillId="14" borderId="27" xfId="0" applyFont="1" applyFill="1" applyBorder="1" applyAlignment="1">
      <alignment horizontal="center" vertical="center"/>
    </xf>
    <xf numFmtId="0" fontId="22" fillId="14" borderId="9" xfId="0" applyFont="1" applyFill="1" applyBorder="1" applyAlignment="1">
      <alignment horizontal="center" vertical="center"/>
    </xf>
    <xf numFmtId="0" fontId="22" fillId="14" borderId="15" xfId="0" applyFont="1" applyFill="1" applyBorder="1" applyAlignment="1">
      <alignment horizontal="justify" vertical="center"/>
    </xf>
    <xf numFmtId="0" fontId="22" fillId="14" borderId="15" xfId="0" applyFont="1" applyFill="1" applyBorder="1" applyAlignment="1">
      <alignment vertical="center"/>
    </xf>
    <xf numFmtId="0" fontId="22" fillId="14" borderId="15" xfId="0" applyFont="1" applyFill="1" applyBorder="1" applyAlignment="1">
      <alignment horizontal="center" vertical="center"/>
    </xf>
    <xf numFmtId="10" fontId="22" fillId="14" borderId="15" xfId="0" applyNumberFormat="1" applyFont="1" applyFill="1" applyBorder="1" applyAlignment="1">
      <alignment horizontal="center" vertical="center"/>
    </xf>
    <xf numFmtId="1" fontId="22" fillId="14" borderId="15" xfId="0" applyNumberFormat="1" applyFont="1" applyFill="1" applyBorder="1" applyAlignment="1">
      <alignment horizontal="center" vertical="center"/>
    </xf>
    <xf numFmtId="172" fontId="22" fillId="14" borderId="15" xfId="0" applyNumberFormat="1" applyFont="1" applyFill="1" applyBorder="1" applyAlignment="1">
      <alignment horizontal="right" vertical="center"/>
    </xf>
    <xf numFmtId="172" fontId="22" fillId="14" borderId="15" xfId="0" applyNumberFormat="1" applyFont="1" applyFill="1" applyBorder="1" applyAlignment="1">
      <alignment horizontal="center" vertical="center"/>
    </xf>
    <xf numFmtId="0" fontId="22" fillId="14" borderId="16" xfId="0" applyFont="1" applyFill="1" applyBorder="1" applyAlignment="1">
      <alignment horizontal="justify" vertical="center"/>
    </xf>
    <xf numFmtId="0" fontId="23" fillId="15" borderId="11" xfId="0" applyFont="1" applyFill="1" applyBorder="1" applyAlignment="1">
      <alignment vertical="center"/>
    </xf>
    <xf numFmtId="0" fontId="22" fillId="15" borderId="15" xfId="0" applyFont="1" applyFill="1" applyBorder="1" applyAlignment="1">
      <alignment horizontal="justify" vertical="center"/>
    </xf>
    <xf numFmtId="10" fontId="22" fillId="15" borderId="15" xfId="0" applyNumberFormat="1" applyFont="1" applyFill="1" applyBorder="1" applyAlignment="1">
      <alignment horizontal="center" vertical="center"/>
    </xf>
    <xf numFmtId="1" fontId="22" fillId="15" borderId="15" xfId="0" applyNumberFormat="1" applyFont="1" applyFill="1" applyBorder="1" applyAlignment="1">
      <alignment horizontal="center" vertical="center"/>
    </xf>
    <xf numFmtId="0" fontId="22" fillId="15" borderId="15" xfId="0" applyFont="1" applyFill="1" applyBorder="1" applyAlignment="1">
      <alignment horizontal="center" vertical="center"/>
    </xf>
    <xf numFmtId="0" fontId="22" fillId="15" borderId="15" xfId="0" applyFont="1" applyFill="1" applyBorder="1" applyAlignment="1">
      <alignment vertical="center"/>
    </xf>
    <xf numFmtId="172" fontId="22" fillId="15" borderId="15" xfId="0" applyNumberFormat="1" applyFont="1" applyFill="1" applyBorder="1" applyAlignment="1">
      <alignment horizontal="right" vertical="center"/>
    </xf>
    <xf numFmtId="172" fontId="22" fillId="15" borderId="15" xfId="0" applyNumberFormat="1" applyFont="1" applyFill="1" applyBorder="1" applyAlignment="1">
      <alignment horizontal="center" vertical="center"/>
    </xf>
    <xf numFmtId="0" fontId="22" fillId="15" borderId="16" xfId="0" applyFont="1" applyFill="1" applyBorder="1" applyAlignment="1">
      <alignment horizontal="justify" vertical="center"/>
    </xf>
    <xf numFmtId="0" fontId="23" fillId="15" borderId="0" xfId="0" applyFont="1" applyFill="1" applyAlignment="1">
      <alignment vertical="center"/>
    </xf>
    <xf numFmtId="3" fontId="24" fillId="6" borderId="3" xfId="0" applyNumberFormat="1" applyFont="1" applyFill="1" applyBorder="1" applyAlignment="1">
      <alignment horizontal="center" vertical="center" wrapText="1"/>
    </xf>
    <xf numFmtId="3" fontId="24" fillId="6" borderId="49" xfId="0" applyNumberFormat="1" applyFont="1" applyFill="1" applyBorder="1" applyAlignment="1">
      <alignment horizontal="center" vertical="center" wrapText="1"/>
    </xf>
    <xf numFmtId="0" fontId="23" fillId="15" borderId="14" xfId="0" applyFont="1" applyFill="1" applyBorder="1" applyAlignment="1">
      <alignment horizontal="justify" vertical="center"/>
    </xf>
    <xf numFmtId="1" fontId="24" fillId="0" borderId="27" xfId="0" applyNumberFormat="1" applyFont="1" applyBorder="1" applyAlignment="1">
      <alignment horizontal="center" vertical="center" wrapText="1"/>
    </xf>
    <xf numFmtId="1" fontId="24" fillId="0" borderId="6" xfId="0" applyNumberFormat="1" applyFont="1" applyBorder="1" applyAlignment="1">
      <alignment horizontal="center" vertical="center" wrapText="1"/>
    </xf>
    <xf numFmtId="1" fontId="23" fillId="13" borderId="14" xfId="0" applyNumberFormat="1" applyFont="1" applyFill="1" applyBorder="1" applyAlignment="1">
      <alignment horizontal="center" vertical="center"/>
    </xf>
    <xf numFmtId="0" fontId="23" fillId="13" borderId="11" xfId="0" applyFont="1" applyFill="1" applyBorder="1" applyAlignment="1">
      <alignment vertical="center"/>
    </xf>
    <xf numFmtId="0" fontId="22" fillId="13" borderId="0" xfId="0" applyFont="1" applyFill="1" applyAlignment="1">
      <alignment vertical="center"/>
    </xf>
    <xf numFmtId="0" fontId="22" fillId="13" borderId="9" xfId="0" applyFont="1" applyFill="1" applyBorder="1" applyAlignment="1">
      <alignment vertical="center"/>
    </xf>
    <xf numFmtId="0" fontId="22" fillId="13" borderId="9" xfId="0" applyFont="1" applyFill="1" applyBorder="1" applyAlignment="1">
      <alignment horizontal="center" vertical="center"/>
    </xf>
    <xf numFmtId="0" fontId="22" fillId="13" borderId="9" xfId="0" applyFont="1" applyFill="1" applyBorder="1" applyAlignment="1">
      <alignment horizontal="justify" vertical="center"/>
    </xf>
    <xf numFmtId="10" fontId="22" fillId="13" borderId="9" xfId="0" applyNumberFormat="1" applyFont="1" applyFill="1" applyBorder="1" applyAlignment="1">
      <alignment horizontal="center" vertical="center"/>
    </xf>
    <xf numFmtId="1" fontId="22" fillId="13" borderId="9" xfId="0" applyNumberFormat="1" applyFont="1" applyFill="1" applyBorder="1" applyAlignment="1">
      <alignment horizontal="center" vertical="center"/>
    </xf>
    <xf numFmtId="172" fontId="22" fillId="13" borderId="9" xfId="0" applyNumberFormat="1" applyFont="1" applyFill="1" applyBorder="1" applyAlignment="1">
      <alignment horizontal="right" vertical="center"/>
    </xf>
    <xf numFmtId="172" fontId="22" fillId="13" borderId="9" xfId="0" applyNumberFormat="1" applyFont="1" applyFill="1" applyBorder="1" applyAlignment="1">
      <alignment horizontal="center" vertical="center"/>
    </xf>
    <xf numFmtId="0" fontId="22" fillId="13" borderId="13" xfId="0" applyFont="1" applyFill="1" applyBorder="1" applyAlignment="1">
      <alignment horizontal="justify" vertical="center"/>
    </xf>
    <xf numFmtId="0" fontId="23" fillId="23" borderId="6" xfId="0" applyFont="1" applyFill="1" applyBorder="1" applyAlignment="1">
      <alignment horizontal="center" vertical="center"/>
    </xf>
    <xf numFmtId="0" fontId="23" fillId="23" borderId="15" xfId="0" applyFont="1" applyFill="1" applyBorder="1" applyAlignment="1">
      <alignment vertical="center"/>
    </xf>
    <xf numFmtId="0" fontId="23" fillId="23" borderId="15" xfId="0" applyFont="1" applyFill="1" applyBorder="1" applyAlignment="1">
      <alignment horizontal="center" vertical="center"/>
    </xf>
    <xf numFmtId="0" fontId="22" fillId="23" borderId="15" xfId="0" applyFont="1" applyFill="1" applyBorder="1" applyAlignment="1">
      <alignment horizontal="center" vertical="center"/>
    </xf>
    <xf numFmtId="0" fontId="22" fillId="23" borderId="15" xfId="0" applyFont="1" applyFill="1" applyBorder="1" applyAlignment="1">
      <alignment horizontal="justify" vertical="center"/>
    </xf>
    <xf numFmtId="0" fontId="22" fillId="23" borderId="15" xfId="0" applyFont="1" applyFill="1" applyBorder="1" applyAlignment="1">
      <alignment vertical="center"/>
    </xf>
    <xf numFmtId="10" fontId="22" fillId="23" borderId="15" xfId="0" applyNumberFormat="1" applyFont="1" applyFill="1" applyBorder="1" applyAlignment="1">
      <alignment horizontal="center" vertical="center"/>
    </xf>
    <xf numFmtId="1" fontId="22" fillId="23" borderId="15" xfId="0" applyNumberFormat="1" applyFont="1" applyFill="1" applyBorder="1" applyAlignment="1">
      <alignment horizontal="center" vertical="center"/>
    </xf>
    <xf numFmtId="172" fontId="22" fillId="23" borderId="15" xfId="0" applyNumberFormat="1" applyFont="1" applyFill="1" applyBorder="1" applyAlignment="1">
      <alignment horizontal="right" vertical="center"/>
    </xf>
    <xf numFmtId="172" fontId="22" fillId="23" borderId="15" xfId="0" applyNumberFormat="1" applyFont="1" applyFill="1" applyBorder="1" applyAlignment="1">
      <alignment horizontal="center" vertical="center"/>
    </xf>
    <xf numFmtId="0" fontId="22" fillId="23" borderId="16" xfId="0" applyFont="1" applyFill="1" applyBorder="1" applyAlignment="1">
      <alignment horizontal="justify" vertical="center"/>
    </xf>
    <xf numFmtId="0" fontId="23" fillId="15" borderId="14" xfId="0" applyFont="1" applyFill="1" applyBorder="1" applyAlignment="1">
      <alignment vertical="center"/>
    </xf>
    <xf numFmtId="1" fontId="24" fillId="6" borderId="6" xfId="0" applyNumberFormat="1" applyFont="1" applyFill="1" applyBorder="1" applyAlignment="1">
      <alignment horizontal="center" vertical="center"/>
    </xf>
    <xf numFmtId="1" fontId="22" fillId="0" borderId="0" xfId="0" applyNumberFormat="1" applyFont="1" applyAlignment="1">
      <alignment vertical="center"/>
    </xf>
    <xf numFmtId="10" fontId="22" fillId="6" borderId="0" xfId="0" applyNumberFormat="1" applyFont="1" applyFill="1" applyAlignment="1">
      <alignment horizontal="center" vertical="center"/>
    </xf>
    <xf numFmtId="172" fontId="22" fillId="0" borderId="0" xfId="0" applyNumberFormat="1" applyFont="1" applyAlignment="1">
      <alignment horizontal="center" vertical="center"/>
    </xf>
    <xf numFmtId="0" fontId="4" fillId="6" borderId="0" xfId="0" applyFont="1" applyFill="1" applyAlignment="1">
      <alignment vertical="center" wrapText="1"/>
    </xf>
    <xf numFmtId="3" fontId="34" fillId="0" borderId="0" xfId="17" applyNumberFormat="1" applyFont="1" applyAlignment="1">
      <alignment horizontal="center" vertical="center"/>
    </xf>
    <xf numFmtId="3" fontId="34" fillId="0" borderId="0" xfId="0" applyNumberFormat="1" applyFont="1" applyAlignment="1">
      <alignment horizontal="center" vertical="center"/>
    </xf>
    <xf numFmtId="174" fontId="34" fillId="0" borderId="0" xfId="17" applyNumberFormat="1" applyFont="1" applyAlignment="1">
      <alignment horizontal="center" vertical="center"/>
    </xf>
    <xf numFmtId="0" fontId="23" fillId="0" borderId="6" xfId="0" applyFont="1" applyBorder="1" applyAlignment="1">
      <alignment horizontal="justify" vertical="center"/>
    </xf>
    <xf numFmtId="0" fontId="23" fillId="0" borderId="6" xfId="0" applyFont="1" applyBorder="1" applyAlignment="1">
      <alignment horizontal="justify" vertical="center" wrapText="1"/>
    </xf>
    <xf numFmtId="3" fontId="27" fillId="0" borderId="6" xfId="0" applyNumberFormat="1" applyFont="1" applyBorder="1" applyAlignment="1">
      <alignment horizontal="justify" vertical="center" wrapText="1"/>
    </xf>
    <xf numFmtId="0" fontId="22" fillId="0" borderId="0" xfId="0" applyFont="1" applyAlignment="1">
      <alignment horizontal="justify" vertical="center" wrapText="1"/>
    </xf>
    <xf numFmtId="0" fontId="35" fillId="24" borderId="6" xfId="0" applyFont="1" applyFill="1" applyBorder="1" applyAlignment="1">
      <alignment vertical="center" wrapText="1"/>
    </xf>
    <xf numFmtId="0" fontId="28" fillId="12" borderId="6" xfId="0" applyFont="1" applyFill="1" applyBorder="1" applyAlignment="1">
      <alignment horizontal="center" vertical="center" wrapText="1"/>
    </xf>
    <xf numFmtId="0" fontId="23" fillId="12" borderId="6" xfId="0" applyFont="1" applyFill="1" applyBorder="1" applyAlignment="1">
      <alignment horizontal="center" vertical="center" textRotation="90" wrapText="1"/>
    </xf>
    <xf numFmtId="49" fontId="23" fillId="12" borderId="6" xfId="0" applyNumberFormat="1" applyFont="1" applyFill="1" applyBorder="1" applyAlignment="1">
      <alignment horizontal="center" vertical="center" textRotation="90" wrapText="1"/>
    </xf>
    <xf numFmtId="0" fontId="23" fillId="13" borderId="39" xfId="0" applyFont="1" applyFill="1" applyBorder="1" applyAlignment="1">
      <alignment horizontal="center" vertical="center" wrapText="1"/>
    </xf>
    <xf numFmtId="0" fontId="23" fillId="13" borderId="21" xfId="0" applyFont="1" applyFill="1" applyBorder="1" applyAlignment="1">
      <alignment horizontal="left" vertical="center"/>
    </xf>
    <xf numFmtId="0" fontId="23" fillId="13" borderId="9" xfId="0" applyFont="1" applyFill="1" applyBorder="1" applyAlignment="1">
      <alignment horizontal="left" vertical="center" wrapText="1"/>
    </xf>
    <xf numFmtId="0" fontId="23" fillId="13" borderId="9" xfId="0" applyFont="1" applyFill="1" applyBorder="1" applyAlignment="1">
      <alignment horizontal="justify" vertical="center" wrapText="1"/>
    </xf>
    <xf numFmtId="0" fontId="23" fillId="13" borderId="9" xfId="0" applyFont="1" applyFill="1" applyBorder="1" applyAlignment="1">
      <alignment horizontal="center" vertical="center" wrapText="1"/>
    </xf>
    <xf numFmtId="0" fontId="23" fillId="13" borderId="24" xfId="0" applyFont="1" applyFill="1" applyBorder="1" applyAlignment="1">
      <alignment horizontal="justify" vertical="center" wrapText="1"/>
    </xf>
    <xf numFmtId="0" fontId="23" fillId="6" borderId="5" xfId="0" applyFont="1" applyFill="1" applyBorder="1" applyAlignment="1">
      <alignment vertical="center" wrapText="1"/>
    </xf>
    <xf numFmtId="0" fontId="23" fillId="6" borderId="25" xfId="0" applyFont="1" applyFill="1" applyBorder="1" applyAlignment="1">
      <alignment vertical="center" wrapText="1"/>
    </xf>
    <xf numFmtId="0" fontId="23" fillId="14" borderId="6" xfId="0" applyFont="1" applyFill="1" applyBorder="1" applyAlignment="1">
      <alignment horizontal="center" vertical="center" wrapText="1"/>
    </xf>
    <xf numFmtId="0" fontId="23" fillId="14" borderId="14" xfId="0" applyFont="1" applyFill="1" applyBorder="1" applyAlignment="1">
      <alignment vertical="center"/>
    </xf>
    <xf numFmtId="0" fontId="23" fillId="14" borderId="0" xfId="0" applyFont="1" applyFill="1" applyAlignment="1">
      <alignment vertical="center"/>
    </xf>
    <xf numFmtId="0" fontId="23" fillId="14" borderId="0" xfId="0" applyFont="1" applyFill="1" applyAlignment="1">
      <alignment horizontal="justify" vertical="center"/>
    </xf>
    <xf numFmtId="0" fontId="23" fillId="14" borderId="0" xfId="0" applyFont="1" applyFill="1" applyAlignment="1">
      <alignment horizontal="center" vertical="center"/>
    </xf>
    <xf numFmtId="0" fontId="23" fillId="14" borderId="40" xfId="0" applyFont="1" applyFill="1" applyBorder="1" applyAlignment="1">
      <alignment horizontal="justify" vertical="center"/>
    </xf>
    <xf numFmtId="0" fontId="23" fillId="6" borderId="23" xfId="0" applyFont="1" applyFill="1" applyBorder="1" applyAlignment="1">
      <alignment vertical="center" wrapText="1"/>
    </xf>
    <xf numFmtId="0" fontId="28" fillId="15" borderId="14" xfId="0" applyFont="1" applyFill="1" applyBorder="1" applyAlignment="1">
      <alignment horizontal="left" vertical="center"/>
    </xf>
    <xf numFmtId="0" fontId="28" fillId="15" borderId="15" xfId="0" applyFont="1" applyFill="1" applyBorder="1" applyAlignment="1">
      <alignment horizontal="left" vertical="center"/>
    </xf>
    <xf numFmtId="0" fontId="28" fillId="15" borderId="15" xfId="0" applyFont="1" applyFill="1" applyBorder="1" applyAlignment="1">
      <alignment horizontal="justify" vertical="center"/>
    </xf>
    <xf numFmtId="0" fontId="28" fillId="15" borderId="15" xfId="0" applyFont="1" applyFill="1" applyBorder="1" applyAlignment="1">
      <alignment horizontal="center" vertical="center"/>
    </xf>
    <xf numFmtId="0" fontId="24" fillId="15" borderId="16" xfId="0" applyFont="1" applyFill="1" applyBorder="1" applyAlignment="1">
      <alignment horizontal="justify" vertical="center"/>
    </xf>
    <xf numFmtId="0" fontId="23" fillId="6" borderId="21" xfId="0" applyFont="1" applyFill="1" applyBorder="1" applyAlignment="1">
      <alignment vertical="center" wrapText="1"/>
    </xf>
    <xf numFmtId="0" fontId="23" fillId="6" borderId="13" xfId="0" applyFont="1" applyFill="1" applyBorder="1" applyAlignment="1">
      <alignment vertical="center" wrapText="1"/>
    </xf>
    <xf numFmtId="0" fontId="23" fillId="14" borderId="14" xfId="0" applyFont="1" applyFill="1" applyBorder="1" applyAlignment="1">
      <alignment horizontal="left" vertical="center"/>
    </xf>
    <xf numFmtId="0" fontId="23" fillId="14" borderId="15" xfId="0" applyFont="1" applyFill="1" applyBorder="1" applyAlignment="1">
      <alignment horizontal="left" vertical="center"/>
    </xf>
    <xf numFmtId="0" fontId="23" fillId="14" borderId="15" xfId="0" applyFont="1" applyFill="1" applyBorder="1" applyAlignment="1">
      <alignment horizontal="justify" vertical="center"/>
    </xf>
    <xf numFmtId="0" fontId="23" fillId="14" borderId="15" xfId="0" applyFont="1" applyFill="1" applyBorder="1" applyAlignment="1">
      <alignment horizontal="center" vertical="center"/>
    </xf>
    <xf numFmtId="0" fontId="28" fillId="15" borderId="11" xfId="0" applyFont="1" applyFill="1" applyBorder="1" applyAlignment="1">
      <alignment horizontal="justify" vertical="center"/>
    </xf>
    <xf numFmtId="0" fontId="28" fillId="15" borderId="11" xfId="0" applyFont="1" applyFill="1" applyBorder="1" applyAlignment="1">
      <alignment horizontal="left" vertical="center"/>
    </xf>
    <xf numFmtId="0" fontId="22" fillId="6" borderId="0" xfId="0" applyFont="1" applyFill="1" applyAlignment="1">
      <alignment vertical="center" wrapText="1"/>
    </xf>
    <xf numFmtId="0" fontId="30" fillId="6" borderId="6" xfId="0" applyFont="1" applyFill="1" applyBorder="1" applyAlignment="1">
      <alignment horizontal="justify" vertical="center" wrapText="1"/>
    </xf>
    <xf numFmtId="0" fontId="30" fillId="6" borderId="19" xfId="0" applyFont="1" applyFill="1" applyBorder="1" applyAlignment="1">
      <alignment horizontal="justify" vertical="center" wrapText="1"/>
    </xf>
    <xf numFmtId="0" fontId="22" fillId="6" borderId="14" xfId="0" applyFont="1" applyFill="1" applyBorder="1" applyAlignment="1">
      <alignment horizontal="justify" vertical="center" wrapText="1"/>
    </xf>
    <xf numFmtId="0" fontId="23" fillId="15" borderId="22" xfId="0" applyFont="1" applyFill="1" applyBorder="1" applyAlignment="1">
      <alignment horizontal="center" vertical="center" wrapText="1"/>
    </xf>
    <xf numFmtId="0" fontId="23" fillId="14" borderId="15" xfId="0" applyFont="1" applyFill="1" applyBorder="1" applyAlignment="1">
      <alignment vertical="center"/>
    </xf>
    <xf numFmtId="0" fontId="23" fillId="0" borderId="0" xfId="0" applyFont="1" applyAlignment="1">
      <alignment horizontal="justify" vertical="center"/>
    </xf>
    <xf numFmtId="0" fontId="28" fillId="15" borderId="11" xfId="0" applyFont="1" applyFill="1" applyBorder="1" applyAlignment="1">
      <alignment horizontal="center" vertical="center"/>
    </xf>
    <xf numFmtId="0" fontId="23" fillId="15" borderId="27" xfId="0" applyFont="1" applyFill="1" applyBorder="1" applyAlignment="1">
      <alignment horizontal="center" vertical="center" wrapText="1"/>
    </xf>
    <xf numFmtId="0" fontId="27" fillId="15" borderId="14" xfId="0" applyFont="1" applyFill="1" applyBorder="1" applyAlignment="1">
      <alignment horizontal="left" vertical="center"/>
    </xf>
    <xf numFmtId="0" fontId="27" fillId="15" borderId="15" xfId="0" applyFont="1" applyFill="1" applyBorder="1" applyAlignment="1">
      <alignment horizontal="left" vertical="center"/>
    </xf>
    <xf numFmtId="0" fontId="27" fillId="15" borderId="15" xfId="0" applyFont="1" applyFill="1" applyBorder="1" applyAlignment="1">
      <alignment horizontal="justify" vertical="center"/>
    </xf>
    <xf numFmtId="0" fontId="27" fillId="15" borderId="15" xfId="0" applyFont="1" applyFill="1" applyBorder="1" applyAlignment="1">
      <alignment horizontal="center" vertical="center"/>
    </xf>
    <xf numFmtId="0" fontId="33" fillId="15" borderId="16" xfId="0" applyFont="1" applyFill="1" applyBorder="1" applyAlignment="1">
      <alignment horizontal="justify" vertical="center"/>
    </xf>
    <xf numFmtId="0" fontId="27" fillId="15" borderId="14" xfId="0" applyFont="1" applyFill="1" applyBorder="1" applyAlignment="1">
      <alignment vertical="center"/>
    </xf>
    <xf numFmtId="0" fontId="27" fillId="15" borderId="15" xfId="0" applyFont="1" applyFill="1" applyBorder="1" applyAlignment="1">
      <alignment vertical="center"/>
    </xf>
    <xf numFmtId="182" fontId="22" fillId="6" borderId="20" xfId="0" applyNumberFormat="1" applyFont="1" applyFill="1" applyBorder="1" applyAlignment="1">
      <alignment vertical="center" wrapText="1"/>
    </xf>
    <xf numFmtId="182" fontId="22" fillId="6" borderId="22" xfId="0" applyNumberFormat="1" applyFont="1" applyFill="1" applyBorder="1" applyAlignment="1">
      <alignment vertical="center" wrapText="1"/>
    </xf>
    <xf numFmtId="182" fontId="22" fillId="6" borderId="27" xfId="0" applyNumberFormat="1" applyFont="1" applyFill="1" applyBorder="1" applyAlignment="1">
      <alignment vertical="center" wrapText="1"/>
    </xf>
    <xf numFmtId="0" fontId="23" fillId="14" borderId="22" xfId="0" applyFont="1" applyFill="1" applyBorder="1" applyAlignment="1">
      <alignment horizontal="center" vertical="center" wrapText="1"/>
    </xf>
    <xf numFmtId="0" fontId="27" fillId="15" borderId="11" xfId="0" applyFont="1" applyFill="1" applyBorder="1" applyAlignment="1">
      <alignment vertical="center"/>
    </xf>
    <xf numFmtId="0" fontId="27" fillId="15" borderId="11" xfId="0" applyFont="1" applyFill="1" applyBorder="1" applyAlignment="1">
      <alignment horizontal="center" vertical="center"/>
    </xf>
    <xf numFmtId="0" fontId="27" fillId="15" borderId="11" xfId="0" applyFont="1" applyFill="1" applyBorder="1" applyAlignment="1">
      <alignment horizontal="justify" vertical="center"/>
    </xf>
    <xf numFmtId="0" fontId="23" fillId="6" borderId="8" xfId="0" applyFont="1" applyFill="1" applyBorder="1" applyAlignment="1">
      <alignment vertical="center" wrapText="1"/>
    </xf>
    <xf numFmtId="0" fontId="33" fillId="0" borderId="0" xfId="0" applyFont="1" applyAlignment="1">
      <alignment vertical="center" wrapText="1"/>
    </xf>
    <xf numFmtId="0" fontId="33" fillId="0" borderId="0" xfId="0" applyFont="1" applyAlignment="1">
      <alignment horizontal="justify" vertical="center" wrapText="1"/>
    </xf>
    <xf numFmtId="0" fontId="22" fillId="6" borderId="0" xfId="0" applyFont="1" applyFill="1" applyAlignment="1">
      <alignment horizontal="justify" vertical="center" wrapText="1"/>
    </xf>
    <xf numFmtId="171" fontId="22" fillId="0" borderId="0" xfId="0" applyNumberFormat="1" applyFont="1" applyAlignment="1">
      <alignment horizontal="center" vertical="center" wrapText="1"/>
    </xf>
    <xf numFmtId="0" fontId="22" fillId="0" borderId="0" xfId="0" applyFont="1" applyAlignment="1">
      <alignment horizontal="justify" wrapText="1"/>
    </xf>
    <xf numFmtId="171" fontId="22" fillId="0" borderId="0" xfId="0" applyNumberFormat="1" applyFont="1" applyAlignment="1">
      <alignment wrapText="1"/>
    </xf>
    <xf numFmtId="0" fontId="22" fillId="0" borderId="0" xfId="0" applyFont="1" applyAlignment="1">
      <alignment horizontal="justify"/>
    </xf>
    <xf numFmtId="0" fontId="22" fillId="0" borderId="0" xfId="0" applyFont="1" applyAlignment="1">
      <alignment horizontal="center"/>
    </xf>
    <xf numFmtId="1" fontId="23" fillId="13" borderId="14" xfId="0" applyNumberFormat="1" applyFont="1" applyFill="1" applyBorder="1" applyAlignment="1">
      <alignment horizontal="left" vertical="center" wrapText="1"/>
    </xf>
    <xf numFmtId="0" fontId="23" fillId="13" borderId="11" xfId="0" applyFont="1" applyFill="1" applyBorder="1" applyAlignment="1">
      <alignment horizontal="justify" vertical="center" wrapText="1"/>
    </xf>
    <xf numFmtId="0" fontId="23" fillId="13" borderId="11" xfId="0" applyFont="1" applyFill="1" applyBorder="1" applyAlignment="1">
      <alignment horizontal="justify" vertical="center"/>
    </xf>
    <xf numFmtId="171" fontId="23" fillId="13" borderId="11" xfId="0" applyNumberFormat="1" applyFont="1" applyFill="1" applyBorder="1" applyAlignment="1">
      <alignment vertical="center"/>
    </xf>
    <xf numFmtId="171" fontId="23" fillId="13" borderId="11" xfId="0" applyNumberFormat="1" applyFont="1" applyFill="1" applyBorder="1" applyAlignment="1">
      <alignment horizontal="center" vertical="center"/>
    </xf>
    <xf numFmtId="0" fontId="23" fillId="13" borderId="11" xfId="0" applyFont="1" applyFill="1" applyBorder="1" applyAlignment="1">
      <alignment horizontal="center" vertical="center"/>
    </xf>
    <xf numFmtId="172" fontId="23" fillId="13" borderId="11" xfId="0" applyNumberFormat="1" applyFont="1" applyFill="1" applyBorder="1" applyAlignment="1">
      <alignment vertical="center"/>
    </xf>
    <xf numFmtId="0" fontId="23" fillId="13" borderId="12" xfId="0" applyFont="1" applyFill="1" applyBorder="1" applyAlignment="1">
      <alignment horizontal="justify" vertical="center"/>
    </xf>
    <xf numFmtId="1" fontId="23" fillId="14" borderId="15" xfId="0" applyNumberFormat="1" applyFont="1" applyFill="1" applyBorder="1" applyAlignment="1">
      <alignment horizontal="center" vertical="center"/>
    </xf>
    <xf numFmtId="0" fontId="23" fillId="14" borderId="11" xfId="0" applyFont="1" applyFill="1" applyBorder="1" applyAlignment="1">
      <alignment vertical="center"/>
    </xf>
    <xf numFmtId="0" fontId="22" fillId="14" borderId="11" xfId="0" applyFont="1" applyFill="1" applyBorder="1" applyAlignment="1">
      <alignment vertical="center"/>
    </xf>
    <xf numFmtId="0" fontId="23" fillId="14" borderId="11" xfId="0" applyFont="1" applyFill="1" applyBorder="1" applyAlignment="1">
      <alignment horizontal="justify" vertical="center" wrapText="1"/>
    </xf>
    <xf numFmtId="0" fontId="23" fillId="14" borderId="11" xfId="0" applyFont="1" applyFill="1" applyBorder="1" applyAlignment="1">
      <alignment horizontal="justify" vertical="center"/>
    </xf>
    <xf numFmtId="0" fontId="22" fillId="14" borderId="11" xfId="0" applyFont="1" applyFill="1" applyBorder="1" applyAlignment="1">
      <alignment horizontal="justify" vertical="center"/>
    </xf>
    <xf numFmtId="171" fontId="23" fillId="14" borderId="11" xfId="0" applyNumberFormat="1" applyFont="1" applyFill="1" applyBorder="1" applyAlignment="1">
      <alignment vertical="center"/>
    </xf>
    <xf numFmtId="171" fontId="23" fillId="14" borderId="11" xfId="0" applyNumberFormat="1" applyFont="1" applyFill="1" applyBorder="1" applyAlignment="1">
      <alignment horizontal="center" vertical="center"/>
    </xf>
    <xf numFmtId="0" fontId="23" fillId="14" borderId="11" xfId="0" applyFont="1" applyFill="1" applyBorder="1" applyAlignment="1">
      <alignment horizontal="center" vertical="center"/>
    </xf>
    <xf numFmtId="172" fontId="23" fillId="14" borderId="11" xfId="0" applyNumberFormat="1" applyFont="1" applyFill="1" applyBorder="1" applyAlignment="1">
      <alignment vertical="center"/>
    </xf>
    <xf numFmtId="0" fontId="23" fillId="14" borderId="12" xfId="0" applyFont="1" applyFill="1" applyBorder="1" applyAlignment="1">
      <alignment horizontal="justify" vertical="center"/>
    </xf>
    <xf numFmtId="0" fontId="23" fillId="6" borderId="19" xfId="0" applyFont="1" applyFill="1" applyBorder="1" applyAlignment="1">
      <alignment horizontal="center" vertical="center" wrapText="1"/>
    </xf>
    <xf numFmtId="1" fontId="23" fillId="15" borderId="15" xfId="0" applyNumberFormat="1" applyFont="1" applyFill="1" applyBorder="1" applyAlignment="1">
      <alignment horizontal="left" vertical="center" wrapText="1" indent="1"/>
    </xf>
    <xf numFmtId="0" fontId="22" fillId="15" borderId="11" xfId="0" applyFont="1" applyFill="1" applyBorder="1" applyAlignment="1">
      <alignment vertical="center"/>
    </xf>
    <xf numFmtId="0" fontId="23" fillId="15" borderId="11" xfId="0" applyFont="1" applyFill="1" applyBorder="1" applyAlignment="1">
      <alignment horizontal="justify" vertical="center" wrapText="1"/>
    </xf>
    <xf numFmtId="0" fontId="23" fillId="15" borderId="11" xfId="0" applyFont="1" applyFill="1" applyBorder="1" applyAlignment="1">
      <alignment horizontal="justify" vertical="center"/>
    </xf>
    <xf numFmtId="171" fontId="23" fillId="15" borderId="11" xfId="0" applyNumberFormat="1" applyFont="1" applyFill="1" applyBorder="1" applyAlignment="1">
      <alignment vertical="center"/>
    </xf>
    <xf numFmtId="171" fontId="23" fillId="15" borderId="11" xfId="0" applyNumberFormat="1" applyFont="1" applyFill="1" applyBorder="1" applyAlignment="1">
      <alignment horizontal="center" vertical="center"/>
    </xf>
    <xf numFmtId="0" fontId="23" fillId="15" borderId="11" xfId="0" applyFont="1" applyFill="1" applyBorder="1" applyAlignment="1">
      <alignment horizontal="center" vertical="center"/>
    </xf>
    <xf numFmtId="172" fontId="23" fillId="15" borderId="11" xfId="0" applyNumberFormat="1" applyFont="1" applyFill="1" applyBorder="1" applyAlignment="1">
      <alignment vertical="center"/>
    </xf>
    <xf numFmtId="0" fontId="23" fillId="15" borderId="12" xfId="0" applyFont="1" applyFill="1" applyBorder="1" applyAlignment="1">
      <alignment horizontal="justify" vertical="center"/>
    </xf>
    <xf numFmtId="0" fontId="22" fillId="6" borderId="19" xfId="0" applyFont="1" applyFill="1" applyBorder="1"/>
    <xf numFmtId="0" fontId="22" fillId="6" borderId="12" xfId="0" applyFont="1" applyFill="1" applyBorder="1"/>
    <xf numFmtId="14" fontId="22" fillId="0" borderId="6" xfId="0" applyNumberFormat="1" applyFont="1" applyBorder="1" applyAlignment="1">
      <alignment vertical="center"/>
    </xf>
    <xf numFmtId="0" fontId="22" fillId="6" borderId="23" xfId="0" applyFont="1" applyFill="1" applyBorder="1"/>
    <xf numFmtId="0" fontId="22" fillId="6" borderId="25" xfId="0" applyFont="1" applyFill="1" applyBorder="1"/>
    <xf numFmtId="14" fontId="22" fillId="0" borderId="6" xfId="0" applyNumberFormat="1" applyFont="1" applyBorder="1" applyAlignment="1">
      <alignment horizontal="right" vertical="center"/>
    </xf>
    <xf numFmtId="0" fontId="22" fillId="6" borderId="21" xfId="0" applyFont="1" applyFill="1" applyBorder="1"/>
    <xf numFmtId="0" fontId="22" fillId="6" borderId="13" xfId="0" applyFont="1" applyFill="1" applyBorder="1"/>
    <xf numFmtId="0" fontId="23" fillId="15" borderId="0" xfId="0" applyFont="1" applyFill="1" applyAlignment="1">
      <alignment horizontal="justify" vertical="center" wrapText="1"/>
    </xf>
    <xf numFmtId="0" fontId="23" fillId="15" borderId="0" xfId="0" applyFont="1" applyFill="1" applyAlignment="1">
      <alignment horizontal="justify" vertical="center"/>
    </xf>
    <xf numFmtId="171" fontId="23" fillId="15" borderId="0" xfId="0" applyNumberFormat="1" applyFont="1" applyFill="1" applyAlignment="1">
      <alignment vertical="center"/>
    </xf>
    <xf numFmtId="172" fontId="22" fillId="0" borderId="6" xfId="0" applyNumberFormat="1" applyFont="1" applyBorder="1" applyAlignment="1">
      <alignment vertical="center"/>
    </xf>
    <xf numFmtId="0" fontId="22" fillId="14" borderId="0" xfId="0" applyFont="1" applyFill="1" applyAlignment="1">
      <alignment vertical="center"/>
    </xf>
    <xf numFmtId="0" fontId="23" fillId="14" borderId="0" xfId="0" applyFont="1" applyFill="1" applyAlignment="1">
      <alignment horizontal="justify" vertical="center" wrapText="1"/>
    </xf>
    <xf numFmtId="171" fontId="23" fillId="14" borderId="0" xfId="0" applyNumberFormat="1" applyFont="1" applyFill="1" applyAlignment="1">
      <alignment vertical="center"/>
    </xf>
    <xf numFmtId="171" fontId="23" fillId="15" borderId="16" xfId="0" applyNumberFormat="1" applyFont="1" applyFill="1" applyBorder="1" applyAlignment="1">
      <alignment horizontal="center" vertical="center"/>
    </xf>
    <xf numFmtId="0" fontId="0" fillId="6" borderId="19" xfId="0" applyFill="1" applyBorder="1"/>
    <xf numFmtId="0" fontId="0" fillId="6" borderId="12" xfId="0" applyFill="1" applyBorder="1"/>
    <xf numFmtId="0" fontId="0" fillId="6" borderId="23" xfId="0" applyFill="1" applyBorder="1"/>
    <xf numFmtId="0" fontId="0" fillId="6" borderId="25" xfId="0" applyFill="1" applyBorder="1"/>
    <xf numFmtId="172" fontId="22" fillId="6" borderId="6" xfId="0" applyNumberFormat="1" applyFont="1" applyFill="1" applyBorder="1" applyAlignment="1">
      <alignment vertical="center"/>
    </xf>
    <xf numFmtId="14" fontId="0" fillId="0" borderId="6" xfId="0" applyNumberFormat="1" applyBorder="1" applyAlignment="1">
      <alignment vertical="center"/>
    </xf>
    <xf numFmtId="0" fontId="0" fillId="6" borderId="21" xfId="0" applyFill="1" applyBorder="1"/>
    <xf numFmtId="0" fontId="0" fillId="6" borderId="13" xfId="0" applyFill="1" applyBorder="1"/>
    <xf numFmtId="0" fontId="22" fillId="15" borderId="9" xfId="0" applyFont="1" applyFill="1" applyBorder="1" applyAlignment="1">
      <alignment vertical="center"/>
    </xf>
    <xf numFmtId="0" fontId="30" fillId="6" borderId="20" xfId="0" applyFont="1" applyFill="1" applyBorder="1" applyAlignment="1">
      <alignment horizontal="justify" vertical="center" wrapText="1"/>
    </xf>
    <xf numFmtId="172" fontId="23" fillId="15" borderId="16" xfId="0" applyNumberFormat="1" applyFont="1" applyFill="1" applyBorder="1" applyAlignment="1">
      <alignment vertical="center"/>
    </xf>
    <xf numFmtId="1" fontId="23" fillId="14" borderId="11" xfId="0" applyNumberFormat="1" applyFont="1" applyFill="1" applyBorder="1" applyAlignment="1">
      <alignment vertical="center"/>
    </xf>
    <xf numFmtId="0" fontId="23" fillId="13" borderId="0" xfId="0" applyFont="1" applyFill="1" applyAlignment="1">
      <alignment horizontal="justify" vertical="center" wrapText="1"/>
    </xf>
    <xf numFmtId="0" fontId="23" fillId="13" borderId="0" xfId="0" applyFont="1" applyFill="1" applyAlignment="1">
      <alignment horizontal="justify" vertical="center"/>
    </xf>
    <xf numFmtId="0" fontId="23" fillId="13" borderId="0" xfId="0" applyFont="1" applyFill="1" applyAlignment="1">
      <alignment vertical="center"/>
    </xf>
    <xf numFmtId="171" fontId="23" fillId="13" borderId="0" xfId="0" applyNumberFormat="1" applyFont="1" applyFill="1" applyAlignment="1">
      <alignment vertical="center"/>
    </xf>
    <xf numFmtId="171" fontId="23" fillId="13" borderId="12" xfId="0" applyNumberFormat="1" applyFont="1" applyFill="1" applyBorder="1" applyAlignment="1">
      <alignment horizontal="center" vertical="center"/>
    </xf>
    <xf numFmtId="1" fontId="23" fillId="15" borderId="11" xfId="0" applyNumberFormat="1" applyFont="1" applyFill="1" applyBorder="1" applyAlignment="1">
      <alignment horizontal="left" vertical="center" wrapText="1" indent="1"/>
    </xf>
    <xf numFmtId="0" fontId="23" fillId="15" borderId="15" xfId="0" applyFont="1" applyFill="1" applyBorder="1" applyAlignment="1">
      <alignment horizontal="justify" vertical="center" wrapText="1"/>
    </xf>
    <xf numFmtId="0" fontId="0" fillId="6" borderId="11" xfId="0" applyFill="1" applyBorder="1"/>
    <xf numFmtId="0" fontId="0" fillId="6" borderId="0" xfId="0" applyFill="1"/>
    <xf numFmtId="0" fontId="0" fillId="6" borderId="9" xfId="0" applyFill="1" applyBorder="1"/>
    <xf numFmtId="0" fontId="22" fillId="6" borderId="0" xfId="0" applyFont="1" applyFill="1" applyAlignment="1">
      <alignment vertical="center" textRotation="90" wrapText="1"/>
    </xf>
    <xf numFmtId="0" fontId="22" fillId="6" borderId="25" xfId="0" applyFont="1" applyFill="1" applyBorder="1" applyAlignment="1">
      <alignment vertical="center" textRotation="90" wrapText="1"/>
    </xf>
    <xf numFmtId="0" fontId="22" fillId="15" borderId="15" xfId="0" applyFont="1" applyFill="1" applyBorder="1" applyAlignment="1">
      <alignment horizontal="justify" vertical="center" wrapText="1"/>
    </xf>
    <xf numFmtId="0" fontId="24" fillId="15" borderId="15" xfId="0" applyFont="1" applyFill="1" applyBorder="1" applyAlignment="1">
      <alignment vertical="center" wrapText="1"/>
    </xf>
    <xf numFmtId="0" fontId="22" fillId="15" borderId="15" xfId="0" applyFont="1" applyFill="1" applyBorder="1" applyAlignment="1">
      <alignment vertical="center" wrapText="1"/>
    </xf>
    <xf numFmtId="4" fontId="22" fillId="15" borderId="15" xfId="0" applyNumberFormat="1" applyFont="1" applyFill="1" applyBorder="1" applyAlignment="1">
      <alignment horizontal="right" vertical="center" wrapText="1"/>
    </xf>
    <xf numFmtId="0" fontId="23" fillId="6" borderId="20" xfId="0" applyFont="1" applyFill="1" applyBorder="1" applyAlignment="1">
      <alignment horizontal="center" vertical="center" wrapText="1"/>
    </xf>
    <xf numFmtId="0" fontId="23" fillId="6" borderId="12" xfId="0" applyFont="1" applyFill="1" applyBorder="1"/>
    <xf numFmtId="0" fontId="23" fillId="20" borderId="12" xfId="0" applyFont="1" applyFill="1" applyBorder="1" applyAlignment="1">
      <alignment horizontal="center" vertical="center" wrapText="1"/>
    </xf>
    <xf numFmtId="0" fontId="23" fillId="20" borderId="15" xfId="0" applyFont="1" applyFill="1" applyBorder="1" applyAlignment="1">
      <alignment horizontal="justify" vertical="center" wrapText="1"/>
    </xf>
    <xf numFmtId="0" fontId="28" fillId="20" borderId="15" xfId="0" applyFont="1" applyFill="1" applyBorder="1" applyAlignment="1">
      <alignment vertical="center" wrapText="1"/>
    </xf>
    <xf numFmtId="0" fontId="23" fillId="20" borderId="15" xfId="0" applyFont="1" applyFill="1" applyBorder="1" applyAlignment="1">
      <alignment vertical="center" wrapText="1"/>
    </xf>
    <xf numFmtId="4" fontId="23" fillId="20" borderId="15" xfId="0" applyNumberFormat="1" applyFont="1" applyFill="1" applyBorder="1" applyAlignment="1">
      <alignment horizontal="right" vertical="center" wrapText="1"/>
    </xf>
    <xf numFmtId="1" fontId="23" fillId="20" borderId="15" xfId="0" applyNumberFormat="1" applyFont="1" applyFill="1" applyBorder="1" applyAlignment="1">
      <alignment horizontal="center" vertical="center" wrapText="1"/>
    </xf>
    <xf numFmtId="0" fontId="23" fillId="20" borderId="6" xfId="0" applyFont="1" applyFill="1" applyBorder="1" applyAlignment="1">
      <alignment vertical="center" wrapText="1"/>
    </xf>
    <xf numFmtId="0" fontId="23" fillId="6" borderId="22" xfId="0" applyFont="1" applyFill="1" applyBorder="1" applyAlignment="1">
      <alignment horizontal="center" vertical="center" wrapText="1"/>
    </xf>
    <xf numFmtId="0" fontId="23" fillId="6" borderId="11" xfId="0" applyFont="1" applyFill="1" applyBorder="1"/>
    <xf numFmtId="0" fontId="28" fillId="15" borderId="15" xfId="0" applyFont="1" applyFill="1" applyBorder="1" applyAlignment="1">
      <alignment vertical="center" wrapText="1"/>
    </xf>
    <xf numFmtId="0" fontId="23" fillId="15" borderId="15" xfId="0" applyFont="1" applyFill="1" applyBorder="1" applyAlignment="1">
      <alignment vertical="center" wrapText="1"/>
    </xf>
    <xf numFmtId="4" fontId="23" fillId="15" borderId="15" xfId="0" applyNumberFormat="1" applyFont="1" applyFill="1" applyBorder="1" applyAlignment="1">
      <alignment horizontal="right" vertical="center" wrapText="1"/>
    </xf>
    <xf numFmtId="1" fontId="23" fillId="15" borderId="15" xfId="0" applyNumberFormat="1" applyFont="1" applyFill="1" applyBorder="1" applyAlignment="1">
      <alignment horizontal="center" vertical="center" wrapText="1"/>
    </xf>
    <xf numFmtId="0" fontId="23" fillId="15" borderId="6" xfId="0" applyFont="1" applyFill="1" applyBorder="1" applyAlignment="1">
      <alignment vertical="center" wrapText="1"/>
    </xf>
    <xf numFmtId="0" fontId="14" fillId="15" borderId="6" xfId="0" applyFont="1" applyFill="1" applyBorder="1" applyAlignment="1">
      <alignment wrapText="1"/>
    </xf>
    <xf numFmtId="0" fontId="23" fillId="0" borderId="3" xfId="0" applyFont="1" applyBorder="1" applyAlignment="1">
      <alignment vertical="center"/>
    </xf>
    <xf numFmtId="0" fontId="23" fillId="0" borderId="4" xfId="0" applyFont="1" applyBorder="1" applyAlignment="1">
      <alignment vertical="center" wrapText="1"/>
    </xf>
    <xf numFmtId="0" fontId="23" fillId="0" borderId="7" xfId="0" applyFont="1" applyBorder="1" applyAlignment="1">
      <alignment vertical="center" wrapText="1"/>
    </xf>
    <xf numFmtId="3" fontId="27" fillId="0" borderId="7" xfId="0" applyNumberFormat="1" applyFont="1" applyBorder="1" applyAlignment="1">
      <alignment horizontal="left" vertical="center" wrapText="1"/>
    </xf>
    <xf numFmtId="0" fontId="23" fillId="0" borderId="24" xfId="0" applyFont="1" applyBorder="1" applyAlignment="1">
      <alignment vertical="center" wrapText="1"/>
    </xf>
    <xf numFmtId="1" fontId="23" fillId="21" borderId="38" xfId="0" applyNumberFormat="1" applyFont="1" applyFill="1" applyBorder="1" applyAlignment="1">
      <alignment horizontal="left" vertical="center" wrapText="1"/>
    </xf>
    <xf numFmtId="0" fontId="23" fillId="21" borderId="17" xfId="0" applyFont="1" applyFill="1" applyBorder="1" applyAlignment="1">
      <alignment horizontal="center" vertical="center" wrapText="1"/>
    </xf>
    <xf numFmtId="0" fontId="22" fillId="6" borderId="10" xfId="0" applyFont="1" applyFill="1" applyBorder="1" applyAlignment="1">
      <alignment vertical="center" wrapText="1"/>
    </xf>
    <xf numFmtId="0" fontId="23" fillId="17" borderId="24" xfId="0" applyFont="1" applyFill="1" applyBorder="1" applyAlignment="1">
      <alignment horizontal="center" vertical="center" wrapText="1"/>
    </xf>
    <xf numFmtId="0" fontId="22" fillId="6" borderId="5" xfId="0" applyFont="1" applyFill="1" applyBorder="1" applyAlignment="1">
      <alignment vertical="center" wrapText="1"/>
    </xf>
    <xf numFmtId="0" fontId="23" fillId="7" borderId="17" xfId="0" applyFont="1" applyFill="1" applyBorder="1" applyAlignment="1">
      <alignment horizontal="center" vertical="center" wrapText="1"/>
    </xf>
    <xf numFmtId="14" fontId="23" fillId="7" borderId="15" xfId="0" applyNumberFormat="1" applyFont="1" applyFill="1" applyBorder="1" applyAlignment="1">
      <alignment horizontal="center" vertical="center"/>
    </xf>
    <xf numFmtId="1" fontId="23" fillId="7" borderId="17" xfId="0" applyNumberFormat="1" applyFont="1" applyFill="1" applyBorder="1" applyAlignment="1">
      <alignment horizontal="center" vertical="center" wrapText="1"/>
    </xf>
    <xf numFmtId="14" fontId="23" fillId="17" borderId="9" xfId="0" applyNumberFormat="1" applyFont="1" applyFill="1" applyBorder="1" applyAlignment="1">
      <alignment horizontal="center" vertical="center"/>
    </xf>
    <xf numFmtId="0" fontId="17" fillId="0" borderId="0" xfId="0" applyFont="1" applyAlignment="1">
      <alignment vertical="top" wrapText="1"/>
    </xf>
    <xf numFmtId="0" fontId="23" fillId="0" borderId="20" xfId="0" applyFont="1" applyBorder="1" applyAlignment="1">
      <alignment vertical="center"/>
    </xf>
    <xf numFmtId="0" fontId="31" fillId="4" borderId="6" xfId="0" applyFont="1" applyFill="1" applyBorder="1" applyAlignment="1">
      <alignment horizontal="justify" vertical="center" wrapText="1"/>
    </xf>
    <xf numFmtId="0" fontId="23" fillId="12" borderId="19" xfId="0" applyFont="1" applyFill="1" applyBorder="1" applyAlignment="1">
      <alignment horizontal="justify" vertical="center" textRotation="90" wrapText="1"/>
    </xf>
    <xf numFmtId="0" fontId="19" fillId="13" borderId="20" xfId="0" applyFont="1" applyFill="1" applyBorder="1" applyAlignment="1">
      <alignment horizontal="center" vertical="center" wrapText="1"/>
    </xf>
    <xf numFmtId="0" fontId="19" fillId="13" borderId="15" xfId="0" applyFont="1" applyFill="1" applyBorder="1" applyAlignment="1">
      <alignment vertical="center" wrapText="1"/>
    </xf>
    <xf numFmtId="14" fontId="19" fillId="13" borderId="15" xfId="0" applyNumberFormat="1" applyFont="1" applyFill="1" applyBorder="1" applyAlignment="1">
      <alignment vertical="center" wrapText="1"/>
    </xf>
    <xf numFmtId="0" fontId="19" fillId="13" borderId="16" xfId="0" applyFont="1" applyFill="1" applyBorder="1" applyAlignment="1">
      <alignment vertical="center" wrapText="1"/>
    </xf>
    <xf numFmtId="0" fontId="19" fillId="6" borderId="20" xfId="0" applyFont="1" applyFill="1" applyBorder="1" applyAlignment="1">
      <alignment horizontal="center" vertical="center" wrapText="1"/>
    </xf>
    <xf numFmtId="0" fontId="19" fillId="6" borderId="20" xfId="0" applyFont="1" applyFill="1" applyBorder="1" applyAlignment="1">
      <alignment vertical="center" wrapText="1"/>
    </xf>
    <xf numFmtId="0" fontId="19" fillId="20" borderId="12"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2" xfId="0" applyFont="1" applyFill="1" applyBorder="1" applyAlignment="1">
      <alignment vertical="center" wrapText="1"/>
    </xf>
    <xf numFmtId="0" fontId="19" fillId="15" borderId="6" xfId="0" applyFont="1" applyFill="1" applyBorder="1" applyAlignment="1">
      <alignment horizontal="center" vertical="center" wrapText="1"/>
    </xf>
    <xf numFmtId="49" fontId="15" fillId="6" borderId="22" xfId="0" applyNumberFormat="1" applyFont="1" applyFill="1" applyBorder="1" applyAlignment="1">
      <alignment vertical="center" wrapText="1"/>
    </xf>
    <xf numFmtId="0" fontId="15" fillId="6" borderId="22" xfId="0" applyFont="1" applyFill="1" applyBorder="1" applyAlignment="1">
      <alignment vertical="center" wrapText="1"/>
    </xf>
    <xf numFmtId="0" fontId="28" fillId="15" borderId="6" xfId="0" applyFont="1" applyFill="1" applyBorder="1" applyAlignment="1">
      <alignment horizontal="center" vertical="center" wrapText="1"/>
    </xf>
    <xf numFmtId="0" fontId="28" fillId="15" borderId="6" xfId="0" applyFont="1" applyFill="1" applyBorder="1" applyAlignment="1">
      <alignment horizontal="justify" vertical="center" wrapText="1"/>
    </xf>
    <xf numFmtId="14" fontId="28" fillId="15" borderId="6" xfId="0" applyNumberFormat="1" applyFont="1" applyFill="1" applyBorder="1" applyAlignment="1">
      <alignment horizontal="left" vertical="center" wrapText="1"/>
    </xf>
    <xf numFmtId="49" fontId="15" fillId="6" borderId="22" xfId="0" applyNumberFormat="1"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5" fillId="6" borderId="22" xfId="0" applyFont="1" applyFill="1" applyBorder="1" applyAlignment="1">
      <alignment horizontal="justify" vertical="center" wrapText="1"/>
    </xf>
    <xf numFmtId="49" fontId="15" fillId="6" borderId="27" xfId="0" applyNumberFormat="1"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27" xfId="0" applyFont="1" applyFill="1" applyBorder="1" applyAlignment="1">
      <alignment horizontal="justify" vertical="center" wrapText="1"/>
    </xf>
    <xf numFmtId="0" fontId="8" fillId="0" borderId="0" xfId="0" applyFont="1"/>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justify" vertical="center"/>
    </xf>
    <xf numFmtId="14" fontId="8" fillId="0" borderId="0" xfId="0" applyNumberFormat="1" applyFont="1" applyAlignment="1">
      <alignment horizontal="right" vertical="center"/>
    </xf>
    <xf numFmtId="14" fontId="8" fillId="0" borderId="0" xfId="0" applyNumberFormat="1" applyFont="1" applyAlignment="1">
      <alignment horizontal="left"/>
    </xf>
    <xf numFmtId="0" fontId="37" fillId="0" borderId="0" xfId="0" applyFont="1"/>
    <xf numFmtId="0" fontId="37" fillId="0" borderId="0" xfId="0" applyFont="1" applyAlignment="1">
      <alignment horizontal="center"/>
    </xf>
    <xf numFmtId="0" fontId="37" fillId="0" borderId="0" xfId="0" applyFont="1" applyAlignment="1">
      <alignment horizontal="center" vertical="center"/>
    </xf>
    <xf numFmtId="0" fontId="37" fillId="0" borderId="0" xfId="0" applyFont="1" applyAlignment="1">
      <alignment horizontal="justify" vertical="center"/>
    </xf>
    <xf numFmtId="0" fontId="38" fillId="0" borderId="0" xfId="0" applyFont="1" applyAlignment="1">
      <alignment horizontal="right" vertical="center"/>
    </xf>
    <xf numFmtId="169" fontId="37" fillId="0" borderId="0" xfId="0" applyNumberFormat="1" applyFont="1" applyAlignment="1">
      <alignment horizontal="center"/>
    </xf>
    <xf numFmtId="0" fontId="37" fillId="0" borderId="0" xfId="0" applyFont="1" applyAlignment="1">
      <alignment horizontal="left"/>
    </xf>
    <xf numFmtId="1" fontId="22" fillId="6" borderId="23" xfId="0" applyNumberFormat="1" applyFont="1" applyFill="1" applyBorder="1" applyAlignment="1">
      <alignment horizontal="center" vertical="center" wrapText="1"/>
    </xf>
    <xf numFmtId="1" fontId="22" fillId="6" borderId="21" xfId="0" applyNumberFormat="1" applyFont="1" applyFill="1" applyBorder="1" applyAlignment="1">
      <alignment horizontal="center" vertical="center" wrapText="1"/>
    </xf>
    <xf numFmtId="0" fontId="22" fillId="6" borderId="9" xfId="0" applyFont="1" applyFill="1" applyBorder="1" applyAlignment="1">
      <alignment horizontal="center" vertical="center" wrapText="1"/>
    </xf>
    <xf numFmtId="1" fontId="23" fillId="6" borderId="19" xfId="0" applyNumberFormat="1" applyFont="1" applyFill="1" applyBorder="1" applyAlignment="1">
      <alignment horizontal="center" vertical="center" wrapText="1"/>
    </xf>
    <xf numFmtId="170" fontId="23" fillId="14" borderId="15" xfId="0" applyNumberFormat="1" applyFont="1" applyFill="1" applyBorder="1" applyAlignment="1">
      <alignment horizontal="center" vertical="center"/>
    </xf>
    <xf numFmtId="171" fontId="23" fillId="14" borderId="15" xfId="0" applyNumberFormat="1" applyFont="1" applyFill="1" applyBorder="1" applyAlignment="1">
      <alignment vertical="center"/>
    </xf>
    <xf numFmtId="171" fontId="23" fillId="14" borderId="15" xfId="0" applyNumberFormat="1" applyFont="1" applyFill="1" applyBorder="1" applyAlignment="1">
      <alignment horizontal="center" vertical="center"/>
    </xf>
    <xf numFmtId="172" fontId="23" fillId="14" borderId="15" xfId="0" applyNumberFormat="1" applyFont="1" applyFill="1" applyBorder="1" applyAlignment="1">
      <alignment vertical="center"/>
    </xf>
    <xf numFmtId="0" fontId="23" fillId="14" borderId="16" xfId="0" applyFont="1" applyFill="1" applyBorder="1" applyAlignment="1">
      <alignment horizontal="justify" vertical="center"/>
    </xf>
    <xf numFmtId="1" fontId="23" fillId="6" borderId="23" xfId="0" applyNumberFormat="1" applyFont="1" applyFill="1" applyBorder="1" applyAlignment="1">
      <alignment horizontal="center" vertical="center" wrapText="1"/>
    </xf>
    <xf numFmtId="170" fontId="23" fillId="15" borderId="15" xfId="0" applyNumberFormat="1" applyFont="1" applyFill="1" applyBorder="1" applyAlignment="1">
      <alignment horizontal="center" vertical="center"/>
    </xf>
    <xf numFmtId="1" fontId="7" fillId="15" borderId="11" xfId="0" applyNumberFormat="1" applyFont="1" applyFill="1" applyBorder="1" applyAlignment="1">
      <alignment horizontal="center" vertical="center"/>
    </xf>
    <xf numFmtId="3" fontId="8" fillId="0" borderId="16" xfId="0" applyNumberFormat="1" applyFont="1" applyBorder="1" applyAlignment="1">
      <alignment horizontal="center" vertical="center" wrapText="1"/>
    </xf>
    <xf numFmtId="1" fontId="22" fillId="6" borderId="20" xfId="14" applyNumberFormat="1" applyFont="1" applyFill="1" applyBorder="1" applyAlignment="1">
      <alignment horizontal="center" vertical="center" wrapText="1"/>
    </xf>
    <xf numFmtId="1" fontId="4" fillId="6" borderId="0" xfId="0" applyNumberFormat="1" applyFont="1" applyFill="1"/>
    <xf numFmtId="1" fontId="24" fillId="0" borderId="6" xfId="0" applyNumberFormat="1" applyFont="1" applyBorder="1" applyAlignment="1">
      <alignment horizontal="center" vertical="center"/>
    </xf>
    <xf numFmtId="0" fontId="4" fillId="6" borderId="0" xfId="0" applyFont="1" applyFill="1" applyAlignment="1">
      <alignment wrapText="1"/>
    </xf>
    <xf numFmtId="43" fontId="4" fillId="0" borderId="6" xfId="4" applyFont="1" applyBorder="1" applyAlignment="1">
      <alignment horizontal="justify" vertical="center"/>
    </xf>
    <xf numFmtId="43" fontId="4" fillId="0" borderId="20" xfId="4" applyFont="1" applyBorder="1" applyAlignment="1">
      <alignment horizontal="justify" vertical="center"/>
    </xf>
    <xf numFmtId="43" fontId="4" fillId="0" borderId="22" xfId="4" applyFont="1" applyBorder="1" applyAlignment="1">
      <alignment horizontal="justify" vertical="center"/>
    </xf>
    <xf numFmtId="43" fontId="4" fillId="0" borderId="27" xfId="4" applyFont="1" applyBorder="1" applyAlignment="1">
      <alignment horizontal="justify" vertical="center"/>
    </xf>
    <xf numFmtId="0" fontId="8" fillId="0" borderId="25" xfId="0" applyFont="1" applyBorder="1" applyAlignment="1">
      <alignment vertical="center" wrapText="1"/>
    </xf>
    <xf numFmtId="171" fontId="22" fillId="0" borderId="0" xfId="0" applyNumberFormat="1" applyFont="1" applyAlignment="1">
      <alignment horizontal="center" vertical="center"/>
    </xf>
    <xf numFmtId="0" fontId="22" fillId="6" borderId="11" xfId="0" applyFont="1" applyFill="1" applyBorder="1"/>
    <xf numFmtId="1" fontId="23" fillId="14" borderId="6" xfId="0" applyNumberFormat="1" applyFont="1" applyFill="1" applyBorder="1" applyAlignment="1">
      <alignment vertical="center"/>
    </xf>
    <xf numFmtId="0" fontId="22" fillId="0" borderId="6" xfId="0" applyFont="1" applyBorder="1" applyAlignment="1">
      <alignment horizontal="center" vertical="center" wrapText="1"/>
    </xf>
    <xf numFmtId="0" fontId="22" fillId="0" borderId="0" xfId="0" applyFont="1" applyAlignment="1">
      <alignment horizontal="center" vertical="center" wrapText="1"/>
    </xf>
    <xf numFmtId="0" fontId="11" fillId="2" borderId="30" xfId="0" applyFont="1" applyFill="1" applyBorder="1"/>
    <xf numFmtId="171" fontId="40" fillId="0" borderId="0" xfId="0" applyNumberFormat="1" applyFont="1" applyAlignment="1">
      <alignment horizontal="left" vertical="center"/>
    </xf>
    <xf numFmtId="0" fontId="7" fillId="0" borderId="6" xfId="0" applyFont="1" applyBorder="1" applyAlignment="1">
      <alignment horizontal="center" vertical="center" wrapText="1"/>
    </xf>
    <xf numFmtId="0" fontId="39" fillId="6" borderId="6" xfId="0" applyFont="1" applyFill="1" applyBorder="1"/>
    <xf numFmtId="3" fontId="23" fillId="0" borderId="6" xfId="13" applyNumberFormat="1" applyFont="1" applyBorder="1" applyAlignment="1">
      <alignment horizontal="center" vertical="center"/>
    </xf>
    <xf numFmtId="178" fontId="23" fillId="6" borderId="6" xfId="13" applyFont="1" applyFill="1" applyBorder="1" applyAlignment="1">
      <alignment horizontal="justify" vertical="center" wrapText="1"/>
    </xf>
    <xf numFmtId="3" fontId="23" fillId="6" borderId="6" xfId="13" applyNumberFormat="1" applyFont="1" applyFill="1" applyBorder="1" applyAlignment="1">
      <alignment horizontal="center" vertical="center"/>
    </xf>
    <xf numFmtId="49" fontId="23" fillId="0" borderId="6" xfId="13" applyNumberFormat="1" applyFont="1" applyBorder="1" applyAlignment="1">
      <alignment horizontal="center" vertical="center" wrapText="1"/>
    </xf>
    <xf numFmtId="188" fontId="23" fillId="6" borderId="6" xfId="13" applyNumberFormat="1" applyFont="1" applyFill="1" applyBorder="1" applyAlignment="1">
      <alignment horizontal="center" vertical="center"/>
    </xf>
    <xf numFmtId="0" fontId="39" fillId="0" borderId="6" xfId="0" applyFont="1" applyBorder="1" applyAlignment="1">
      <alignment vertical="center"/>
    </xf>
    <xf numFmtId="14" fontId="23" fillId="0" borderId="6" xfId="0" applyNumberFormat="1" applyFont="1" applyBorder="1" applyAlignment="1">
      <alignment vertical="center"/>
    </xf>
    <xf numFmtId="0" fontId="39" fillId="0" borderId="6" xfId="0" applyFont="1" applyBorder="1" applyAlignment="1">
      <alignment horizontal="left" vertical="center"/>
    </xf>
    <xf numFmtId="0" fontId="23" fillId="15" borderId="0" xfId="0" applyFont="1" applyFill="1" applyAlignment="1">
      <alignment horizontal="center" vertical="center"/>
    </xf>
    <xf numFmtId="0" fontId="22" fillId="0" borderId="6" xfId="0" applyFont="1" applyBorder="1"/>
    <xf numFmtId="0" fontId="22" fillId="15" borderId="0" xfId="0" applyFont="1" applyFill="1" applyAlignment="1">
      <alignment horizontal="justify" vertical="center" wrapText="1"/>
    </xf>
    <xf numFmtId="0" fontId="0" fillId="0" borderId="0" xfId="0" applyAlignment="1">
      <alignment horizontal="justify" vertical="center" wrapText="1"/>
    </xf>
    <xf numFmtId="0" fontId="23" fillId="6" borderId="6" xfId="0" applyFont="1" applyFill="1" applyBorder="1" applyAlignment="1">
      <alignment horizontal="justify" vertical="center"/>
    </xf>
    <xf numFmtId="0" fontId="7" fillId="6" borderId="6" xfId="0" applyFont="1" applyFill="1" applyBorder="1" applyAlignment="1">
      <alignment vertical="center" wrapText="1"/>
    </xf>
    <xf numFmtId="0" fontId="23" fillId="6" borderId="6" xfId="0" applyFont="1" applyFill="1" applyBorder="1" applyAlignment="1">
      <alignment vertical="center"/>
    </xf>
    <xf numFmtId="0" fontId="23" fillId="6" borderId="6" xfId="0" applyFont="1" applyFill="1" applyBorder="1" applyAlignment="1">
      <alignment horizontal="center" vertical="center"/>
    </xf>
    <xf numFmtId="10" fontId="23" fillId="6" borderId="6" xfId="0" applyNumberFormat="1" applyFont="1" applyFill="1" applyBorder="1" applyAlignment="1">
      <alignment horizontal="center" vertical="center"/>
    </xf>
    <xf numFmtId="172" fontId="23" fillId="0" borderId="6" xfId="0" applyNumberFormat="1" applyFont="1" applyBorder="1" applyAlignment="1">
      <alignment horizontal="right" vertical="center"/>
    </xf>
    <xf numFmtId="172" fontId="23" fillId="0" borderId="6" xfId="0" applyNumberFormat="1" applyFont="1" applyBorder="1" applyAlignment="1">
      <alignment horizontal="center" vertical="center"/>
    </xf>
    <xf numFmtId="0" fontId="7" fillId="6" borderId="6" xfId="0" applyFont="1" applyFill="1" applyBorder="1" applyAlignment="1">
      <alignment horizontal="justify" vertical="center" wrapText="1"/>
    </xf>
    <xf numFmtId="172" fontId="22" fillId="15" borderId="0" xfId="0" applyNumberFormat="1" applyFont="1" applyFill="1" applyAlignment="1">
      <alignment vertical="center" wrapText="1"/>
    </xf>
    <xf numFmtId="3" fontId="22" fillId="15" borderId="0" xfId="0" applyNumberFormat="1" applyFont="1" applyFill="1" applyAlignment="1">
      <alignment vertical="center" wrapText="1"/>
    </xf>
    <xf numFmtId="0" fontId="6" fillId="14" borderId="15" xfId="0" applyFont="1" applyFill="1" applyBorder="1" applyAlignment="1">
      <alignment horizontal="justify" vertical="center" wrapText="1"/>
    </xf>
    <xf numFmtId="0" fontId="6" fillId="15" borderId="9" xfId="0" applyFont="1" applyFill="1" applyBorder="1" applyAlignment="1">
      <alignment horizontal="justify" vertical="center" wrapText="1"/>
    </xf>
    <xf numFmtId="0" fontId="6" fillId="14" borderId="0" xfId="0" applyFont="1" applyFill="1" applyAlignment="1">
      <alignment horizontal="justify" vertical="center" wrapText="1"/>
    </xf>
    <xf numFmtId="0" fontId="6" fillId="14" borderId="11" xfId="0" applyFont="1" applyFill="1" applyBorder="1" applyAlignment="1">
      <alignment horizontal="justify" vertical="center" wrapText="1"/>
    </xf>
    <xf numFmtId="0" fontId="23" fillId="14" borderId="15" xfId="0" applyFont="1" applyFill="1" applyBorder="1" applyAlignment="1">
      <alignment horizontal="justify" vertical="center" wrapText="1"/>
    </xf>
    <xf numFmtId="0" fontId="28" fillId="15" borderId="15" xfId="0" applyFont="1" applyFill="1" applyBorder="1" applyAlignment="1">
      <alignment horizontal="justify" vertical="center" wrapText="1"/>
    </xf>
    <xf numFmtId="0" fontId="27" fillId="15" borderId="15" xfId="0" applyFont="1" applyFill="1" applyBorder="1" applyAlignment="1">
      <alignment horizontal="justify" vertical="center" wrapText="1"/>
    </xf>
    <xf numFmtId="0" fontId="28" fillId="15" borderId="11" xfId="0" applyFont="1" applyFill="1" applyBorder="1" applyAlignment="1">
      <alignment horizontal="justify" vertical="center" wrapText="1"/>
    </xf>
    <xf numFmtId="171" fontId="27" fillId="6" borderId="6" xfId="0" applyNumberFormat="1" applyFont="1" applyFill="1" applyBorder="1" applyAlignment="1">
      <alignment horizontal="justify" vertical="center" wrapText="1"/>
    </xf>
    <xf numFmtId="0" fontId="27" fillId="6" borderId="6" xfId="0" applyFont="1" applyFill="1" applyBorder="1" applyAlignment="1">
      <alignment horizontal="justify" vertical="center" wrapText="1"/>
    </xf>
    <xf numFmtId="0" fontId="27" fillId="6" borderId="6" xfId="0" applyFont="1" applyFill="1" applyBorder="1" applyAlignment="1">
      <alignment vertical="center" wrapText="1"/>
    </xf>
    <xf numFmtId="0" fontId="23" fillId="7" borderId="15" xfId="0" applyFont="1" applyFill="1" applyBorder="1" applyAlignment="1">
      <alignment horizontal="justify" vertical="center" wrapText="1"/>
    </xf>
    <xf numFmtId="1" fontId="23" fillId="7" borderId="15" xfId="0" applyNumberFormat="1" applyFont="1" applyFill="1" applyBorder="1" applyAlignment="1">
      <alignment horizontal="justify" vertical="center" wrapText="1"/>
    </xf>
    <xf numFmtId="0" fontId="23" fillId="17" borderId="9" xfId="0" applyFont="1" applyFill="1" applyBorder="1" applyAlignment="1">
      <alignment horizontal="justify" vertical="center" wrapText="1"/>
    </xf>
    <xf numFmtId="1" fontId="23" fillId="17" borderId="9" xfId="0" applyNumberFormat="1" applyFont="1" applyFill="1" applyBorder="1" applyAlignment="1">
      <alignment horizontal="justify" vertical="center" wrapText="1"/>
    </xf>
    <xf numFmtId="0" fontId="22" fillId="6" borderId="0" xfId="0" applyFont="1" applyFill="1" applyAlignment="1">
      <alignment horizontal="justify" vertical="top" wrapText="1"/>
    </xf>
    <xf numFmtId="9" fontId="22" fillId="6" borderId="0" xfId="0" applyNumberFormat="1" applyFont="1" applyFill="1" applyAlignment="1">
      <alignment horizontal="center" vertical="center" wrapText="1"/>
    </xf>
    <xf numFmtId="1" fontId="22" fillId="6" borderId="0" xfId="0" applyNumberFormat="1" applyFont="1" applyFill="1" applyAlignment="1">
      <alignment horizontal="justify" vertical="center" wrapText="1"/>
    </xf>
    <xf numFmtId="14" fontId="22" fillId="0" borderId="0" xfId="0" applyNumberFormat="1" applyFont="1" applyAlignment="1">
      <alignment horizontal="center" vertical="center"/>
    </xf>
    <xf numFmtId="185" fontId="7" fillId="6" borderId="6" xfId="0" applyNumberFormat="1" applyFont="1" applyFill="1" applyBorder="1" applyAlignment="1">
      <alignment horizontal="center" vertical="center" wrapText="1"/>
    </xf>
    <xf numFmtId="0" fontId="7" fillId="6" borderId="6" xfId="0" applyFont="1" applyFill="1" applyBorder="1" applyAlignment="1">
      <alignment vertical="center"/>
    </xf>
    <xf numFmtId="14" fontId="7" fillId="6" borderId="6" xfId="0" applyNumberFormat="1" applyFont="1" applyFill="1" applyBorder="1" applyAlignment="1">
      <alignment horizontal="right" vertical="center"/>
    </xf>
    <xf numFmtId="14" fontId="7" fillId="6" borderId="6" xfId="0" applyNumberFormat="1" applyFont="1" applyFill="1" applyBorder="1" applyAlignment="1">
      <alignment horizontal="left" vertical="center"/>
    </xf>
    <xf numFmtId="0" fontId="7" fillId="6" borderId="6" xfId="0" applyFont="1" applyFill="1" applyBorder="1" applyAlignment="1">
      <alignment horizontal="left" vertical="center"/>
    </xf>
    <xf numFmtId="0" fontId="41" fillId="0" borderId="0" xfId="0" applyFont="1"/>
    <xf numFmtId="0" fontId="42" fillId="0" borderId="0" xfId="0" applyFont="1"/>
    <xf numFmtId="0" fontId="42" fillId="0" borderId="0" xfId="0" applyFont="1" applyAlignment="1">
      <alignment horizontal="center"/>
    </xf>
    <xf numFmtId="0" fontId="43" fillId="0" borderId="0" xfId="0" applyFont="1"/>
    <xf numFmtId="0" fontId="44" fillId="0" borderId="0" xfId="0" applyFont="1"/>
    <xf numFmtId="0" fontId="44" fillId="0" borderId="0" xfId="0" applyFont="1" applyAlignment="1">
      <alignment horizontal="center"/>
    </xf>
    <xf numFmtId="172" fontId="22" fillId="0" borderId="6" xfId="0" applyNumberFormat="1" applyFont="1" applyBorder="1" applyAlignment="1">
      <alignment horizontal="right" vertical="center"/>
    </xf>
    <xf numFmtId="172" fontId="22" fillId="0" borderId="6" xfId="0" applyNumberFormat="1" applyFont="1" applyBorder="1" applyAlignment="1">
      <alignment horizontal="center"/>
    </xf>
    <xf numFmtId="0" fontId="22" fillId="0" borderId="6" xfId="0" applyFont="1" applyBorder="1" applyAlignment="1">
      <alignment horizontal="justify" vertical="center"/>
    </xf>
    <xf numFmtId="171" fontId="23" fillId="6" borderId="6" xfId="0" applyNumberFormat="1" applyFont="1" applyFill="1" applyBorder="1" applyAlignment="1">
      <alignment vertical="center"/>
    </xf>
    <xf numFmtId="1" fontId="4" fillId="0" borderId="51" xfId="0" applyNumberFormat="1" applyFont="1" applyBorder="1" applyAlignment="1">
      <alignment horizontal="justify"/>
    </xf>
    <xf numFmtId="0" fontId="4" fillId="0" borderId="51" xfId="0" applyFont="1" applyBorder="1" applyAlignment="1">
      <alignment horizontal="justify"/>
    </xf>
    <xf numFmtId="0" fontId="4" fillId="0" borderId="51" xfId="0" applyFont="1" applyBorder="1"/>
    <xf numFmtId="0" fontId="28" fillId="15" borderId="9" xfId="0" applyFont="1" applyFill="1" applyBorder="1" applyAlignment="1">
      <alignment horizontal="justify" vertical="center"/>
    </xf>
    <xf numFmtId="0" fontId="28" fillId="15" borderId="51" xfId="0" applyFont="1" applyFill="1" applyBorder="1" applyAlignment="1">
      <alignment horizontal="center" vertical="center"/>
    </xf>
    <xf numFmtId="0" fontId="33" fillId="0" borderId="52" xfId="0" applyFont="1" applyBorder="1" applyAlignment="1">
      <alignment horizontal="center" vertical="center" wrapText="1"/>
    </xf>
    <xf numFmtId="43" fontId="4" fillId="14" borderId="9" xfId="7" applyNumberFormat="1" applyFont="1" applyFill="1" applyBorder="1" applyAlignment="1">
      <alignment horizontal="right" vertical="center"/>
    </xf>
    <xf numFmtId="43" fontId="4" fillId="17" borderId="11" xfId="7" applyNumberFormat="1" applyFont="1" applyFill="1" applyBorder="1" applyAlignment="1">
      <alignment horizontal="right" vertical="center"/>
    </xf>
    <xf numFmtId="43" fontId="6" fillId="6" borderId="32" xfId="4" applyFont="1" applyFill="1" applyBorder="1" applyAlignment="1">
      <alignment horizontal="right" vertical="center"/>
    </xf>
    <xf numFmtId="43" fontId="4" fillId="6" borderId="0" xfId="7" applyNumberFormat="1" applyFont="1" applyFill="1" applyAlignment="1">
      <alignment horizontal="right" vertical="center"/>
    </xf>
    <xf numFmtId="0" fontId="4" fillId="0" borderId="22" xfId="0" applyFont="1" applyBorder="1" applyAlignment="1">
      <alignment horizontal="justify" vertical="center"/>
    </xf>
    <xf numFmtId="1" fontId="4" fillId="6" borderId="51" xfId="0" applyNumberFormat="1" applyFont="1" applyFill="1" applyBorder="1" applyAlignment="1">
      <alignment horizontal="center" vertical="center"/>
    </xf>
    <xf numFmtId="174" fontId="6" fillId="14" borderId="0" xfId="0" applyNumberFormat="1" applyFont="1" applyFill="1" applyAlignment="1">
      <alignment horizontal="center" vertical="center"/>
    </xf>
    <xf numFmtId="41" fontId="4" fillId="0" borderId="51" xfId="4" applyNumberFormat="1" applyFont="1" applyBorder="1" applyAlignment="1">
      <alignment horizontal="right" vertical="center" wrapText="1"/>
    </xf>
    <xf numFmtId="0" fontId="6" fillId="15" borderId="51" xfId="0" applyFont="1" applyFill="1" applyBorder="1" applyAlignment="1">
      <alignment horizontal="justify" vertical="center"/>
    </xf>
    <xf numFmtId="0" fontId="6" fillId="15" borderId="51" xfId="0" applyFont="1" applyFill="1" applyBorder="1" applyAlignment="1">
      <alignment horizontal="left" vertical="center"/>
    </xf>
    <xf numFmtId="43" fontId="6" fillId="15" borderId="51" xfId="4" applyFont="1" applyFill="1" applyBorder="1" applyAlignment="1">
      <alignment horizontal="justify" vertical="center"/>
    </xf>
    <xf numFmtId="43" fontId="4" fillId="0" borderId="53" xfId="4" applyFont="1" applyBorder="1" applyAlignment="1">
      <alignment horizontal="center" vertical="center"/>
    </xf>
    <xf numFmtId="1" fontId="4" fillId="6" borderId="53" xfId="0" applyNumberFormat="1" applyFont="1" applyFill="1" applyBorder="1" applyAlignment="1">
      <alignment horizontal="center" vertical="center"/>
    </xf>
    <xf numFmtId="174" fontId="4" fillId="0" borderId="51" xfId="4" applyNumberFormat="1" applyFont="1" applyBorder="1" applyAlignment="1">
      <alignment horizontal="center" vertical="center"/>
    </xf>
    <xf numFmtId="43" fontId="6" fillId="15" borderId="11" xfId="4" applyFont="1" applyFill="1" applyBorder="1" applyAlignment="1">
      <alignment horizontal="justify" vertical="center"/>
    </xf>
    <xf numFmtId="43" fontId="6" fillId="14" borderId="9" xfId="4" applyFont="1" applyFill="1" applyBorder="1" applyAlignment="1">
      <alignment horizontal="justify" vertical="center"/>
    </xf>
    <xf numFmtId="0" fontId="14" fillId="0" borderId="51" xfId="0" applyFont="1" applyBorder="1" applyAlignment="1">
      <alignment horizontal="center" vertical="center"/>
    </xf>
    <xf numFmtId="43" fontId="4" fillId="16" borderId="0" xfId="7" applyNumberFormat="1" applyFont="1" applyFill="1" applyAlignment="1">
      <alignment horizontal="right" vertical="center"/>
    </xf>
    <xf numFmtId="1" fontId="4" fillId="16" borderId="0" xfId="0" applyNumberFormat="1" applyFont="1" applyFill="1" applyAlignment="1">
      <alignment horizontal="center" vertical="center"/>
    </xf>
    <xf numFmtId="0" fontId="4" fillId="16" borderId="0" xfId="0" applyFont="1" applyFill="1" applyAlignment="1">
      <alignment horizontal="center" vertical="center"/>
    </xf>
    <xf numFmtId="0" fontId="4" fillId="0" borderId="58" xfId="0" applyFont="1" applyBorder="1" applyAlignment="1">
      <alignment horizontal="justify"/>
    </xf>
    <xf numFmtId="174" fontId="6" fillId="15" borderId="20" xfId="0" applyNumberFormat="1" applyFont="1" applyFill="1" applyBorder="1" applyAlignment="1">
      <alignment horizontal="center" vertical="center"/>
    </xf>
    <xf numFmtId="0" fontId="6" fillId="15" borderId="20" xfId="0" applyFont="1" applyFill="1" applyBorder="1" applyAlignment="1">
      <alignment vertical="center"/>
    </xf>
    <xf numFmtId="0" fontId="4" fillId="6" borderId="52" xfId="0" applyFont="1" applyFill="1" applyBorder="1" applyAlignment="1">
      <alignment vertical="center" wrapText="1"/>
    </xf>
    <xf numFmtId="1" fontId="4" fillId="6" borderId="59" xfId="0" applyNumberFormat="1" applyFont="1" applyFill="1" applyBorder="1" applyAlignment="1">
      <alignment horizontal="center" vertical="center" wrapText="1"/>
    </xf>
    <xf numFmtId="1" fontId="22" fillId="6" borderId="51" xfId="0" applyNumberFormat="1" applyFont="1" applyFill="1" applyBorder="1" applyAlignment="1">
      <alignment horizontal="center" vertical="center" wrapText="1"/>
    </xf>
    <xf numFmtId="0" fontId="22" fillId="6" borderId="51" xfId="0" applyFont="1" applyFill="1" applyBorder="1" applyAlignment="1">
      <alignment vertical="center" wrapText="1"/>
    </xf>
    <xf numFmtId="0" fontId="22" fillId="6" borderId="51" xfId="0" applyFont="1" applyFill="1" applyBorder="1" applyAlignment="1">
      <alignment horizontal="center" vertical="center"/>
    </xf>
    <xf numFmtId="0" fontId="22" fillId="0" borderId="51" xfId="0" applyFont="1" applyBorder="1" applyAlignment="1">
      <alignment horizontal="center" vertical="center"/>
    </xf>
    <xf numFmtId="1" fontId="22" fillId="6" borderId="12" xfId="0" applyNumberFormat="1" applyFont="1" applyFill="1" applyBorder="1" applyAlignment="1">
      <alignment horizontal="center" vertical="center" wrapText="1"/>
    </xf>
    <xf numFmtId="0" fontId="22" fillId="6" borderId="52" xfId="0" applyFont="1" applyFill="1" applyBorder="1" applyAlignment="1">
      <alignment horizontal="center" vertical="center"/>
    </xf>
    <xf numFmtId="1" fontId="22" fillId="15" borderId="9" xfId="0" applyNumberFormat="1" applyFont="1" applyFill="1" applyBorder="1" applyAlignment="1">
      <alignment horizontal="center" vertical="center" wrapText="1"/>
    </xf>
    <xf numFmtId="0" fontId="27" fillId="6" borderId="27" xfId="0" applyFont="1" applyFill="1" applyBorder="1" applyAlignment="1">
      <alignment horizontal="justify" vertical="center" wrapText="1"/>
    </xf>
    <xf numFmtId="1" fontId="22" fillId="6" borderId="13" xfId="0" applyNumberFormat="1" applyFont="1" applyFill="1" applyBorder="1" applyAlignment="1">
      <alignment horizontal="center" vertical="center" wrapText="1"/>
    </xf>
    <xf numFmtId="0" fontId="24" fillId="0" borderId="54" xfId="0" applyFont="1" applyBorder="1" applyAlignment="1">
      <alignment horizontal="center" vertical="center" wrapText="1"/>
    </xf>
    <xf numFmtId="0" fontId="24" fillId="0" borderId="54" xfId="0" applyFont="1" applyBorder="1" applyAlignment="1">
      <alignment horizontal="justify" vertical="center" wrapText="1"/>
    </xf>
    <xf numFmtId="0" fontId="33" fillId="6" borderId="51" xfId="0" applyFont="1" applyFill="1" applyBorder="1" applyAlignment="1">
      <alignment vertical="center" wrapText="1"/>
    </xf>
    <xf numFmtId="0" fontId="7" fillId="6" borderId="51" xfId="0" applyFont="1" applyFill="1" applyBorder="1" applyAlignment="1">
      <alignment horizontal="center" vertical="center"/>
    </xf>
    <xf numFmtId="0" fontId="8" fillId="0" borderId="12" xfId="0" applyFont="1" applyBorder="1" applyAlignment="1">
      <alignment horizontal="justify" vertical="center" wrapText="1"/>
    </xf>
    <xf numFmtId="0" fontId="28" fillId="15" borderId="27" xfId="0" applyFont="1" applyFill="1" applyBorder="1" applyAlignment="1">
      <alignment horizontal="justify" vertical="center" wrapText="1"/>
    </xf>
    <xf numFmtId="0" fontId="28" fillId="15" borderId="27" xfId="0" applyFont="1" applyFill="1" applyBorder="1" applyAlignment="1">
      <alignment horizontal="left" vertical="center" wrapText="1"/>
    </xf>
    <xf numFmtId="0" fontId="23" fillId="7" borderId="11" xfId="0" applyFont="1" applyFill="1" applyBorder="1" applyAlignment="1">
      <alignment vertical="center"/>
    </xf>
    <xf numFmtId="0" fontId="23" fillId="7" borderId="11" xfId="0" applyFont="1" applyFill="1" applyBorder="1" applyAlignment="1">
      <alignment horizontal="justify" vertical="center" wrapText="1"/>
    </xf>
    <xf numFmtId="0" fontId="23" fillId="7" borderId="11" xfId="0" applyFont="1" applyFill="1" applyBorder="1" applyAlignment="1">
      <alignment horizontal="center" vertical="center"/>
    </xf>
    <xf numFmtId="0" fontId="23" fillId="7" borderId="11" xfId="0" applyFont="1" applyFill="1" applyBorder="1" applyAlignment="1">
      <alignment horizontal="justify" vertical="center"/>
    </xf>
    <xf numFmtId="1" fontId="23" fillId="7" borderId="11" xfId="0" applyNumberFormat="1" applyFont="1" applyFill="1" applyBorder="1" applyAlignment="1">
      <alignment horizontal="justify" vertical="center" wrapText="1"/>
    </xf>
    <xf numFmtId="0" fontId="22" fillId="6" borderId="16" xfId="0" applyFont="1" applyFill="1" applyBorder="1" applyAlignment="1">
      <alignment horizontal="justify" vertical="center" wrapText="1"/>
    </xf>
    <xf numFmtId="1" fontId="23" fillId="7" borderId="19" xfId="0" applyNumberFormat="1" applyFont="1" applyFill="1" applyBorder="1" applyAlignment="1">
      <alignment horizontal="left" vertical="center" wrapText="1" indent="1"/>
    </xf>
    <xf numFmtId="170" fontId="23" fillId="7" borderId="11" xfId="0" applyNumberFormat="1" applyFont="1" applyFill="1" applyBorder="1" applyAlignment="1">
      <alignment horizontal="center" vertical="center"/>
    </xf>
    <xf numFmtId="10" fontId="22" fillId="15" borderId="51" xfId="0" applyNumberFormat="1" applyFont="1" applyFill="1" applyBorder="1" applyAlignment="1">
      <alignment horizontal="center" vertical="center"/>
    </xf>
    <xf numFmtId="10" fontId="22" fillId="15" borderId="54" xfId="0" applyNumberFormat="1" applyFont="1" applyFill="1" applyBorder="1" applyAlignment="1">
      <alignment horizontal="center" vertical="center"/>
    </xf>
    <xf numFmtId="43" fontId="10" fillId="0" borderId="0" xfId="0" applyNumberFormat="1" applyFont="1"/>
    <xf numFmtId="0" fontId="13" fillId="0" borderId="0" xfId="0" applyFont="1" applyAlignment="1">
      <alignment horizontal="justify" vertical="center" wrapText="1"/>
    </xf>
    <xf numFmtId="0" fontId="10" fillId="0" borderId="0" xfId="0" applyFont="1" applyAlignment="1">
      <alignment horizontal="justify" vertical="center" wrapText="1"/>
    </xf>
    <xf numFmtId="174" fontId="4" fillId="0" borderId="20" xfId="4" applyNumberFormat="1" applyFont="1" applyBorder="1" applyAlignment="1">
      <alignment horizontal="center" vertical="center" wrapText="1"/>
    </xf>
    <xf numFmtId="0" fontId="23" fillId="0" borderId="4" xfId="0" applyFont="1" applyBorder="1" applyAlignment="1">
      <alignment horizontal="justify"/>
    </xf>
    <xf numFmtId="168" fontId="23" fillId="0" borderId="7" xfId="0" applyNumberFormat="1" applyFont="1" applyBorder="1" applyAlignment="1">
      <alignment horizontal="justify"/>
    </xf>
    <xf numFmtId="17" fontId="23" fillId="0" borderId="7" xfId="0" applyNumberFormat="1" applyFont="1" applyBorder="1" applyAlignment="1">
      <alignment horizontal="justify"/>
    </xf>
    <xf numFmtId="3" fontId="27" fillId="2" borderId="7" xfId="0" applyNumberFormat="1" applyFont="1" applyFill="1" applyBorder="1" applyAlignment="1">
      <alignment horizontal="justify" vertical="center" wrapText="1"/>
    </xf>
    <xf numFmtId="0" fontId="27" fillId="3" borderId="14" xfId="0" applyFont="1" applyFill="1" applyBorder="1" applyAlignment="1">
      <alignment horizontal="center" vertical="center" textRotation="90" wrapText="1"/>
    </xf>
    <xf numFmtId="0" fontId="23" fillId="13" borderId="38" xfId="25" applyFont="1" applyFill="1" applyBorder="1" applyAlignment="1">
      <alignment horizontal="center" vertical="center" wrapText="1"/>
    </xf>
    <xf numFmtId="0" fontId="23" fillId="13" borderId="15" xfId="25" applyFont="1" applyFill="1" applyBorder="1" applyAlignment="1">
      <alignment vertical="center"/>
    </xf>
    <xf numFmtId="0" fontId="23" fillId="13" borderId="15" xfId="25" applyFont="1" applyFill="1" applyBorder="1" applyAlignment="1">
      <alignment horizontal="justify" vertical="center"/>
    </xf>
    <xf numFmtId="0" fontId="23" fillId="13" borderId="15" xfId="25" applyFont="1" applyFill="1" applyBorder="1" applyAlignment="1">
      <alignment horizontal="center" vertical="center"/>
    </xf>
    <xf numFmtId="0" fontId="22" fillId="13" borderId="15" xfId="25" applyFont="1" applyFill="1" applyBorder="1" applyAlignment="1">
      <alignment vertical="center"/>
    </xf>
    <xf numFmtId="0" fontId="23" fillId="13" borderId="15" xfId="4" applyNumberFormat="1" applyFont="1" applyFill="1" applyBorder="1" applyAlignment="1">
      <alignment vertical="center"/>
    </xf>
    <xf numFmtId="174" fontId="23" fillId="13" borderId="15" xfId="4" applyNumberFormat="1" applyFont="1" applyFill="1" applyBorder="1" applyAlignment="1">
      <alignment vertical="center"/>
    </xf>
    <xf numFmtId="0" fontId="23" fillId="13" borderId="15" xfId="4" applyNumberFormat="1" applyFont="1" applyFill="1" applyBorder="1" applyAlignment="1">
      <alignment horizontal="center" vertical="center"/>
    </xf>
    <xf numFmtId="0" fontId="23" fillId="13" borderId="17" xfId="25" applyFont="1" applyFill="1" applyBorder="1" applyAlignment="1">
      <alignment vertical="center"/>
    </xf>
    <xf numFmtId="0" fontId="22" fillId="0" borderId="0" xfId="25" applyFont="1"/>
    <xf numFmtId="0" fontId="23" fillId="14" borderId="11" xfId="25" applyFont="1" applyFill="1" applyBorder="1" applyAlignment="1">
      <alignment horizontal="center" vertical="center"/>
    </xf>
    <xf numFmtId="0" fontId="23" fillId="14" borderId="11" xfId="25" applyFont="1" applyFill="1" applyBorder="1" applyAlignment="1">
      <alignment vertical="center"/>
    </xf>
    <xf numFmtId="0" fontId="23" fillId="14" borderId="15" xfId="25" applyFont="1" applyFill="1" applyBorder="1" applyAlignment="1">
      <alignment vertical="center"/>
    </xf>
    <xf numFmtId="0" fontId="23" fillId="14" borderId="15" xfId="25" applyFont="1" applyFill="1" applyBorder="1" applyAlignment="1">
      <alignment horizontal="justify" vertical="center"/>
    </xf>
    <xf numFmtId="0" fontId="23" fillId="14" borderId="15" xfId="25" applyFont="1" applyFill="1" applyBorder="1" applyAlignment="1">
      <alignment horizontal="center" vertical="center"/>
    </xf>
    <xf numFmtId="0" fontId="22" fillId="14" borderId="15" xfId="25" applyFont="1" applyFill="1" applyBorder="1" applyAlignment="1">
      <alignment vertical="center"/>
    </xf>
    <xf numFmtId="0" fontId="23" fillId="14" borderId="15" xfId="4" applyNumberFormat="1" applyFont="1" applyFill="1" applyBorder="1" applyAlignment="1">
      <alignment vertical="center"/>
    </xf>
    <xf numFmtId="174" fontId="23" fillId="14" borderId="15" xfId="4" applyNumberFormat="1" applyFont="1" applyFill="1" applyBorder="1" applyAlignment="1">
      <alignment vertical="center"/>
    </xf>
    <xf numFmtId="0" fontId="23" fillId="14" borderId="15" xfId="4" applyNumberFormat="1" applyFont="1" applyFill="1" applyBorder="1" applyAlignment="1">
      <alignment horizontal="center" vertical="center"/>
    </xf>
    <xf numFmtId="0" fontId="23" fillId="14" borderId="17" xfId="25" applyFont="1" applyFill="1" applyBorder="1" applyAlignment="1">
      <alignment vertical="center"/>
    </xf>
    <xf numFmtId="0" fontId="23" fillId="0" borderId="5" xfId="25" applyFont="1" applyBorder="1" applyAlignment="1">
      <alignment vertical="center" wrapText="1"/>
    </xf>
    <xf numFmtId="0" fontId="23" fillId="0" borderId="0" xfId="25" applyFont="1" applyAlignment="1">
      <alignment vertical="center" wrapText="1"/>
    </xf>
    <xf numFmtId="0" fontId="23" fillId="0" borderId="25" xfId="25" applyFont="1" applyBorder="1" applyAlignment="1">
      <alignment vertical="center" wrapText="1"/>
    </xf>
    <xf numFmtId="0" fontId="23" fillId="0" borderId="11" xfId="25" applyFont="1" applyBorder="1" applyAlignment="1">
      <alignment vertical="center" wrapText="1"/>
    </xf>
    <xf numFmtId="0" fontId="23" fillId="0" borderId="12" xfId="25" applyFont="1" applyBorder="1" applyAlignment="1">
      <alignment vertical="center" wrapText="1"/>
    </xf>
    <xf numFmtId="0" fontId="23" fillId="18" borderId="15" xfId="25" applyFont="1" applyFill="1" applyBorder="1" applyAlignment="1">
      <alignment horizontal="center" vertical="center" wrapText="1"/>
    </xf>
    <xf numFmtId="0" fontId="23" fillId="18" borderId="15" xfId="25" applyFont="1" applyFill="1" applyBorder="1" applyAlignment="1">
      <alignment vertical="center"/>
    </xf>
    <xf numFmtId="0" fontId="23" fillId="18" borderId="15" xfId="25" applyFont="1" applyFill="1" applyBorder="1" applyAlignment="1">
      <alignment horizontal="justify" vertical="center"/>
    </xf>
    <xf numFmtId="0" fontId="23" fillId="18" borderId="15" xfId="25" applyFont="1" applyFill="1" applyBorder="1" applyAlignment="1">
      <alignment horizontal="center" vertical="center"/>
    </xf>
    <xf numFmtId="0" fontId="22" fillId="18" borderId="15" xfId="25" applyFont="1" applyFill="1" applyBorder="1" applyAlignment="1">
      <alignment vertical="center"/>
    </xf>
    <xf numFmtId="0" fontId="23" fillId="18" borderId="15" xfId="4" applyNumberFormat="1" applyFont="1" applyFill="1" applyBorder="1" applyAlignment="1">
      <alignment vertical="center"/>
    </xf>
    <xf numFmtId="174" fontId="23" fillId="18" borderId="15" xfId="4" applyNumberFormat="1" applyFont="1" applyFill="1" applyBorder="1" applyAlignment="1">
      <alignment vertical="center"/>
    </xf>
    <xf numFmtId="0" fontId="23" fillId="18" borderId="15" xfId="4" applyNumberFormat="1" applyFont="1" applyFill="1" applyBorder="1" applyAlignment="1">
      <alignment horizontal="center" vertical="center"/>
    </xf>
    <xf numFmtId="0" fontId="23" fillId="18" borderId="17" xfId="25" applyFont="1" applyFill="1" applyBorder="1" applyAlignment="1">
      <alignment vertical="center"/>
    </xf>
    <xf numFmtId="0" fontId="22" fillId="6" borderId="5" xfId="25" applyFont="1" applyFill="1" applyBorder="1" applyAlignment="1">
      <alignment vertical="center" wrapText="1"/>
    </xf>
    <xf numFmtId="0" fontId="22" fillId="6" borderId="0" xfId="25" applyFont="1" applyFill="1" applyAlignment="1">
      <alignment vertical="center" wrapText="1"/>
    </xf>
    <xf numFmtId="0" fontId="22" fillId="6" borderId="25" xfId="25" applyFont="1" applyFill="1" applyBorder="1" applyAlignment="1">
      <alignment vertical="center" wrapText="1"/>
    </xf>
    <xf numFmtId="0" fontId="22" fillId="6" borderId="19" xfId="25" applyFont="1" applyFill="1" applyBorder="1" applyAlignment="1">
      <alignment vertical="center" wrapText="1"/>
    </xf>
    <xf numFmtId="0" fontId="22" fillId="6" borderId="11" xfId="25" applyFont="1" applyFill="1" applyBorder="1" applyAlignment="1">
      <alignment vertical="center" wrapText="1"/>
    </xf>
    <xf numFmtId="0" fontId="22" fillId="6" borderId="12" xfId="25" applyFont="1" applyFill="1" applyBorder="1" applyAlignment="1">
      <alignment vertical="center" wrapText="1"/>
    </xf>
    <xf numFmtId="43" fontId="24" fillId="6" borderId="6" xfId="4" applyFont="1" applyFill="1" applyBorder="1" applyAlignment="1">
      <alignment horizontal="center" vertical="center" wrapText="1"/>
    </xf>
    <xf numFmtId="1" fontId="22" fillId="6" borderId="6" xfId="25" applyNumberFormat="1" applyFont="1" applyFill="1" applyBorder="1" applyAlignment="1">
      <alignment horizontal="center" vertical="center" wrapText="1"/>
    </xf>
    <xf numFmtId="0" fontId="22" fillId="6" borderId="0" xfId="25" applyFont="1" applyFill="1"/>
    <xf numFmtId="0" fontId="22" fillId="6" borderId="23" xfId="25" applyFont="1" applyFill="1" applyBorder="1" applyAlignment="1">
      <alignment vertical="center" wrapText="1"/>
    </xf>
    <xf numFmtId="49" fontId="22" fillId="6" borderId="6" xfId="26" applyNumberFormat="1" applyFont="1" applyFill="1" applyBorder="1" applyAlignment="1">
      <alignment horizontal="justify" vertical="center" wrapText="1"/>
    </xf>
    <xf numFmtId="0" fontId="22" fillId="6" borderId="9" xfId="25" applyFont="1" applyFill="1" applyBorder="1" applyAlignment="1">
      <alignment vertical="center" wrapText="1"/>
    </xf>
    <xf numFmtId="0" fontId="22" fillId="6" borderId="13" xfId="25" applyFont="1" applyFill="1" applyBorder="1" applyAlignment="1">
      <alignment vertical="center" wrapText="1"/>
    </xf>
    <xf numFmtId="0" fontId="22" fillId="6" borderId="21" xfId="25" applyFont="1" applyFill="1" applyBorder="1" applyAlignment="1">
      <alignment vertical="center" wrapText="1"/>
    </xf>
    <xf numFmtId="0" fontId="22" fillId="0" borderId="25" xfId="25" applyFont="1" applyBorder="1"/>
    <xf numFmtId="0" fontId="23" fillId="14" borderId="15" xfId="25" applyFont="1" applyFill="1" applyBorder="1" applyAlignment="1">
      <alignment horizontal="justify" vertical="center" wrapText="1"/>
    </xf>
    <xf numFmtId="0" fontId="23" fillId="14" borderId="16" xfId="25" applyFont="1" applyFill="1" applyBorder="1" applyAlignment="1">
      <alignment vertical="center"/>
    </xf>
    <xf numFmtId="0" fontId="23" fillId="14" borderId="14" xfId="25" applyFont="1" applyFill="1" applyBorder="1" applyAlignment="1">
      <alignment vertical="center"/>
    </xf>
    <xf numFmtId="43" fontId="23" fillId="14" borderId="15" xfId="4" applyFont="1" applyFill="1" applyBorder="1" applyAlignment="1">
      <alignment horizontal="center" vertical="center"/>
    </xf>
    <xf numFmtId="43" fontId="22" fillId="14" borderId="15" xfId="4" applyFont="1" applyFill="1" applyBorder="1" applyAlignment="1">
      <alignment vertical="center"/>
    </xf>
    <xf numFmtId="1" fontId="23" fillId="14" borderId="15" xfId="25" applyNumberFormat="1" applyFont="1" applyFill="1" applyBorder="1" applyAlignment="1">
      <alignment horizontal="center" vertical="center"/>
    </xf>
    <xf numFmtId="0" fontId="23" fillId="18" borderId="15" xfId="25" applyFont="1" applyFill="1" applyBorder="1" applyAlignment="1">
      <alignment horizontal="justify" vertical="center" wrapText="1"/>
    </xf>
    <xf numFmtId="43" fontId="23" fillId="18" borderId="15" xfId="4" applyFont="1" applyFill="1" applyBorder="1" applyAlignment="1">
      <alignment horizontal="center" vertical="center"/>
    </xf>
    <xf numFmtId="43" fontId="22" fillId="18" borderId="15" xfId="4" applyFont="1" applyFill="1" applyBorder="1" applyAlignment="1">
      <alignment vertical="center"/>
    </xf>
    <xf numFmtId="1" fontId="23" fillId="18" borderId="15" xfId="25" applyNumberFormat="1" applyFont="1" applyFill="1" applyBorder="1" applyAlignment="1">
      <alignment horizontal="center" vertical="center"/>
    </xf>
    <xf numFmtId="0" fontId="23" fillId="6" borderId="5" xfId="25" applyFont="1" applyFill="1" applyBorder="1" applyAlignment="1">
      <alignment vertical="center" wrapText="1"/>
    </xf>
    <xf numFmtId="0" fontId="23" fillId="6" borderId="0" xfId="25" applyFont="1" applyFill="1" applyAlignment="1">
      <alignment vertical="center" wrapText="1"/>
    </xf>
    <xf numFmtId="0" fontId="23" fillId="6" borderId="25" xfId="25" applyFont="1" applyFill="1" applyBorder="1" applyAlignment="1">
      <alignment vertical="center" wrapText="1"/>
    </xf>
    <xf numFmtId="0" fontId="23" fillId="6" borderId="19" xfId="25" applyFont="1" applyFill="1" applyBorder="1" applyAlignment="1">
      <alignment vertical="center" wrapText="1"/>
    </xf>
    <xf numFmtId="0" fontId="23" fillId="6" borderId="11" xfId="25" applyFont="1" applyFill="1" applyBorder="1" applyAlignment="1">
      <alignment vertical="center" wrapText="1"/>
    </xf>
    <xf numFmtId="0" fontId="23" fillId="6" borderId="12" xfId="25" applyFont="1" applyFill="1" applyBorder="1" applyAlignment="1">
      <alignment vertical="center" wrapText="1"/>
    </xf>
    <xf numFmtId="0" fontId="23" fillId="6" borderId="23" xfId="25" applyFont="1" applyFill="1" applyBorder="1" applyAlignment="1">
      <alignment vertical="center" wrapText="1"/>
    </xf>
    <xf numFmtId="0" fontId="23" fillId="6" borderId="21" xfId="25" applyFont="1" applyFill="1" applyBorder="1" applyAlignment="1">
      <alignment vertical="center" wrapText="1"/>
    </xf>
    <xf numFmtId="0" fontId="23" fillId="6" borderId="9" xfId="25" applyFont="1" applyFill="1" applyBorder="1" applyAlignment="1">
      <alignment vertical="center" wrapText="1"/>
    </xf>
    <xf numFmtId="0" fontId="23" fillId="6" borderId="13" xfId="25" applyFont="1" applyFill="1" applyBorder="1" applyAlignment="1">
      <alignment vertical="center" wrapText="1"/>
    </xf>
    <xf numFmtId="0" fontId="22" fillId="6" borderId="6" xfId="25" applyFont="1" applyFill="1" applyBorder="1" applyAlignment="1">
      <alignment horizontal="justify" vertical="center" wrapText="1"/>
    </xf>
    <xf numFmtId="0" fontId="24" fillId="6" borderId="0" xfId="25" applyFont="1" applyFill="1"/>
    <xf numFmtId="0" fontId="24" fillId="22" borderId="0" xfId="25" applyFont="1" applyFill="1"/>
    <xf numFmtId="0" fontId="24" fillId="6" borderId="5" xfId="25" applyFont="1" applyFill="1" applyBorder="1" applyAlignment="1">
      <alignment vertical="center" wrapText="1"/>
    </xf>
    <xf numFmtId="0" fontId="24" fillId="6" borderId="0" xfId="25" applyFont="1" applyFill="1" applyAlignment="1">
      <alignment vertical="center" wrapText="1"/>
    </xf>
    <xf numFmtId="0" fontId="24" fillId="6" borderId="25" xfId="25" applyFont="1" applyFill="1" applyBorder="1" applyAlignment="1">
      <alignment vertical="center" wrapText="1"/>
    </xf>
    <xf numFmtId="0" fontId="24" fillId="6" borderId="19" xfId="25" applyFont="1" applyFill="1" applyBorder="1" applyAlignment="1">
      <alignment vertical="center" wrapText="1"/>
    </xf>
    <xf numFmtId="0" fontId="24" fillId="6" borderId="11" xfId="25" applyFont="1" applyFill="1" applyBorder="1" applyAlignment="1">
      <alignment vertical="center" wrapText="1"/>
    </xf>
    <xf numFmtId="0" fontId="24" fillId="6" borderId="12" xfId="25" applyFont="1" applyFill="1" applyBorder="1" applyAlignment="1">
      <alignment vertical="center" wrapText="1"/>
    </xf>
    <xf numFmtId="0" fontId="24" fillId="6" borderId="23" xfId="25" applyFont="1" applyFill="1" applyBorder="1" applyAlignment="1">
      <alignment vertical="center" wrapText="1"/>
    </xf>
    <xf numFmtId="0" fontId="24" fillId="6" borderId="21" xfId="25" applyFont="1" applyFill="1" applyBorder="1" applyAlignment="1">
      <alignment vertical="center" wrapText="1"/>
    </xf>
    <xf numFmtId="0" fontId="24" fillId="6" borderId="9" xfId="25" applyFont="1" applyFill="1" applyBorder="1" applyAlignment="1">
      <alignment vertical="center" wrapText="1"/>
    </xf>
    <xf numFmtId="0" fontId="24" fillId="6" borderId="13" xfId="25" applyFont="1" applyFill="1" applyBorder="1" applyAlignment="1">
      <alignment vertical="center" wrapText="1"/>
    </xf>
    <xf numFmtId="0" fontId="23" fillId="18" borderId="11" xfId="25" applyFont="1" applyFill="1" applyBorder="1" applyAlignment="1">
      <alignment horizontal="center" vertical="center"/>
    </xf>
    <xf numFmtId="0" fontId="24" fillId="0" borderId="5" xfId="25" applyFont="1" applyBorder="1" applyAlignment="1">
      <alignment vertical="center" wrapText="1"/>
    </xf>
    <xf numFmtId="0" fontId="24" fillId="0" borderId="0" xfId="25" applyFont="1" applyAlignment="1">
      <alignment vertical="center" wrapText="1"/>
    </xf>
    <xf numFmtId="0" fontId="24" fillId="0" borderId="25" xfId="25" applyFont="1" applyBorder="1" applyAlignment="1">
      <alignment vertical="center" wrapText="1"/>
    </xf>
    <xf numFmtId="0" fontId="24" fillId="0" borderId="23" xfId="25" applyFont="1" applyBorder="1" applyAlignment="1">
      <alignment vertical="center" wrapText="1"/>
    </xf>
    <xf numFmtId="0" fontId="24" fillId="0" borderId="0" xfId="25" applyFont="1"/>
    <xf numFmtId="0" fontId="22" fillId="0" borderId="5" xfId="25" applyFont="1" applyBorder="1" applyAlignment="1">
      <alignment vertical="center" wrapText="1"/>
    </xf>
    <xf numFmtId="0" fontId="22" fillId="0" borderId="0" xfId="25" applyFont="1" applyAlignment="1">
      <alignment vertical="center" wrapText="1"/>
    </xf>
    <xf numFmtId="0" fontId="22" fillId="0" borderId="25" xfId="25" applyFont="1" applyBorder="1" applyAlignment="1">
      <alignment vertical="center" wrapText="1"/>
    </xf>
    <xf numFmtId="0" fontId="22" fillId="0" borderId="23" xfId="25" applyFont="1" applyBorder="1" applyAlignment="1">
      <alignment vertical="center" wrapText="1"/>
    </xf>
    <xf numFmtId="0" fontId="22" fillId="0" borderId="22" xfId="25" applyFont="1" applyBorder="1" applyAlignment="1">
      <alignment horizontal="right" vertical="center" wrapText="1"/>
    </xf>
    <xf numFmtId="0" fontId="22" fillId="0" borderId="22" xfId="25" applyFont="1" applyBorder="1" applyAlignment="1">
      <alignment horizontal="right" vertical="center" wrapText="1" indent="1"/>
    </xf>
    <xf numFmtId="0" fontId="22" fillId="0" borderId="21" xfId="25" applyFont="1" applyBorder="1" applyAlignment="1">
      <alignment vertical="center" wrapText="1"/>
    </xf>
    <xf numFmtId="0" fontId="22" fillId="0" borderId="9" xfId="25" applyFont="1" applyBorder="1" applyAlignment="1">
      <alignment vertical="center" wrapText="1"/>
    </xf>
    <xf numFmtId="0" fontId="22" fillId="0" borderId="13" xfId="25" applyFont="1" applyBorder="1" applyAlignment="1">
      <alignment vertical="center" wrapText="1"/>
    </xf>
    <xf numFmtId="1" fontId="23" fillId="18" borderId="11" xfId="25" applyNumberFormat="1" applyFont="1" applyFill="1" applyBorder="1" applyAlignment="1">
      <alignment horizontal="center" vertical="center"/>
    </xf>
    <xf numFmtId="0" fontId="22" fillId="6" borderId="22" xfId="25" applyFont="1" applyFill="1" applyBorder="1" applyAlignment="1">
      <alignment horizontal="center" wrapText="1"/>
    </xf>
    <xf numFmtId="0" fontId="22" fillId="6" borderId="51" xfId="25" applyFont="1" applyFill="1" applyBorder="1" applyAlignment="1">
      <alignment vertical="center" wrapText="1"/>
    </xf>
    <xf numFmtId="0" fontId="22" fillId="22" borderId="0" xfId="25" applyFont="1" applyFill="1"/>
    <xf numFmtId="0" fontId="23" fillId="14" borderId="0" xfId="25" applyFont="1" applyFill="1" applyAlignment="1">
      <alignment horizontal="justify" vertical="center" wrapText="1"/>
    </xf>
    <xf numFmtId="0" fontId="23" fillId="14" borderId="0" xfId="25" applyFont="1" applyFill="1" applyAlignment="1">
      <alignment vertical="center"/>
    </xf>
    <xf numFmtId="0" fontId="23" fillId="14" borderId="9" xfId="25" applyFont="1" applyFill="1" applyBorder="1" applyAlignment="1">
      <alignment vertical="center"/>
    </xf>
    <xf numFmtId="0" fontId="23" fillId="14" borderId="9" xfId="25" applyFont="1" applyFill="1" applyBorder="1" applyAlignment="1">
      <alignment horizontal="justify" vertical="center"/>
    </xf>
    <xf numFmtId="0" fontId="23" fillId="14" borderId="9" xfId="25" applyFont="1" applyFill="1" applyBorder="1" applyAlignment="1">
      <alignment horizontal="center" vertical="center"/>
    </xf>
    <xf numFmtId="43" fontId="23" fillId="14" borderId="9" xfId="4" applyFont="1" applyFill="1" applyBorder="1" applyAlignment="1">
      <alignment horizontal="center" vertical="center"/>
    </xf>
    <xf numFmtId="0" fontId="23" fillId="14" borderId="24" xfId="25" applyFont="1" applyFill="1" applyBorder="1" applyAlignment="1">
      <alignment vertical="center"/>
    </xf>
    <xf numFmtId="0" fontId="22" fillId="6" borderId="6" xfId="25" quotePrefix="1" applyFont="1" applyFill="1" applyBorder="1" applyAlignment="1">
      <alignment horizontal="justify" vertical="center" wrapText="1"/>
    </xf>
    <xf numFmtId="0" fontId="23" fillId="18" borderId="51" xfId="25" applyFont="1" applyFill="1" applyBorder="1" applyAlignment="1">
      <alignment horizontal="justify" vertical="center" wrapText="1"/>
    </xf>
    <xf numFmtId="0" fontId="23" fillId="18" borderId="51" xfId="25" applyFont="1" applyFill="1" applyBorder="1" applyAlignment="1">
      <alignment vertical="center"/>
    </xf>
    <xf numFmtId="0" fontId="23" fillId="18" borderId="11" xfId="25" applyFont="1" applyFill="1" applyBorder="1" applyAlignment="1">
      <alignment vertical="center"/>
    </xf>
    <xf numFmtId="0" fontId="23" fillId="18" borderId="11" xfId="25" applyFont="1" applyFill="1" applyBorder="1" applyAlignment="1">
      <alignment horizontal="justify" vertical="center"/>
    </xf>
    <xf numFmtId="0" fontId="23" fillId="18" borderId="6" xfId="25" applyFont="1" applyFill="1" applyBorder="1" applyAlignment="1">
      <alignment vertical="center"/>
    </xf>
    <xf numFmtId="0" fontId="23" fillId="18" borderId="9" xfId="25" applyFont="1" applyFill="1" applyBorder="1" applyAlignment="1">
      <alignment horizontal="justify" vertical="center" wrapText="1"/>
    </xf>
    <xf numFmtId="0" fontId="23" fillId="18" borderId="9" xfId="25" applyFont="1" applyFill="1" applyBorder="1" applyAlignment="1">
      <alignment vertical="center"/>
    </xf>
    <xf numFmtId="0" fontId="23" fillId="18" borderId="9" xfId="25" applyFont="1" applyFill="1" applyBorder="1" applyAlignment="1">
      <alignment horizontal="justify" vertical="center"/>
    </xf>
    <xf numFmtId="3" fontId="23" fillId="14" borderId="11" xfId="25" applyNumberFormat="1" applyFont="1" applyFill="1" applyBorder="1" applyAlignment="1">
      <alignment horizontal="justify" vertical="center" wrapText="1"/>
    </xf>
    <xf numFmtId="0" fontId="23" fillId="18" borderId="11" xfId="25" applyFont="1" applyFill="1" applyBorder="1" applyAlignment="1">
      <alignment horizontal="justify" vertical="center" wrapText="1"/>
    </xf>
    <xf numFmtId="43" fontId="23" fillId="18" borderId="11" xfId="4" applyFont="1" applyFill="1" applyBorder="1" applyAlignment="1">
      <alignment horizontal="center" vertical="center"/>
    </xf>
    <xf numFmtId="43" fontId="22" fillId="18" borderId="11" xfId="4" applyFont="1" applyFill="1" applyBorder="1" applyAlignment="1">
      <alignment vertical="center"/>
    </xf>
    <xf numFmtId="0" fontId="23" fillId="18" borderId="36" xfId="25" applyFont="1" applyFill="1" applyBorder="1" applyAlignment="1">
      <alignment vertical="center"/>
    </xf>
    <xf numFmtId="0" fontId="22" fillId="6" borderId="6" xfId="25" quotePrefix="1" applyFont="1" applyFill="1" applyBorder="1" applyAlignment="1">
      <alignment horizontal="left" vertical="center" wrapText="1"/>
    </xf>
    <xf numFmtId="0" fontId="22" fillId="6" borderId="20" xfId="25" applyFont="1" applyFill="1" applyBorder="1" applyAlignment="1">
      <alignment vertical="center" wrapText="1"/>
    </xf>
    <xf numFmtId="0" fontId="22" fillId="0" borderId="6" xfId="25" applyFont="1" applyBorder="1" applyAlignment="1">
      <alignment horizontal="center"/>
    </xf>
    <xf numFmtId="0" fontId="22" fillId="0" borderId="0" xfId="25" applyFont="1" applyAlignment="1">
      <alignment horizontal="center"/>
    </xf>
    <xf numFmtId="0" fontId="22" fillId="6" borderId="6" xfId="25" quotePrefix="1" applyFont="1" applyFill="1" applyBorder="1" applyAlignment="1">
      <alignment vertical="center" wrapText="1"/>
    </xf>
    <xf numFmtId="0" fontId="23" fillId="0" borderId="9" xfId="25" applyFont="1" applyBorder="1" applyAlignment="1">
      <alignment vertical="center" wrapText="1"/>
    </xf>
    <xf numFmtId="0" fontId="23" fillId="0" borderId="13" xfId="25" applyFont="1" applyBorder="1" applyAlignment="1">
      <alignment vertical="center" wrapText="1"/>
    </xf>
    <xf numFmtId="0" fontId="22" fillId="6" borderId="14" xfId="25" quotePrefix="1" applyFont="1" applyFill="1" applyBorder="1" applyAlignment="1">
      <alignment vertical="center" wrapText="1"/>
    </xf>
    <xf numFmtId="0" fontId="23" fillId="18" borderId="0" xfId="25" applyFont="1" applyFill="1" applyAlignment="1">
      <alignment horizontal="justify" vertical="center" wrapText="1"/>
    </xf>
    <xf numFmtId="0" fontId="23" fillId="18" borderId="0" xfId="25" applyFont="1" applyFill="1" applyAlignment="1">
      <alignment vertical="center"/>
    </xf>
    <xf numFmtId="43" fontId="22" fillId="18" borderId="9" xfId="4" applyFont="1" applyFill="1" applyBorder="1" applyAlignment="1">
      <alignment vertical="center"/>
    </xf>
    <xf numFmtId="0" fontId="23" fillId="18" borderId="15" xfId="4" applyNumberFormat="1" applyFont="1" applyFill="1" applyBorder="1" applyAlignment="1">
      <alignment horizontal="center" vertical="center" textRotation="180" wrapText="1"/>
    </xf>
    <xf numFmtId="0" fontId="22" fillId="6" borderId="5" xfId="25" applyFont="1" applyFill="1" applyBorder="1" applyAlignment="1">
      <alignment horizontal="center" vertical="center" wrapText="1"/>
    </xf>
    <xf numFmtId="0" fontId="22" fillId="6" borderId="0" xfId="25" applyFont="1" applyFill="1" applyAlignment="1">
      <alignment horizontal="center" vertical="center" wrapText="1"/>
    </xf>
    <xf numFmtId="0" fontId="23" fillId="18" borderId="0" xfId="4" applyNumberFormat="1" applyFont="1" applyFill="1" applyAlignment="1">
      <alignment horizontal="center" vertical="center" textRotation="180" wrapText="1"/>
    </xf>
    <xf numFmtId="0" fontId="24" fillId="6" borderId="6" xfId="26" quotePrefix="1" applyFont="1" applyFill="1" applyBorder="1" applyAlignment="1">
      <alignment horizontal="justify" vertical="center" wrapText="1"/>
    </xf>
    <xf numFmtId="49" fontId="22" fillId="6" borderId="6" xfId="26" quotePrefix="1" applyNumberFormat="1" applyFont="1" applyFill="1" applyBorder="1" applyAlignment="1">
      <alignment horizontal="justify" vertical="center" wrapText="1"/>
    </xf>
    <xf numFmtId="0" fontId="23" fillId="18" borderId="15" xfId="4" applyNumberFormat="1" applyFont="1" applyFill="1" applyBorder="1" applyAlignment="1">
      <alignment vertical="center" textRotation="180" wrapText="1"/>
    </xf>
    <xf numFmtId="174" fontId="23" fillId="18" borderId="15" xfId="4" applyNumberFormat="1" applyFont="1" applyFill="1" applyBorder="1" applyAlignment="1">
      <alignment vertical="center" textRotation="180" wrapText="1"/>
    </xf>
    <xf numFmtId="49" fontId="24" fillId="0" borderId="6" xfId="26" applyNumberFormat="1" applyFont="1" applyBorder="1" applyAlignment="1">
      <alignment horizontal="justify" vertical="center" wrapText="1"/>
    </xf>
    <xf numFmtId="49" fontId="24" fillId="0" borderId="16" xfId="26" applyNumberFormat="1" applyFont="1" applyBorder="1" applyAlignment="1">
      <alignment horizontal="justify" vertical="center" wrapText="1"/>
    </xf>
    <xf numFmtId="0" fontId="22" fillId="6" borderId="52" xfId="25" applyFont="1" applyFill="1" applyBorder="1" applyAlignment="1">
      <alignment vertical="center" wrapText="1"/>
    </xf>
    <xf numFmtId="0" fontId="22" fillId="6" borderId="16" xfId="25" applyFont="1" applyFill="1" applyBorder="1" applyAlignment="1">
      <alignment horizontal="justify" vertical="center" wrapText="1"/>
    </xf>
    <xf numFmtId="0" fontId="22" fillId="0" borderId="6" xfId="25" applyFont="1" applyBorder="1" applyAlignment="1">
      <alignment horizontal="justify" vertical="center" wrapText="1"/>
    </xf>
    <xf numFmtId="0" fontId="22" fillId="0" borderId="20" xfId="25" applyFont="1" applyBorder="1" applyAlignment="1">
      <alignment vertical="center" wrapText="1"/>
    </xf>
    <xf numFmtId="0" fontId="23" fillId="14" borderId="15" xfId="4" applyNumberFormat="1" applyFont="1" applyFill="1" applyBorder="1" applyAlignment="1">
      <alignment vertical="center" textRotation="180" wrapText="1"/>
    </xf>
    <xf numFmtId="174" fontId="23" fillId="14" borderId="15" xfId="4" applyNumberFormat="1" applyFont="1" applyFill="1" applyBorder="1" applyAlignment="1">
      <alignment vertical="center" textRotation="180" wrapText="1"/>
    </xf>
    <xf numFmtId="0" fontId="23" fillId="14" borderId="15" xfId="4" applyNumberFormat="1" applyFont="1" applyFill="1" applyBorder="1" applyAlignment="1">
      <alignment horizontal="center" vertical="center" textRotation="180" wrapText="1"/>
    </xf>
    <xf numFmtId="0" fontId="23" fillId="18" borderId="9" xfId="25" applyFont="1" applyFill="1" applyBorder="1" applyAlignment="1">
      <alignment horizontal="center" vertical="center"/>
    </xf>
    <xf numFmtId="0" fontId="23" fillId="18" borderId="9" xfId="4" applyNumberFormat="1" applyFont="1" applyFill="1" applyBorder="1" applyAlignment="1">
      <alignment vertical="center" textRotation="180" wrapText="1"/>
    </xf>
    <xf numFmtId="174" fontId="23" fillId="18" borderId="9" xfId="4" applyNumberFormat="1" applyFont="1" applyFill="1" applyBorder="1" applyAlignment="1">
      <alignment vertical="center" textRotation="180" wrapText="1"/>
    </xf>
    <xf numFmtId="0" fontId="23" fillId="18" borderId="9" xfId="4" applyNumberFormat="1" applyFont="1" applyFill="1" applyBorder="1" applyAlignment="1">
      <alignment horizontal="center" vertical="center" textRotation="180" wrapText="1"/>
    </xf>
    <xf numFmtId="49" fontId="24" fillId="6" borderId="6" xfId="26" applyNumberFormat="1" applyFont="1" applyFill="1" applyBorder="1" applyAlignment="1">
      <alignment horizontal="justify" vertical="center" wrapText="1"/>
    </xf>
    <xf numFmtId="0" fontId="24" fillId="6" borderId="6" xfId="26" applyFont="1" applyFill="1" applyBorder="1" applyAlignment="1">
      <alignment horizontal="justify" vertical="center" wrapText="1"/>
    </xf>
    <xf numFmtId="0" fontId="24" fillId="6" borderId="20" xfId="26" applyFont="1" applyFill="1" applyBorder="1" applyAlignment="1">
      <alignment horizontal="justify" vertical="center" wrapText="1"/>
    </xf>
    <xf numFmtId="0" fontId="22" fillId="0" borderId="6" xfId="25" applyFont="1" applyBorder="1"/>
    <xf numFmtId="43" fontId="23" fillId="0" borderId="32" xfId="4" applyFont="1" applyBorder="1" applyAlignment="1">
      <alignment horizontal="center" vertical="center"/>
    </xf>
    <xf numFmtId="0" fontId="22" fillId="6" borderId="30" xfId="25" applyFont="1" applyFill="1" applyBorder="1"/>
    <xf numFmtId="0" fontId="22" fillId="6" borderId="31" xfId="25" applyFont="1" applyFill="1" applyBorder="1" applyAlignment="1">
      <alignment horizontal="justify"/>
    </xf>
    <xf numFmtId="0" fontId="22" fillId="6" borderId="33" xfId="25" applyFont="1" applyFill="1" applyBorder="1" applyAlignment="1">
      <alignment horizontal="right" vertical="center"/>
    </xf>
    <xf numFmtId="0" fontId="22" fillId="0" borderId="31" xfId="4" applyNumberFormat="1" applyFont="1" applyBorder="1"/>
    <xf numFmtId="174" fontId="22" fillId="0" borderId="31" xfId="4" applyNumberFormat="1" applyFont="1" applyBorder="1"/>
    <xf numFmtId="0" fontId="22" fillId="0" borderId="31" xfId="4" applyNumberFormat="1" applyFont="1" applyBorder="1" applyAlignment="1">
      <alignment horizontal="center" vertical="center"/>
    </xf>
    <xf numFmtId="0" fontId="22" fillId="0" borderId="31" xfId="25" applyFont="1" applyBorder="1"/>
    <xf numFmtId="0" fontId="22" fillId="0" borderId="33" xfId="25" applyFont="1" applyBorder="1"/>
    <xf numFmtId="0" fontId="22" fillId="6" borderId="0" xfId="25" applyFont="1" applyFill="1" applyAlignment="1">
      <alignment horizontal="justify"/>
    </xf>
    <xf numFmtId="0" fontId="22" fillId="6" borderId="0" xfId="25" applyFont="1" applyFill="1" applyAlignment="1">
      <alignment horizontal="center" vertical="center"/>
    </xf>
    <xf numFmtId="0" fontId="22" fillId="6" borderId="0" xfId="25" applyFont="1" applyFill="1" applyAlignment="1">
      <alignment horizontal="justify" vertical="center"/>
    </xf>
    <xf numFmtId="0" fontId="22" fillId="0" borderId="0" xfId="4" applyNumberFormat="1" applyFont="1"/>
    <xf numFmtId="174" fontId="22" fillId="0" borderId="0" xfId="4" applyNumberFormat="1" applyFont="1"/>
    <xf numFmtId="0" fontId="22" fillId="0" borderId="0" xfId="4" applyNumberFormat="1" applyFont="1" applyAlignment="1">
      <alignment horizontal="center" vertical="center"/>
    </xf>
    <xf numFmtId="165" fontId="22" fillId="6" borderId="0" xfId="25" applyNumberFormat="1" applyFont="1" applyFill="1" applyAlignment="1">
      <alignment horizontal="center"/>
    </xf>
    <xf numFmtId="1" fontId="11" fillId="2" borderId="0" xfId="0" applyNumberFormat="1" applyFont="1" applyFill="1" applyBorder="1" applyAlignment="1">
      <alignment vertical="center" wrapText="1"/>
    </xf>
    <xf numFmtId="0" fontId="11" fillId="2" borderId="0" xfId="0" applyFont="1" applyFill="1" applyBorder="1" applyAlignment="1">
      <alignment vertical="center" wrapText="1"/>
    </xf>
    <xf numFmtId="0" fontId="10" fillId="2" borderId="0" xfId="0" applyFont="1" applyFill="1" applyBorder="1" applyAlignment="1">
      <alignment vertical="center" wrapText="1"/>
    </xf>
    <xf numFmtId="0" fontId="16" fillId="21" borderId="0" xfId="0" applyFont="1" applyFill="1"/>
    <xf numFmtId="0" fontId="10" fillId="2" borderId="66" xfId="0" applyFont="1" applyFill="1" applyBorder="1" applyAlignment="1">
      <alignment vertical="center" wrapText="1"/>
    </xf>
    <xf numFmtId="0" fontId="10" fillId="2" borderId="50" xfId="0" applyFont="1" applyFill="1" applyBorder="1" applyAlignment="1">
      <alignment horizontal="justify"/>
    </xf>
    <xf numFmtId="0" fontId="10" fillId="2" borderId="50" xfId="0" applyFont="1" applyFill="1" applyBorder="1" applyAlignment="1">
      <alignment horizontal="justify" vertical="center" wrapText="1"/>
    </xf>
    <xf numFmtId="0" fontId="10" fillId="2" borderId="50" xfId="0" applyFont="1" applyFill="1" applyBorder="1" applyAlignment="1">
      <alignment horizontal="justify" vertical="center"/>
    </xf>
    <xf numFmtId="1" fontId="10" fillId="2" borderId="50" xfId="0" applyNumberFormat="1" applyFont="1" applyFill="1" applyBorder="1" applyAlignment="1">
      <alignment horizontal="justify" vertical="center"/>
    </xf>
    <xf numFmtId="10" fontId="8" fillId="2" borderId="71" xfId="5" applyNumberFormat="1" applyFont="1" applyFill="1" applyBorder="1" applyAlignment="1">
      <alignment horizontal="center" vertical="center"/>
    </xf>
    <xf numFmtId="43" fontId="11" fillId="2" borderId="42" xfId="6" applyFont="1" applyFill="1" applyBorder="1" applyAlignment="1">
      <alignment horizontal="justify" vertical="center"/>
    </xf>
    <xf numFmtId="0" fontId="10" fillId="2" borderId="48" xfId="0" applyFont="1" applyFill="1" applyBorder="1" applyAlignment="1">
      <alignment horizontal="justify" vertical="center" wrapText="1"/>
    </xf>
    <xf numFmtId="0" fontId="10" fillId="2" borderId="71" xfId="0" applyFont="1" applyFill="1" applyBorder="1" applyAlignment="1">
      <alignment horizontal="justify" vertical="center" wrapText="1"/>
    </xf>
    <xf numFmtId="43" fontId="11" fillId="0" borderId="42" xfId="6" applyFont="1" applyBorder="1" applyAlignment="1">
      <alignment horizontal="center" vertical="center"/>
    </xf>
    <xf numFmtId="1" fontId="10" fillId="2" borderId="48" xfId="0" applyNumberFormat="1" applyFont="1" applyFill="1" applyBorder="1" applyAlignment="1">
      <alignment horizontal="center" vertical="center"/>
    </xf>
    <xf numFmtId="1" fontId="10" fillId="2" borderId="50" xfId="0" applyNumberFormat="1" applyFont="1" applyFill="1" applyBorder="1" applyAlignment="1">
      <alignment horizontal="center" vertical="center"/>
    </xf>
    <xf numFmtId="1" fontId="10" fillId="2" borderId="50" xfId="0" applyNumberFormat="1" applyFont="1" applyFill="1" applyBorder="1" applyAlignment="1">
      <alignment horizontal="center" vertical="center" textRotation="180" wrapText="1"/>
    </xf>
    <xf numFmtId="172" fontId="10" fillId="2" borderId="50" xfId="0" applyNumberFormat="1" applyFont="1" applyFill="1" applyBorder="1" applyAlignment="1">
      <alignment horizontal="center" vertical="center"/>
    </xf>
    <xf numFmtId="0" fontId="10" fillId="2" borderId="71" xfId="0" applyFont="1" applyFill="1" applyBorder="1" applyAlignment="1">
      <alignment horizontal="justify" vertical="center"/>
    </xf>
    <xf numFmtId="0" fontId="30" fillId="0" borderId="0" xfId="25" applyFont="1" applyFill="1"/>
    <xf numFmtId="0" fontId="22" fillId="0" borderId="22" xfId="0" applyFont="1" applyBorder="1" applyAlignment="1">
      <alignment vertical="center" wrapText="1"/>
    </xf>
    <xf numFmtId="0" fontId="22" fillId="0" borderId="27" xfId="0" applyFont="1" applyBorder="1" applyAlignment="1">
      <alignment vertical="center" wrapText="1"/>
    </xf>
    <xf numFmtId="0" fontId="22" fillId="6" borderId="20" xfId="0" applyFont="1" applyFill="1" applyBorder="1" applyAlignment="1">
      <alignment vertical="center"/>
    </xf>
    <xf numFmtId="0" fontId="22" fillId="6" borderId="22" xfId="0" applyFont="1" applyFill="1" applyBorder="1" applyAlignment="1">
      <alignment vertical="center"/>
    </xf>
    <xf numFmtId="0" fontId="22" fillId="6" borderId="27" xfId="0" applyFont="1" applyFill="1" applyBorder="1" applyAlignment="1">
      <alignment vertical="center"/>
    </xf>
    <xf numFmtId="0" fontId="24" fillId="6" borderId="16" xfId="0" applyFont="1" applyFill="1" applyBorder="1" applyAlignment="1" applyProtection="1">
      <alignment horizontal="justify" vertical="center" wrapText="1"/>
      <protection locked="0"/>
    </xf>
    <xf numFmtId="41" fontId="4" fillId="0" borderId="51" xfId="0" applyNumberFormat="1" applyFont="1" applyBorder="1" applyAlignment="1">
      <alignment horizontal="left" vertical="center" wrapText="1"/>
    </xf>
    <xf numFmtId="0" fontId="4" fillId="0" borderId="51" xfId="0" applyFont="1" applyBorder="1" applyAlignment="1">
      <alignment horizontal="left" vertical="center"/>
    </xf>
    <xf numFmtId="0" fontId="14" fillId="0" borderId="51" xfId="0" applyFont="1" applyBorder="1" applyAlignment="1">
      <alignment horizontal="left" vertical="center"/>
    </xf>
    <xf numFmtId="0" fontId="4" fillId="6" borderId="53" xfId="0" applyFont="1" applyFill="1" applyBorder="1" applyAlignment="1">
      <alignment horizontal="left" vertical="center"/>
    </xf>
    <xf numFmtId="0" fontId="4" fillId="6" borderId="27" xfId="0" applyFont="1" applyFill="1" applyBorder="1" applyAlignment="1">
      <alignment horizontal="left" vertical="center"/>
    </xf>
    <xf numFmtId="0" fontId="4" fillId="6" borderId="6" xfId="0" applyFont="1" applyFill="1" applyBorder="1" applyAlignment="1">
      <alignment horizontal="left" vertical="center"/>
    </xf>
    <xf numFmtId="0" fontId="14" fillId="0" borderId="6" xfId="0" applyFont="1" applyBorder="1" applyAlignment="1">
      <alignment horizontal="left"/>
    </xf>
    <xf numFmtId="0" fontId="14" fillId="0" borderId="20" xfId="0" applyFont="1" applyBorder="1" applyAlignment="1">
      <alignment horizontal="left"/>
    </xf>
    <xf numFmtId="0" fontId="6" fillId="15" borderId="11" xfId="0" applyFont="1" applyFill="1" applyBorder="1" applyAlignment="1">
      <alignment horizontal="left" vertical="center"/>
    </xf>
    <xf numFmtId="0" fontId="6" fillId="14" borderId="9" xfId="0" applyFont="1" applyFill="1" applyBorder="1" applyAlignment="1">
      <alignment horizontal="left" vertical="center"/>
    </xf>
    <xf numFmtId="171" fontId="6" fillId="6" borderId="6" xfId="0" applyNumberFormat="1" applyFont="1" applyFill="1" applyBorder="1" applyAlignment="1">
      <alignment horizontal="left" vertical="center"/>
    </xf>
    <xf numFmtId="0" fontId="6" fillId="15" borderId="51" xfId="0" applyFont="1" applyFill="1" applyBorder="1" applyAlignment="1">
      <alignment horizontal="center" vertical="center"/>
    </xf>
    <xf numFmtId="43" fontId="16" fillId="0" borderId="6" xfId="4" applyFont="1" applyFill="1" applyBorder="1" applyAlignment="1">
      <alignment horizontal="center" vertical="center"/>
    </xf>
    <xf numFmtId="41" fontId="14" fillId="0" borderId="51" xfId="0" applyNumberFormat="1" applyFont="1" applyFill="1" applyBorder="1" applyAlignment="1">
      <alignment horizontal="right" vertical="center"/>
    </xf>
    <xf numFmtId="189" fontId="24" fillId="6" borderId="6" xfId="0" applyNumberFormat="1" applyFont="1" applyFill="1" applyBorder="1" applyAlignment="1">
      <alignment horizontal="center" vertical="center" wrapText="1"/>
    </xf>
    <xf numFmtId="0" fontId="33" fillId="0" borderId="6" xfId="0" applyFont="1" applyBorder="1" applyAlignment="1">
      <alignment horizontal="center" vertical="center" wrapText="1"/>
    </xf>
    <xf numFmtId="1" fontId="22" fillId="0" borderId="6" xfId="13" applyNumberFormat="1" applyFont="1" applyFill="1" applyBorder="1" applyAlignment="1">
      <alignment horizontal="center" vertical="center"/>
    </xf>
    <xf numFmtId="0" fontId="22" fillId="0" borderId="51" xfId="0" applyFont="1" applyFill="1" applyBorder="1" applyAlignment="1">
      <alignment horizontal="center" vertical="center"/>
    </xf>
    <xf numFmtId="1" fontId="22" fillId="0" borderId="54" xfId="13" applyNumberFormat="1" applyFont="1" applyFill="1" applyBorder="1" applyAlignment="1">
      <alignment horizontal="center" vertical="center"/>
    </xf>
    <xf numFmtId="0" fontId="33" fillId="0" borderId="12" xfId="0" applyFont="1" applyBorder="1" applyAlignment="1">
      <alignment vertical="center" wrapText="1"/>
    </xf>
    <xf numFmtId="0" fontId="27" fillId="6" borderId="27" xfId="0" applyFont="1" applyFill="1" applyBorder="1" applyAlignment="1">
      <alignment horizontal="center" vertical="center" wrapText="1"/>
    </xf>
    <xf numFmtId="0" fontId="30" fillId="0" borderId="6" xfId="13" applyNumberFormat="1" applyFont="1" applyFill="1" applyBorder="1" applyAlignment="1">
      <alignment horizontal="justify" vertical="center" wrapText="1"/>
    </xf>
    <xf numFmtId="1" fontId="22" fillId="0" borderId="20" xfId="13" applyNumberFormat="1" applyFont="1" applyFill="1" applyBorder="1" applyAlignment="1">
      <alignment horizontal="center" vertical="center" wrapText="1"/>
    </xf>
    <xf numFmtId="1" fontId="22" fillId="0" borderId="27" xfId="13" applyNumberFormat="1" applyFont="1" applyFill="1" applyBorder="1" applyAlignment="1">
      <alignment horizontal="center" vertical="center"/>
    </xf>
    <xf numFmtId="1" fontId="22" fillId="0" borderId="51" xfId="13" applyNumberFormat="1" applyFont="1" applyFill="1" applyBorder="1" applyAlignment="1">
      <alignment horizontal="center" vertical="center"/>
    </xf>
    <xf numFmtId="1" fontId="22" fillId="0" borderId="20" xfId="13" applyNumberFormat="1" applyFont="1" applyFill="1" applyBorder="1" applyAlignment="1">
      <alignment horizontal="center" vertical="center"/>
    </xf>
    <xf numFmtId="0" fontId="22" fillId="0" borderId="6" xfId="0" applyFont="1" applyFill="1" applyBorder="1" applyAlignment="1">
      <alignment horizontal="center" vertical="center"/>
    </xf>
    <xf numFmtId="0" fontId="22" fillId="0" borderId="6" xfId="0" applyFont="1" applyFill="1" applyBorder="1" applyAlignment="1">
      <alignment horizontal="center" vertical="center" wrapText="1"/>
    </xf>
    <xf numFmtId="4" fontId="14" fillId="0" borderId="51" xfId="0" applyNumberFormat="1" applyFont="1" applyFill="1" applyBorder="1" applyAlignment="1">
      <alignment horizontal="right" vertical="center"/>
    </xf>
    <xf numFmtId="4" fontId="4" fillId="0" borderId="51" xfId="4" applyNumberFormat="1" applyFont="1" applyFill="1" applyBorder="1" applyAlignment="1">
      <alignment horizontal="right" vertical="center" wrapText="1"/>
    </xf>
    <xf numFmtId="43" fontId="4" fillId="0" borderId="20" xfId="4" applyFont="1" applyFill="1" applyBorder="1" applyAlignment="1">
      <alignment horizontal="center" vertical="center"/>
    </xf>
    <xf numFmtId="1" fontId="4" fillId="0" borderId="20" xfId="0" applyNumberFormat="1" applyFont="1" applyFill="1" applyBorder="1" applyAlignment="1">
      <alignment horizontal="center" vertical="center"/>
    </xf>
    <xf numFmtId="0" fontId="4" fillId="0" borderId="20" xfId="0" applyFont="1" applyFill="1" applyBorder="1" applyAlignment="1">
      <alignment horizontal="left" vertical="center"/>
    </xf>
    <xf numFmtId="1" fontId="4" fillId="0" borderId="6"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12" xfId="0" applyFont="1" applyFill="1" applyBorder="1" applyAlignment="1">
      <alignment horizontal="justify" vertical="center" wrapText="1"/>
    </xf>
    <xf numFmtId="43" fontId="4" fillId="0" borderId="20" xfId="4" applyFont="1" applyFill="1" applyBorder="1" applyAlignment="1">
      <alignment horizontal="justify" vertical="center"/>
    </xf>
    <xf numFmtId="43" fontId="8" fillId="0" borderId="52" xfId="4" applyFont="1" applyBorder="1" applyAlignment="1">
      <alignment vertical="center" wrapText="1"/>
    </xf>
    <xf numFmtId="0" fontId="4" fillId="0" borderId="51" xfId="0" applyFont="1" applyFill="1" applyBorder="1" applyAlignment="1">
      <alignment vertical="center" wrapText="1"/>
    </xf>
    <xf numFmtId="0" fontId="13" fillId="21" borderId="5" xfId="0" applyFont="1" applyFill="1" applyBorder="1" applyAlignment="1">
      <alignment horizontal="center"/>
    </xf>
    <xf numFmtId="1" fontId="10" fillId="0" borderId="14"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1" fontId="10" fillId="0" borderId="19"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4" fillId="6" borderId="0" xfId="0" applyFont="1" applyFill="1" applyAlignment="1">
      <alignment horizontal="center" vertical="center"/>
    </xf>
    <xf numFmtId="0" fontId="23" fillId="0" borderId="9" xfId="0" applyFont="1" applyBorder="1" applyAlignment="1">
      <alignment horizontal="left" vertical="center"/>
    </xf>
    <xf numFmtId="0" fontId="7" fillId="13" borderId="15" xfId="0" applyFont="1" applyFill="1" applyBorder="1" applyAlignment="1">
      <alignment horizontal="left" vertical="center"/>
    </xf>
    <xf numFmtId="0" fontId="7" fillId="14" borderId="9" xfId="0" applyFont="1" applyFill="1" applyBorder="1" applyAlignment="1">
      <alignment horizontal="left" vertical="center"/>
    </xf>
    <xf numFmtId="0" fontId="7" fillId="15" borderId="11" xfId="0" applyFont="1" applyFill="1" applyBorder="1" applyAlignment="1">
      <alignment horizontal="left" vertical="center"/>
    </xf>
    <xf numFmtId="0" fontId="0" fillId="0" borderId="0" xfId="0" applyAlignment="1">
      <alignment horizontal="left" vertical="center" wrapText="1"/>
    </xf>
    <xf numFmtId="0" fontId="22" fillId="6" borderId="0" xfId="0" applyFont="1" applyFill="1" applyAlignment="1">
      <alignment horizontal="left" vertical="center"/>
    </xf>
    <xf numFmtId="3" fontId="22" fillId="0" borderId="6" xfId="13" applyNumberFormat="1" applyFont="1" applyFill="1" applyBorder="1" applyAlignment="1">
      <alignment horizontal="center" vertical="center" wrapText="1"/>
    </xf>
    <xf numFmtId="3" fontId="22" fillId="0" borderId="20" xfId="13" applyNumberFormat="1" applyFont="1" applyFill="1" applyBorder="1" applyAlignment="1">
      <alignment horizontal="center" vertical="center" wrapText="1"/>
    </xf>
    <xf numFmtId="3" fontId="22" fillId="0" borderId="27" xfId="13" applyNumberFormat="1" applyFont="1" applyFill="1" applyBorder="1" applyAlignment="1">
      <alignment horizontal="center" vertical="center" wrapText="1"/>
    </xf>
    <xf numFmtId="0" fontId="22" fillId="0" borderId="6" xfId="13" applyNumberFormat="1" applyFont="1" applyFill="1" applyBorder="1" applyAlignment="1">
      <alignment horizontal="justify" vertical="center" wrapText="1"/>
    </xf>
    <xf numFmtId="0" fontId="30" fillId="0" borderId="20" xfId="13" applyNumberFormat="1" applyFont="1" applyFill="1" applyBorder="1" applyAlignment="1">
      <alignment horizontal="justify" vertical="center" wrapText="1"/>
    </xf>
    <xf numFmtId="0" fontId="30" fillId="0" borderId="6" xfId="0" applyFont="1" applyFill="1" applyBorder="1" applyAlignment="1">
      <alignment horizontal="justify" vertical="center" wrapText="1"/>
    </xf>
    <xf numFmtId="0" fontId="0" fillId="0" borderId="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7" xfId="0" applyFill="1" applyBorder="1" applyAlignment="1">
      <alignment horizontal="center" vertical="center" wrapText="1"/>
    </xf>
    <xf numFmtId="0" fontId="24" fillId="0" borderId="6" xfId="0" applyFont="1" applyFill="1" applyBorder="1" applyAlignment="1">
      <alignment horizontal="justify" vertical="center" wrapText="1"/>
    </xf>
    <xf numFmtId="0" fontId="30" fillId="0" borderId="20" xfId="0" applyFont="1" applyFill="1" applyBorder="1" applyAlignment="1">
      <alignment horizontal="justify" vertical="center" wrapText="1"/>
    </xf>
    <xf numFmtId="1" fontId="22" fillId="0" borderId="6" xfId="13" applyNumberFormat="1" applyFont="1" applyFill="1" applyBorder="1" applyAlignment="1">
      <alignment horizontal="center" vertical="center" wrapText="1"/>
    </xf>
    <xf numFmtId="0" fontId="30" fillId="0" borderId="14" xfId="13" applyNumberFormat="1" applyFont="1" applyFill="1" applyBorder="1" applyAlignment="1">
      <alignment horizontal="justify" vertical="center" wrapText="1"/>
    </xf>
    <xf numFmtId="0" fontId="30" fillId="0" borderId="19" xfId="13" applyNumberFormat="1" applyFont="1" applyFill="1" applyBorder="1" applyAlignment="1">
      <alignment horizontal="justify" vertical="center" wrapText="1"/>
    </xf>
    <xf numFmtId="0" fontId="30" fillId="0" borderId="27" xfId="13" applyNumberFormat="1" applyFont="1" applyFill="1" applyBorder="1" applyAlignment="1">
      <alignment horizontal="justify" vertical="center" wrapText="1"/>
    </xf>
    <xf numFmtId="0" fontId="22" fillId="0" borderId="6" xfId="0" applyFont="1" applyFill="1" applyBorder="1" applyAlignment="1">
      <alignment horizontal="justify" vertical="center" wrapText="1" readingOrder="2"/>
    </xf>
    <xf numFmtId="49" fontId="22" fillId="0" borderId="20" xfId="13" applyNumberFormat="1" applyFont="1" applyFill="1" applyBorder="1" applyAlignment="1">
      <alignment horizontal="center" vertical="center" wrapText="1"/>
    </xf>
    <xf numFmtId="49" fontId="22" fillId="0" borderId="6" xfId="13" applyNumberFormat="1" applyFont="1" applyFill="1" applyBorder="1" applyAlignment="1">
      <alignment horizontal="center" vertical="center"/>
    </xf>
    <xf numFmtId="0" fontId="6" fillId="0" borderId="6" xfId="0" applyFont="1" applyFill="1" applyBorder="1" applyAlignment="1">
      <alignment horizontal="justify" vertical="center" wrapText="1"/>
    </xf>
    <xf numFmtId="1" fontId="23" fillId="0" borderId="6" xfId="13" applyNumberFormat="1" applyFont="1" applyFill="1" applyBorder="1" applyAlignment="1">
      <alignment horizontal="center" vertical="center"/>
    </xf>
    <xf numFmtId="0" fontId="4" fillId="0" borderId="0" xfId="0" applyFont="1" applyFill="1" applyAlignment="1">
      <alignment horizontal="justify" vertical="center" wrapText="1"/>
    </xf>
    <xf numFmtId="1" fontId="4" fillId="0" borderId="0" xfId="0" applyNumberFormat="1" applyFont="1" applyFill="1" applyAlignment="1">
      <alignment horizontal="center" vertical="center"/>
    </xf>
    <xf numFmtId="171" fontId="11" fillId="11" borderId="11" xfId="0" applyNumberFormat="1" applyFont="1" applyFill="1" applyBorder="1" applyAlignment="1">
      <alignment horizontal="center" vertical="center"/>
    </xf>
    <xf numFmtId="43" fontId="10" fillId="0" borderId="51" xfId="6" applyFont="1" applyFill="1" applyBorder="1" applyAlignment="1">
      <alignment horizontal="center" vertical="center" wrapText="1"/>
    </xf>
    <xf numFmtId="43" fontId="8" fillId="0" borderId="51" xfId="6" applyFont="1" applyFill="1" applyBorder="1" applyAlignment="1">
      <alignment horizontal="right" vertical="center"/>
    </xf>
    <xf numFmtId="0" fontId="10" fillId="0" borderId="14" xfId="0" applyFont="1" applyBorder="1" applyAlignment="1">
      <alignment horizontal="justify" vertical="center" wrapText="1"/>
    </xf>
    <xf numFmtId="0" fontId="8" fillId="0" borderId="14" xfId="0" applyFont="1" applyBorder="1" applyAlignment="1">
      <alignment horizontal="justify" vertical="center" wrapText="1"/>
    </xf>
    <xf numFmtId="0" fontId="10" fillId="0" borderId="14" xfId="0" applyFont="1" applyBorder="1" applyAlignment="1">
      <alignment vertical="center" wrapText="1"/>
    </xf>
    <xf numFmtId="0" fontId="10" fillId="0" borderId="21" xfId="0" applyFont="1" applyBorder="1" applyAlignment="1">
      <alignment horizontal="justify" vertical="center" wrapText="1"/>
    </xf>
    <xf numFmtId="1" fontId="10" fillId="0" borderId="16" xfId="0" applyNumberFormat="1" applyFont="1" applyBorder="1" applyAlignment="1">
      <alignment horizontal="center" vertical="center" wrapText="1"/>
    </xf>
    <xf numFmtId="1" fontId="10" fillId="0" borderId="13" xfId="0" applyNumberFormat="1" applyFont="1" applyBorder="1" applyAlignment="1">
      <alignment horizontal="center" vertical="center" wrapText="1"/>
    </xf>
    <xf numFmtId="1" fontId="10" fillId="0" borderId="25" xfId="0" applyNumberFormat="1" applyFont="1" applyBorder="1" applyAlignment="1">
      <alignment horizontal="center" vertical="center" wrapText="1"/>
    </xf>
    <xf numFmtId="1" fontId="10" fillId="2" borderId="15"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1" fontId="10" fillId="2" borderId="9" xfId="0" applyNumberFormat="1" applyFont="1" applyFill="1" applyBorder="1" applyAlignment="1">
      <alignment horizontal="center" vertical="center" wrapText="1"/>
    </xf>
    <xf numFmtId="0" fontId="10" fillId="2" borderId="27" xfId="0" applyFont="1" applyFill="1" applyBorder="1" applyAlignment="1">
      <alignment horizontal="center" vertical="center" wrapText="1"/>
    </xf>
    <xf numFmtId="43" fontId="4" fillId="0" borderId="6" xfId="4" applyFont="1" applyFill="1" applyBorder="1" applyAlignment="1">
      <alignment horizontal="right" vertical="center"/>
    </xf>
    <xf numFmtId="43" fontId="4" fillId="0" borderId="20" xfId="4" applyFont="1" applyFill="1" applyBorder="1" applyAlignment="1">
      <alignment horizontal="right" vertical="center"/>
    </xf>
    <xf numFmtId="43" fontId="4" fillId="0" borderId="12" xfId="4" applyFont="1" applyFill="1" applyBorder="1" applyAlignment="1">
      <alignment horizontal="right" vertical="center"/>
    </xf>
    <xf numFmtId="43" fontId="4" fillId="0" borderId="52" xfId="4" applyFont="1" applyFill="1" applyBorder="1" applyAlignment="1">
      <alignment horizontal="right" vertical="center"/>
    </xf>
    <xf numFmtId="41" fontId="4" fillId="0" borderId="54" xfId="0" applyNumberFormat="1" applyFont="1" applyFill="1" applyBorder="1"/>
    <xf numFmtId="43" fontId="4" fillId="0" borderId="51" xfId="4" applyFont="1" applyFill="1" applyBorder="1" applyAlignment="1">
      <alignment horizontal="right" vertical="center"/>
    </xf>
    <xf numFmtId="43" fontId="4" fillId="0" borderId="27" xfId="4" applyFont="1" applyFill="1" applyBorder="1" applyAlignment="1">
      <alignment horizontal="right" vertical="center"/>
    </xf>
    <xf numFmtId="41" fontId="4" fillId="0" borderId="51" xfId="0" applyNumberFormat="1" applyFont="1" applyFill="1" applyBorder="1" applyAlignment="1">
      <alignment vertical="center"/>
    </xf>
    <xf numFmtId="43" fontId="4" fillId="0" borderId="53" xfId="4" applyFont="1" applyFill="1" applyBorder="1" applyAlignment="1">
      <alignment horizontal="right" vertical="center"/>
    </xf>
    <xf numFmtId="43" fontId="4" fillId="0" borderId="51" xfId="4" applyFont="1" applyFill="1" applyBorder="1" applyAlignment="1">
      <alignment vertical="center"/>
    </xf>
    <xf numFmtId="43" fontId="4" fillId="0" borderId="23" xfId="4" applyFont="1" applyFill="1" applyBorder="1" applyAlignment="1">
      <alignment horizontal="right" vertical="center"/>
    </xf>
    <xf numFmtId="1" fontId="4" fillId="0" borderId="6" xfId="0" applyNumberFormat="1" applyFont="1" applyFill="1" applyBorder="1" applyAlignment="1">
      <alignment horizontal="center" vertical="center" wrapText="1"/>
    </xf>
    <xf numFmtId="43" fontId="6" fillId="0" borderId="32" xfId="4" applyFont="1" applyFill="1" applyBorder="1" applyAlignment="1">
      <alignment horizontal="right" vertical="center"/>
    </xf>
    <xf numFmtId="1" fontId="4" fillId="0" borderId="30" xfId="0" applyNumberFormat="1" applyFont="1" applyFill="1" applyBorder="1" applyAlignment="1">
      <alignment horizontal="center" vertical="center"/>
    </xf>
    <xf numFmtId="0" fontId="4" fillId="0" borderId="31" xfId="0" applyFont="1" applyFill="1" applyBorder="1" applyAlignment="1">
      <alignment horizontal="center" vertical="center"/>
    </xf>
    <xf numFmtId="43" fontId="4" fillId="0" borderId="0" xfId="4" applyFont="1" applyFill="1" applyAlignment="1">
      <alignment horizontal="right" vertical="center"/>
    </xf>
    <xf numFmtId="0" fontId="4" fillId="0" borderId="0" xfId="0" applyFont="1" applyFill="1" applyAlignment="1">
      <alignment horizontal="center" vertical="center"/>
    </xf>
    <xf numFmtId="43" fontId="4" fillId="0" borderId="0" xfId="7" applyNumberFormat="1" applyFont="1" applyFill="1" applyAlignment="1">
      <alignment horizontal="right" vertical="center"/>
    </xf>
    <xf numFmtId="0" fontId="4" fillId="13" borderId="9" xfId="0" applyFont="1" applyFill="1" applyBorder="1" applyAlignment="1">
      <alignment horizontal="justify" vertical="center"/>
    </xf>
    <xf numFmtId="43" fontId="4" fillId="13" borderId="9" xfId="7" applyNumberFormat="1" applyFont="1" applyFill="1" applyBorder="1" applyAlignment="1">
      <alignment horizontal="right" vertical="center"/>
    </xf>
    <xf numFmtId="43" fontId="4" fillId="0" borderId="58" xfId="4" applyFont="1" applyFill="1" applyBorder="1" applyAlignment="1">
      <alignment horizontal="right" vertical="center"/>
    </xf>
    <xf numFmtId="43" fontId="4" fillId="0" borderId="16" xfId="4" applyFont="1" applyBorder="1" applyAlignment="1">
      <alignment horizontal="right" vertical="center"/>
    </xf>
    <xf numFmtId="3" fontId="22" fillId="0" borderId="51" xfId="0" applyNumberFormat="1" applyFont="1" applyBorder="1" applyAlignment="1">
      <alignment horizontal="justify" vertical="center" wrapText="1"/>
    </xf>
    <xf numFmtId="0" fontId="22" fillId="6" borderId="51" xfId="8" applyFont="1" applyFill="1" applyBorder="1" applyAlignment="1">
      <alignment horizontal="justify" vertical="center" wrapText="1"/>
    </xf>
    <xf numFmtId="0" fontId="24" fillId="6" borderId="51" xfId="8" applyFont="1" applyFill="1" applyBorder="1" applyAlignment="1">
      <alignment horizontal="justify" vertical="center" wrapText="1"/>
    </xf>
    <xf numFmtId="171" fontId="6" fillId="15" borderId="51" xfId="0" applyNumberFormat="1" applyFont="1" applyFill="1" applyBorder="1" applyAlignment="1">
      <alignment horizontal="center" vertical="center"/>
    </xf>
    <xf numFmtId="0" fontId="6" fillId="15" borderId="51" xfId="0" applyFont="1" applyFill="1" applyBorder="1" applyAlignment="1">
      <alignment horizontal="justify" vertical="center" wrapText="1"/>
    </xf>
    <xf numFmtId="0" fontId="4" fillId="15" borderId="51" xfId="0" applyFont="1" applyFill="1" applyBorder="1" applyAlignment="1">
      <alignment horizontal="justify" vertical="center" wrapText="1"/>
    </xf>
    <xf numFmtId="171" fontId="6" fillId="16" borderId="51" xfId="0" applyNumberFormat="1" applyFont="1" applyFill="1" applyBorder="1" applyAlignment="1">
      <alignment horizontal="center" vertical="center"/>
    </xf>
    <xf numFmtId="0" fontId="6" fillId="16" borderId="51" xfId="0" applyFont="1" applyFill="1" applyBorder="1" applyAlignment="1">
      <alignment horizontal="justify" vertical="center" wrapText="1"/>
    </xf>
    <xf numFmtId="0" fontId="4" fillId="16" borderId="51" xfId="0" applyFont="1" applyFill="1" applyBorder="1" applyAlignment="1">
      <alignment horizontal="justify" vertical="center" wrapText="1"/>
    </xf>
    <xf numFmtId="49" fontId="24" fillId="0" borderId="51" xfId="9" applyNumberFormat="1" applyFont="1" applyBorder="1" applyAlignment="1">
      <alignment horizontal="justify" vertical="center" wrapText="1"/>
    </xf>
    <xf numFmtId="49" fontId="24" fillId="6" borderId="51" xfId="9" applyNumberFormat="1" applyFont="1" applyFill="1" applyBorder="1" applyAlignment="1">
      <alignment horizontal="justify" vertical="center" wrapText="1"/>
    </xf>
    <xf numFmtId="4" fontId="8" fillId="0" borderId="16" xfId="8" applyNumberFormat="1" applyFont="1" applyBorder="1" applyAlignment="1">
      <alignment horizontal="right" vertical="center"/>
    </xf>
    <xf numFmtId="3" fontId="8" fillId="0" borderId="16" xfId="8" applyNumberFormat="1" applyFont="1" applyBorder="1" applyAlignment="1">
      <alignment horizontal="right" vertical="center"/>
    </xf>
    <xf numFmtId="43" fontId="4" fillId="0" borderId="16" xfId="4" applyFont="1" applyFill="1" applyBorder="1" applyAlignment="1">
      <alignment horizontal="right" vertical="center"/>
    </xf>
    <xf numFmtId="43" fontId="8" fillId="0" borderId="16" xfId="4" applyFont="1" applyFill="1" applyBorder="1" applyAlignment="1">
      <alignment horizontal="right" vertical="center"/>
    </xf>
    <xf numFmtId="43" fontId="8" fillId="0" borderId="11" xfId="4" applyFont="1" applyFill="1" applyBorder="1" applyAlignment="1">
      <alignment horizontal="right" vertical="center"/>
    </xf>
    <xf numFmtId="0" fontId="4" fillId="15" borderId="11" xfId="0" applyFont="1" applyFill="1" applyBorder="1" applyAlignment="1">
      <alignment horizontal="justify" vertical="center"/>
    </xf>
    <xf numFmtId="171" fontId="6" fillId="17" borderId="0" xfId="0" applyNumberFormat="1" applyFont="1" applyFill="1" applyBorder="1" applyAlignment="1">
      <alignment horizontal="center" vertical="center"/>
    </xf>
    <xf numFmtId="0" fontId="6" fillId="17" borderId="0" xfId="0" applyFont="1" applyFill="1" applyBorder="1" applyAlignment="1">
      <alignment horizontal="justify" vertical="center" wrapText="1"/>
    </xf>
    <xf numFmtId="0" fontId="4" fillId="17" borderId="0" xfId="0" applyFont="1" applyFill="1" applyBorder="1" applyAlignment="1">
      <alignment horizontal="justify" vertical="center" wrapText="1"/>
    </xf>
    <xf numFmtId="0" fontId="24" fillId="0" borderId="51" xfId="8" applyFont="1" applyBorder="1" applyAlignment="1">
      <alignment horizontal="justify" vertical="center" wrapText="1"/>
    </xf>
    <xf numFmtId="4" fontId="4" fillId="0" borderId="51" xfId="4" applyNumberFormat="1" applyFont="1" applyFill="1" applyBorder="1" applyAlignment="1">
      <alignment horizontal="right" vertical="center"/>
    </xf>
    <xf numFmtId="0" fontId="29" fillId="0" borderId="51" xfId="8" applyFont="1" applyBorder="1" applyAlignment="1">
      <alignment horizontal="justify" vertical="center" wrapText="1"/>
    </xf>
    <xf numFmtId="1" fontId="4" fillId="0" borderId="12" xfId="0" applyNumberFormat="1" applyFont="1" applyFill="1" applyBorder="1" applyAlignment="1">
      <alignment horizontal="center" vertical="center" wrapText="1"/>
    </xf>
    <xf numFmtId="0" fontId="4" fillId="0" borderId="57" xfId="0" applyFont="1" applyFill="1" applyBorder="1" applyAlignment="1">
      <alignment horizontal="center" vertical="center"/>
    </xf>
    <xf numFmtId="1" fontId="4" fillId="0" borderId="52" xfId="0" applyNumberFormat="1" applyFont="1" applyFill="1" applyBorder="1" applyAlignment="1">
      <alignment vertical="center" wrapText="1"/>
    </xf>
    <xf numFmtId="1" fontId="4" fillId="0" borderId="52" xfId="0" applyNumberFormat="1" applyFont="1" applyFill="1" applyBorder="1" applyAlignment="1">
      <alignment horizontal="center" vertical="center" wrapText="1"/>
    </xf>
    <xf numFmtId="3" fontId="4" fillId="0" borderId="21" xfId="0" applyNumberFormat="1" applyFont="1" applyFill="1" applyBorder="1" applyAlignment="1">
      <alignment horizontal="justify" vertical="center" wrapText="1"/>
    </xf>
    <xf numFmtId="1" fontId="4" fillId="0" borderId="25" xfId="0" applyNumberFormat="1" applyFont="1" applyFill="1" applyBorder="1" applyAlignment="1">
      <alignment horizontal="center" vertical="center" wrapText="1"/>
    </xf>
    <xf numFmtId="1" fontId="4" fillId="0" borderId="51" xfId="0" applyNumberFormat="1" applyFont="1" applyFill="1" applyBorder="1" applyAlignment="1">
      <alignment horizontal="center" vertical="center" wrapText="1"/>
    </xf>
    <xf numFmtId="1" fontId="4" fillId="0" borderId="27" xfId="0" applyNumberFormat="1" applyFont="1" applyFill="1" applyBorder="1" applyAlignment="1">
      <alignment horizontal="center" vertical="center" wrapText="1"/>
    </xf>
    <xf numFmtId="1" fontId="4" fillId="0" borderId="20" xfId="0" applyNumberFormat="1" applyFont="1" applyFill="1" applyBorder="1" applyAlignment="1">
      <alignment horizontal="center" vertical="center" wrapText="1"/>
    </xf>
    <xf numFmtId="43" fontId="24" fillId="0" borderId="6" xfId="4" applyFont="1" applyFill="1" applyBorder="1" applyAlignment="1">
      <alignment horizontal="center" vertical="center" wrapText="1"/>
    </xf>
    <xf numFmtId="43" fontId="24" fillId="0" borderId="14" xfId="4" applyFont="1" applyFill="1" applyBorder="1" applyAlignment="1">
      <alignment horizontal="center" vertical="center" wrapText="1"/>
    </xf>
    <xf numFmtId="43" fontId="24" fillId="0" borderId="51" xfId="4" applyFont="1" applyFill="1" applyBorder="1" applyAlignment="1">
      <alignment horizontal="center" vertical="center" wrapText="1"/>
    </xf>
    <xf numFmtId="0" fontId="22" fillId="6" borderId="14" xfId="25" applyFont="1" applyFill="1" applyBorder="1" applyAlignment="1">
      <alignment horizontal="justify" vertical="center" wrapText="1"/>
    </xf>
    <xf numFmtId="0" fontId="22" fillId="6" borderId="14" xfId="25" applyFont="1" applyFill="1" applyBorder="1" applyAlignment="1">
      <alignment horizontal="left" vertical="center" wrapText="1"/>
    </xf>
    <xf numFmtId="49" fontId="22" fillId="6" borderId="14" xfId="26" applyNumberFormat="1" applyFont="1" applyFill="1" applyBorder="1" applyAlignment="1">
      <alignment horizontal="justify" vertical="top" wrapText="1"/>
    </xf>
    <xf numFmtId="1" fontId="22" fillId="6" borderId="16" xfId="25" applyNumberFormat="1" applyFont="1" applyFill="1" applyBorder="1" applyAlignment="1">
      <alignment horizontal="center" vertical="center" wrapText="1"/>
    </xf>
    <xf numFmtId="43" fontId="24" fillId="0" borderId="21" xfId="4" applyFont="1" applyFill="1" applyBorder="1" applyAlignment="1">
      <alignment horizontal="center" vertical="center" wrapText="1"/>
    </xf>
    <xf numFmtId="43" fontId="24" fillId="0" borderId="20" xfId="4" applyFont="1" applyFill="1" applyBorder="1" applyAlignment="1">
      <alignment horizontal="center" vertical="center" wrapText="1"/>
    </xf>
    <xf numFmtId="0" fontId="22" fillId="0" borderId="51" xfId="25" applyFont="1" applyFill="1" applyBorder="1" applyAlignment="1">
      <alignment horizontal="center" vertical="center" wrapText="1"/>
    </xf>
    <xf numFmtId="41" fontId="24" fillId="0" borderId="51" xfId="4" applyNumberFormat="1" applyFont="1" applyFill="1" applyBorder="1" applyAlignment="1">
      <alignment horizontal="center" vertical="center" wrapText="1"/>
    </xf>
    <xf numFmtId="43" fontId="22" fillId="0" borderId="51" xfId="4" applyFont="1" applyFill="1" applyBorder="1" applyAlignment="1">
      <alignment horizontal="center" vertical="center" wrapText="1"/>
    </xf>
    <xf numFmtId="49" fontId="22" fillId="6" borderId="14" xfId="26" applyNumberFormat="1" applyFont="1" applyFill="1" applyBorder="1" applyAlignment="1">
      <alignment horizontal="justify" vertical="center" wrapText="1"/>
    </xf>
    <xf numFmtId="43" fontId="22" fillId="0" borderId="27" xfId="4" applyFont="1" applyFill="1" applyBorder="1" applyAlignment="1">
      <alignment horizontal="center" vertical="center" wrapText="1"/>
    </xf>
    <xf numFmtId="1" fontId="23" fillId="18" borderId="9" xfId="25" applyNumberFormat="1" applyFont="1" applyFill="1" applyBorder="1" applyAlignment="1">
      <alignment horizontal="center" vertical="center"/>
    </xf>
    <xf numFmtId="43" fontId="22" fillId="0" borderId="6" xfId="4" applyFont="1" applyFill="1" applyBorder="1" applyAlignment="1">
      <alignment horizontal="center" vertical="center" wrapText="1"/>
    </xf>
    <xf numFmtId="43" fontId="24" fillId="0" borderId="16" xfId="4" applyFont="1" applyFill="1" applyBorder="1" applyAlignment="1">
      <alignment horizontal="center" vertical="center" wrapText="1"/>
    </xf>
    <xf numFmtId="43" fontId="24" fillId="0" borderId="12" xfId="4" applyFont="1" applyFill="1" applyBorder="1" applyAlignment="1">
      <alignment horizontal="center" vertical="center" wrapText="1"/>
    </xf>
    <xf numFmtId="43" fontId="24" fillId="0" borderId="22" xfId="4" applyFont="1" applyFill="1" applyBorder="1" applyAlignment="1">
      <alignment vertical="center" wrapText="1"/>
    </xf>
    <xf numFmtId="43" fontId="24" fillId="0" borderId="6" xfId="4" applyFont="1" applyFill="1" applyBorder="1" applyAlignment="1">
      <alignment vertical="center" wrapText="1"/>
    </xf>
    <xf numFmtId="43" fontId="24" fillId="0" borderId="6" xfId="4" quotePrefix="1" applyFont="1" applyFill="1" applyBorder="1" applyAlignment="1">
      <alignment vertical="center" wrapText="1"/>
    </xf>
    <xf numFmtId="43" fontId="24" fillId="0" borderId="6" xfId="4" quotePrefix="1" applyFont="1" applyFill="1" applyBorder="1" applyAlignment="1">
      <alignment horizontal="center" vertical="center"/>
    </xf>
    <xf numFmtId="43" fontId="24" fillId="0" borderId="19" xfId="4" applyFont="1" applyFill="1" applyBorder="1" applyAlignment="1">
      <alignment horizontal="center" vertical="center" wrapText="1"/>
    </xf>
    <xf numFmtId="43" fontId="23" fillId="0" borderId="32" xfId="4" applyFont="1" applyFill="1" applyBorder="1" applyAlignment="1">
      <alignment horizontal="justify" vertical="center"/>
    </xf>
    <xf numFmtId="0" fontId="22" fillId="0" borderId="31" xfId="4" applyNumberFormat="1" applyFont="1" applyFill="1" applyBorder="1"/>
    <xf numFmtId="0" fontId="22" fillId="0" borderId="0" xfId="4" applyNumberFormat="1" applyFont="1" applyFill="1"/>
    <xf numFmtId="180" fontId="22" fillId="0" borderId="0" xfId="15" applyFont="1" applyFill="1" applyAlignment="1">
      <alignment horizontal="justify" vertical="center"/>
    </xf>
    <xf numFmtId="43" fontId="22" fillId="26" borderId="9" xfId="4" applyFont="1" applyFill="1" applyBorder="1" applyAlignment="1">
      <alignment vertical="center"/>
    </xf>
    <xf numFmtId="1" fontId="23" fillId="26" borderId="15" xfId="25" applyNumberFormat="1" applyFont="1" applyFill="1" applyBorder="1" applyAlignment="1">
      <alignment horizontal="center" vertical="center"/>
    </xf>
    <xf numFmtId="0" fontId="23" fillId="26" borderId="15" xfId="25" applyFont="1" applyFill="1" applyBorder="1" applyAlignment="1">
      <alignment horizontal="center" vertical="center"/>
    </xf>
    <xf numFmtId="43" fontId="22" fillId="26" borderId="11" xfId="4" applyFont="1" applyFill="1" applyBorder="1" applyAlignment="1">
      <alignment vertical="center"/>
    </xf>
    <xf numFmtId="1" fontId="23" fillId="26" borderId="11" xfId="25" applyNumberFormat="1" applyFont="1" applyFill="1" applyBorder="1" applyAlignment="1">
      <alignment horizontal="center" vertical="center"/>
    </xf>
    <xf numFmtId="0" fontId="23" fillId="26" borderId="11" xfId="25" applyFont="1" applyFill="1" applyBorder="1" applyAlignment="1">
      <alignment horizontal="center" vertical="center"/>
    </xf>
    <xf numFmtId="43" fontId="22" fillId="26" borderId="15" xfId="4" applyFont="1" applyFill="1" applyBorder="1" applyAlignment="1">
      <alignment vertical="center"/>
    </xf>
    <xf numFmtId="0" fontId="22" fillId="26" borderId="15" xfId="25" applyFont="1" applyFill="1" applyBorder="1" applyAlignment="1">
      <alignment vertical="center"/>
    </xf>
    <xf numFmtId="49" fontId="30" fillId="6" borderId="14" xfId="26" applyNumberFormat="1" applyFont="1" applyFill="1" applyBorder="1" applyAlignment="1">
      <alignment horizontal="justify" vertical="center" wrapText="1"/>
    </xf>
    <xf numFmtId="49" fontId="22" fillId="6" borderId="14" xfId="26" applyNumberFormat="1" applyFont="1" applyFill="1" applyBorder="1" applyAlignment="1">
      <alignment horizontal="left" vertical="center" wrapText="1"/>
    </xf>
    <xf numFmtId="43" fontId="23" fillId="26" borderId="15" xfId="4" applyFont="1" applyFill="1" applyBorder="1" applyAlignment="1">
      <alignment vertical="center"/>
    </xf>
    <xf numFmtId="43" fontId="23" fillId="26" borderId="15" xfId="4" applyFont="1" applyFill="1" applyBorder="1" applyAlignment="1">
      <alignment horizontal="justify" vertical="center"/>
    </xf>
    <xf numFmtId="1" fontId="22" fillId="0" borderId="16" xfId="0" applyNumberFormat="1" applyFont="1" applyFill="1" applyBorder="1" applyAlignment="1">
      <alignment horizontal="center" vertical="center"/>
    </xf>
    <xf numFmtId="1" fontId="22" fillId="6" borderId="16" xfId="0" applyNumberFormat="1" applyFont="1" applyFill="1" applyBorder="1" applyAlignment="1">
      <alignment horizontal="center" vertical="center"/>
    </xf>
    <xf numFmtId="0" fontId="23" fillId="25" borderId="11" xfId="0" applyFont="1" applyFill="1" applyBorder="1" applyAlignment="1">
      <alignment horizontal="justify" vertical="center" wrapText="1"/>
    </xf>
    <xf numFmtId="171" fontId="23" fillId="25" borderId="15" xfId="0" applyNumberFormat="1" applyFont="1" applyFill="1" applyBorder="1" applyAlignment="1">
      <alignment horizontal="center" vertical="center"/>
    </xf>
    <xf numFmtId="0" fontId="23" fillId="25" borderId="0" xfId="0" applyFont="1" applyFill="1" applyAlignment="1">
      <alignment horizontal="justify" vertical="center" wrapText="1"/>
    </xf>
    <xf numFmtId="1" fontId="22" fillId="6" borderId="16" xfId="0" applyNumberFormat="1" applyFont="1" applyFill="1" applyBorder="1" applyAlignment="1">
      <alignment horizontal="center" vertical="center" wrapText="1"/>
    </xf>
    <xf numFmtId="0" fontId="22" fillId="0" borderId="51" xfId="0" applyFont="1" applyFill="1" applyBorder="1" applyAlignment="1">
      <alignment horizontal="center" vertical="center" wrapText="1"/>
    </xf>
    <xf numFmtId="174" fontId="4" fillId="0" borderId="51" xfId="0" applyNumberFormat="1" applyFont="1" applyFill="1" applyBorder="1" applyAlignment="1">
      <alignment vertical="center" wrapText="1"/>
    </xf>
    <xf numFmtId="174" fontId="4" fillId="0" borderId="54" xfId="0" applyNumberFormat="1" applyFont="1" applyFill="1" applyBorder="1" applyAlignment="1">
      <alignment vertical="center" wrapText="1"/>
    </xf>
    <xf numFmtId="174" fontId="4" fillId="0" borderId="58" xfId="0" applyNumberFormat="1" applyFont="1" applyFill="1" applyBorder="1" applyAlignment="1">
      <alignment vertical="center" wrapText="1"/>
    </xf>
    <xf numFmtId="174" fontId="4" fillId="0" borderId="27" xfId="0" applyNumberFormat="1" applyFont="1" applyFill="1" applyBorder="1" applyAlignment="1">
      <alignment horizontal="right" vertical="center" wrapText="1"/>
    </xf>
    <xf numFmtId="0" fontId="10" fillId="0" borderId="6" xfId="0" applyFont="1" applyFill="1" applyBorder="1" applyAlignment="1">
      <alignment horizontal="justify" vertical="center" wrapText="1"/>
    </xf>
    <xf numFmtId="43" fontId="10" fillId="0" borderId="6" xfId="6" applyFont="1" applyFill="1" applyBorder="1" applyAlignment="1">
      <alignment horizontal="center" vertical="center" wrapText="1"/>
    </xf>
    <xf numFmtId="1" fontId="10" fillId="0" borderId="6" xfId="0" applyNumberFormat="1" applyFont="1" applyFill="1" applyBorder="1" applyAlignment="1">
      <alignment horizontal="center" vertical="center" wrapText="1"/>
    </xf>
    <xf numFmtId="1" fontId="10" fillId="0" borderId="6" xfId="0" applyNumberFormat="1" applyFont="1" applyFill="1" applyBorder="1" applyAlignment="1">
      <alignment vertical="center" wrapText="1"/>
    </xf>
    <xf numFmtId="43" fontId="8" fillId="0" borderId="14" xfId="6" applyFont="1" applyFill="1" applyBorder="1" applyAlignment="1">
      <alignment horizontal="center" vertical="center" wrapText="1"/>
    </xf>
    <xf numFmtId="43" fontId="8" fillId="0" borderId="19" xfId="6" applyFont="1" applyFill="1" applyBorder="1" applyAlignment="1">
      <alignment horizontal="center" vertical="center" wrapText="1"/>
    </xf>
    <xf numFmtId="0" fontId="8" fillId="0" borderId="22" xfId="0" applyFont="1" applyFill="1" applyBorder="1" applyAlignment="1">
      <alignment horizontal="justify" vertical="center" wrapText="1"/>
    </xf>
    <xf numFmtId="1" fontId="10" fillId="0" borderId="51" xfId="0" applyNumberFormat="1" applyFont="1" applyFill="1" applyBorder="1" applyAlignment="1">
      <alignment horizontal="center" vertical="center" wrapText="1"/>
    </xf>
    <xf numFmtId="0" fontId="10" fillId="0" borderId="51" xfId="0" applyFont="1" applyFill="1" applyBorder="1" applyAlignment="1">
      <alignment horizontal="center" vertical="center" wrapText="1"/>
    </xf>
    <xf numFmtId="43" fontId="8" fillId="0" borderId="51" xfId="6" applyFont="1" applyFill="1" applyBorder="1" applyAlignment="1">
      <alignment horizontal="center" vertical="center" wrapText="1"/>
    </xf>
    <xf numFmtId="1" fontId="10" fillId="0" borderId="15"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43" fontId="8" fillId="0" borderId="23" xfId="6" applyFont="1" applyFill="1" applyBorder="1" applyAlignment="1">
      <alignment horizontal="center" vertical="center" wrapText="1"/>
    </xf>
    <xf numFmtId="1" fontId="22" fillId="0" borderId="27"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2" fillId="0" borderId="51" xfId="0" applyNumberFormat="1" applyFont="1" applyFill="1" applyBorder="1" applyAlignment="1">
      <alignment horizontal="center" vertical="center" wrapText="1"/>
    </xf>
    <xf numFmtId="0" fontId="33" fillId="0" borderId="51" xfId="0" applyFont="1" applyFill="1" applyBorder="1" applyAlignment="1">
      <alignment horizontal="center" vertical="center" wrapText="1"/>
    </xf>
    <xf numFmtId="0" fontId="33" fillId="0" borderId="52" xfId="0" applyFont="1" applyFill="1" applyBorder="1" applyAlignment="1">
      <alignment horizontal="center" vertical="center" wrapText="1"/>
    </xf>
    <xf numFmtId="0" fontId="33" fillId="0" borderId="12" xfId="0" applyFont="1" applyFill="1" applyBorder="1" applyAlignment="1">
      <alignment vertical="center" wrapText="1"/>
    </xf>
    <xf numFmtId="0" fontId="33" fillId="0" borderId="52" xfId="0" applyFont="1" applyFill="1" applyBorder="1" applyAlignment="1">
      <alignment vertical="center" wrapText="1"/>
    </xf>
    <xf numFmtId="166" fontId="24" fillId="0" borderId="51" xfId="28" applyFont="1" applyFill="1" applyBorder="1" applyAlignment="1">
      <alignment horizontal="center" vertical="center" wrapText="1"/>
    </xf>
    <xf numFmtId="166" fontId="24" fillId="0" borderId="54" xfId="28" applyFont="1" applyFill="1" applyBorder="1" applyAlignment="1">
      <alignment horizontal="center" vertical="center" wrapText="1"/>
    </xf>
    <xf numFmtId="166" fontId="24" fillId="0" borderId="53" xfId="28" applyFont="1" applyFill="1" applyBorder="1" applyAlignment="1">
      <alignment horizontal="center" vertical="center" wrapText="1"/>
    </xf>
    <xf numFmtId="41" fontId="4" fillId="0" borderId="51" xfId="0" applyNumberFormat="1" applyFont="1" applyFill="1" applyBorder="1" applyAlignment="1">
      <alignment horizontal="left" vertical="center" wrapText="1"/>
    </xf>
    <xf numFmtId="1" fontId="14" fillId="0" borderId="51" xfId="0" applyNumberFormat="1" applyFont="1" applyFill="1" applyBorder="1" applyAlignment="1">
      <alignment horizontal="center" vertical="center" wrapText="1"/>
    </xf>
    <xf numFmtId="41" fontId="14" fillId="0" borderId="51" xfId="0" applyNumberFormat="1" applyFont="1" applyFill="1" applyBorder="1" applyAlignment="1">
      <alignment horizontal="left" vertical="center"/>
    </xf>
    <xf numFmtId="4" fontId="4" fillId="0" borderId="51" xfId="4" applyNumberFormat="1" applyFont="1" applyFill="1" applyBorder="1" applyAlignment="1">
      <alignment vertical="center"/>
    </xf>
    <xf numFmtId="0" fontId="4" fillId="0" borderId="51" xfId="0" applyFont="1" applyFill="1" applyBorder="1" applyAlignment="1">
      <alignment horizontal="left" vertical="center" wrapText="1"/>
    </xf>
    <xf numFmtId="43" fontId="4" fillId="0" borderId="27" xfId="4" applyFont="1" applyFill="1" applyBorder="1" applyAlignment="1">
      <alignment horizontal="center" vertical="center"/>
    </xf>
    <xf numFmtId="43" fontId="4" fillId="0" borderId="6" xfId="4" applyFont="1" applyFill="1" applyBorder="1" applyAlignment="1">
      <alignment horizontal="center" vertical="center"/>
    </xf>
    <xf numFmtId="0" fontId="4" fillId="0" borderId="20" xfId="0" applyFont="1" applyFill="1" applyBorder="1" applyAlignment="1">
      <alignment vertical="center" wrapText="1"/>
    </xf>
    <xf numFmtId="174" fontId="4" fillId="0" borderId="20" xfId="4" applyNumberFormat="1" applyFont="1" applyFill="1" applyBorder="1" applyAlignment="1">
      <alignment horizontal="center" vertical="center" wrapText="1"/>
    </xf>
    <xf numFmtId="174" fontId="4" fillId="0" borderId="12" xfId="4" applyNumberFormat="1" applyFont="1" applyFill="1" applyBorder="1" applyAlignment="1">
      <alignment horizontal="center" vertical="center" wrapText="1"/>
    </xf>
    <xf numFmtId="0" fontId="4" fillId="0" borderId="6" xfId="0" applyFont="1" applyFill="1" applyBorder="1" applyAlignment="1">
      <alignment horizontal="justify" vertical="center"/>
    </xf>
    <xf numFmtId="43" fontId="4" fillId="0" borderId="6" xfId="4" applyFont="1" applyFill="1" applyBorder="1" applyAlignment="1">
      <alignment horizontal="justify" vertical="center"/>
    </xf>
    <xf numFmtId="0" fontId="14" fillId="0" borderId="51" xfId="0" applyFont="1" applyFill="1" applyBorder="1" applyAlignment="1">
      <alignment horizontal="left" vertical="center"/>
    </xf>
    <xf numFmtId="174" fontId="4" fillId="0" borderId="6" xfId="4" applyNumberFormat="1" applyFont="1" applyFill="1" applyBorder="1" applyAlignment="1">
      <alignment vertical="center"/>
    </xf>
    <xf numFmtId="174" fontId="4" fillId="0" borderId="20" xfId="4" applyNumberFormat="1" applyFont="1" applyFill="1" applyBorder="1" applyAlignment="1">
      <alignment horizontal="center" vertical="center"/>
    </xf>
    <xf numFmtId="0" fontId="14" fillId="0" borderId="51" xfId="0" applyFont="1" applyFill="1" applyBorder="1" applyAlignment="1">
      <alignment vertical="center" wrapText="1"/>
    </xf>
    <xf numFmtId="167" fontId="14" fillId="0" borderId="58" xfId="0" applyNumberFormat="1" applyFont="1" applyFill="1" applyBorder="1" applyAlignment="1">
      <alignment vertical="center"/>
    </xf>
    <xf numFmtId="1" fontId="4" fillId="0" borderId="51" xfId="0" applyNumberFormat="1" applyFont="1" applyFill="1" applyBorder="1" applyAlignment="1">
      <alignment horizontal="center" vertical="center"/>
    </xf>
    <xf numFmtId="43" fontId="4" fillId="0" borderId="27" xfId="4" applyFont="1" applyFill="1" applyBorder="1" applyAlignment="1">
      <alignment horizontal="justify" vertical="center"/>
    </xf>
    <xf numFmtId="1" fontId="4" fillId="0" borderId="27" xfId="0" applyNumberFormat="1" applyFont="1" applyFill="1" applyBorder="1" applyAlignment="1">
      <alignment horizontal="center" vertical="center"/>
    </xf>
    <xf numFmtId="43" fontId="4" fillId="0" borderId="6" xfId="4" applyFont="1" applyFill="1" applyBorder="1" applyAlignment="1">
      <alignment horizontal="justify" vertical="center" wrapText="1"/>
    </xf>
    <xf numFmtId="0" fontId="4" fillId="0" borderId="16" xfId="0" applyFont="1" applyFill="1" applyBorder="1" applyAlignment="1">
      <alignment horizontal="justify" vertical="center" wrapText="1"/>
    </xf>
    <xf numFmtId="174" fontId="4" fillId="0" borderId="51" xfId="4" applyNumberFormat="1" applyFont="1" applyFill="1" applyBorder="1" applyAlignment="1">
      <alignment horizontal="center" vertical="center"/>
    </xf>
    <xf numFmtId="43" fontId="8" fillId="0" borderId="51" xfId="4" applyFont="1" applyFill="1" applyBorder="1" applyAlignment="1">
      <alignment vertical="center" wrapText="1"/>
    </xf>
    <xf numFmtId="0" fontId="4" fillId="0" borderId="27" xfId="0" applyFont="1" applyFill="1" applyBorder="1" applyAlignment="1">
      <alignment horizontal="justify" vertical="center"/>
    </xf>
    <xf numFmtId="41" fontId="4" fillId="0" borderId="51" xfId="0" applyNumberFormat="1" applyFont="1" applyBorder="1" applyAlignment="1">
      <alignment horizontal="left" vertical="center"/>
    </xf>
    <xf numFmtId="43" fontId="4" fillId="0" borderId="20" xfId="4" applyFont="1" applyBorder="1" applyAlignment="1">
      <alignment horizontal="center" vertical="center"/>
    </xf>
    <xf numFmtId="43" fontId="4" fillId="0" borderId="27" xfId="4" applyFont="1" applyBorder="1" applyAlignment="1">
      <alignment horizontal="center" vertical="center"/>
    </xf>
    <xf numFmtId="43" fontId="8" fillId="0" borderId="57" xfId="4" applyFont="1" applyFill="1" applyBorder="1" applyAlignment="1">
      <alignment horizontal="center" vertical="center" wrapText="1"/>
    </xf>
    <xf numFmtId="0" fontId="14" fillId="0" borderId="52" xfId="0" applyFont="1" applyBorder="1" applyAlignment="1">
      <alignment horizontal="center" vertical="center"/>
    </xf>
    <xf numFmtId="1" fontId="4" fillId="0" borderId="16" xfId="0" applyNumberFormat="1" applyFont="1" applyFill="1" applyBorder="1" applyAlignment="1">
      <alignment horizontal="center" vertical="center" wrapText="1"/>
    </xf>
    <xf numFmtId="1" fontId="4" fillId="6" borderId="16" xfId="0" applyNumberFormat="1" applyFont="1" applyFill="1" applyBorder="1" applyAlignment="1">
      <alignment horizontal="center" vertical="center" wrapText="1"/>
    </xf>
    <xf numFmtId="43" fontId="4" fillId="0" borderId="19" xfId="4" applyFont="1" applyBorder="1" applyAlignment="1">
      <alignment horizontal="center" vertical="center" wrapText="1"/>
    </xf>
    <xf numFmtId="1" fontId="4" fillId="0" borderId="12" xfId="0" applyNumberFormat="1" applyFont="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0" borderId="16" xfId="0" applyNumberFormat="1" applyFont="1" applyBorder="1" applyAlignment="1">
      <alignment horizontal="center" vertical="center" wrapText="1"/>
    </xf>
    <xf numFmtId="0" fontId="22" fillId="6" borderId="0" xfId="0" applyFont="1" applyFill="1" applyBorder="1"/>
    <xf numFmtId="0" fontId="22" fillId="6" borderId="9" xfId="0" applyFont="1" applyFill="1" applyBorder="1"/>
    <xf numFmtId="0" fontId="30" fillId="0" borderId="14" xfId="0" applyFont="1" applyFill="1" applyBorder="1" applyAlignment="1">
      <alignment horizontal="justify" vertical="center" wrapText="1"/>
    </xf>
    <xf numFmtId="0" fontId="30" fillId="0" borderId="19" xfId="0" applyFont="1" applyFill="1" applyBorder="1" applyAlignment="1">
      <alignment horizontal="justify" vertical="center" wrapText="1"/>
    </xf>
    <xf numFmtId="3" fontId="22" fillId="0" borderId="52" xfId="13" applyNumberFormat="1" applyFont="1" applyFill="1" applyBorder="1" applyAlignment="1">
      <alignment horizontal="center" vertical="center" wrapText="1"/>
    </xf>
    <xf numFmtId="3" fontId="22" fillId="0" borderId="52" xfId="13" applyNumberFormat="1" applyFont="1" applyFill="1" applyBorder="1" applyAlignment="1">
      <alignment horizontal="center" vertical="center"/>
    </xf>
    <xf numFmtId="1" fontId="22" fillId="0" borderId="13" xfId="13" applyNumberFormat="1" applyFont="1" applyFill="1" applyBorder="1" applyAlignment="1">
      <alignment horizontal="center" vertical="center"/>
    </xf>
    <xf numFmtId="1" fontId="22" fillId="0" borderId="12" xfId="13" applyNumberFormat="1" applyFont="1" applyFill="1" applyBorder="1" applyAlignment="1">
      <alignment horizontal="center" vertical="center"/>
    </xf>
    <xf numFmtId="1" fontId="22" fillId="0" borderId="16" xfId="13" applyNumberFormat="1" applyFont="1" applyFill="1" applyBorder="1" applyAlignment="1">
      <alignment horizontal="center" vertical="center"/>
    </xf>
    <xf numFmtId="1" fontId="22" fillId="0" borderId="52" xfId="13" applyNumberFormat="1" applyFont="1" applyFill="1" applyBorder="1" applyAlignment="1">
      <alignment horizontal="center" vertical="center"/>
    </xf>
    <xf numFmtId="0" fontId="30" fillId="0" borderId="53" xfId="13" applyNumberFormat="1"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7" fillId="15" borderId="51" xfId="0" applyFont="1" applyFill="1" applyBorder="1" applyAlignment="1">
      <alignment horizontal="center" vertical="center"/>
    </xf>
    <xf numFmtId="0" fontId="24" fillId="0" borderId="14" xfId="12" applyFont="1" applyFill="1" applyBorder="1" applyAlignment="1">
      <alignment horizontal="justify" vertical="center" wrapText="1"/>
    </xf>
    <xf numFmtId="0" fontId="24" fillId="6" borderId="14" xfId="12" applyFont="1" applyFill="1" applyBorder="1" applyAlignment="1">
      <alignment horizontal="justify" vertical="center" wrapText="1"/>
    </xf>
    <xf numFmtId="0" fontId="24" fillId="6" borderId="14" xfId="0" applyFont="1" applyFill="1" applyBorder="1" applyAlignment="1">
      <alignment horizontal="justify" vertical="center" wrapText="1"/>
    </xf>
    <xf numFmtId="0" fontId="23" fillId="14" borderId="51" xfId="0" applyFont="1" applyFill="1" applyBorder="1" applyAlignment="1">
      <alignment horizontal="center" vertical="center"/>
    </xf>
    <xf numFmtId="168" fontId="33" fillId="0" borderId="0" xfId="0" applyNumberFormat="1" applyFont="1" applyFill="1" applyBorder="1" applyAlignment="1">
      <alignment horizontal="center" vertical="center" wrapText="1"/>
    </xf>
    <xf numFmtId="0" fontId="22" fillId="0" borderId="52" xfId="0" applyFont="1" applyFill="1" applyBorder="1" applyAlignment="1">
      <alignment horizontal="center" vertical="center"/>
    </xf>
    <xf numFmtId="168" fontId="33" fillId="0" borderId="52" xfId="0" applyNumberFormat="1" applyFont="1" applyFill="1" applyBorder="1" applyAlignment="1">
      <alignment horizontal="center" vertical="center" wrapText="1"/>
    </xf>
    <xf numFmtId="9" fontId="4" fillId="6" borderId="6" xfId="0" applyNumberFormat="1" applyFont="1" applyFill="1" applyBorder="1" applyAlignment="1">
      <alignment horizontal="center" vertical="center" wrapText="1"/>
    </xf>
    <xf numFmtId="0" fontId="4" fillId="6" borderId="6" xfId="0" applyFont="1" applyFill="1" applyBorder="1" applyAlignment="1">
      <alignment horizontal="left" vertical="center" wrapText="1"/>
    </xf>
    <xf numFmtId="1" fontId="10" fillId="0" borderId="52" xfId="0" applyNumberFormat="1" applyFont="1" applyBorder="1" applyAlignment="1">
      <alignment horizontal="center" vertical="center" wrapText="1"/>
    </xf>
    <xf numFmtId="167" fontId="22" fillId="6" borderId="0" xfId="0" applyNumberFormat="1" applyFont="1" applyFill="1" applyAlignment="1">
      <alignment horizontal="center" vertical="center"/>
    </xf>
    <xf numFmtId="43" fontId="4" fillId="0" borderId="51" xfId="4" applyFont="1" applyFill="1" applyBorder="1" applyAlignment="1">
      <alignment horizontal="center" vertical="center"/>
    </xf>
    <xf numFmtId="1" fontId="4" fillId="0" borderId="57" xfId="0" applyNumberFormat="1" applyFont="1" applyFill="1" applyBorder="1" applyAlignment="1">
      <alignment horizontal="center" vertical="center" wrapText="1"/>
    </xf>
    <xf numFmtId="1" fontId="4" fillId="0" borderId="60" xfId="0" applyNumberFormat="1" applyFont="1" applyFill="1" applyBorder="1" applyAlignment="1">
      <alignment horizontal="center" vertical="center" wrapText="1"/>
    </xf>
    <xf numFmtId="1" fontId="4" fillId="0" borderId="54" xfId="0" applyNumberFormat="1" applyFont="1" applyFill="1" applyBorder="1" applyAlignment="1">
      <alignment horizontal="center" vertical="center" wrapText="1"/>
    </xf>
    <xf numFmtId="167" fontId="23" fillId="0" borderId="9" xfId="0" applyNumberFormat="1" applyFont="1" applyBorder="1" applyAlignment="1">
      <alignment vertical="center"/>
    </xf>
    <xf numFmtId="167" fontId="23" fillId="21" borderId="15" xfId="0" applyNumberFormat="1" applyFont="1" applyFill="1" applyBorder="1" applyAlignment="1">
      <alignment horizontal="justify" vertical="center"/>
    </xf>
    <xf numFmtId="167" fontId="23" fillId="17" borderId="9" xfId="0" applyNumberFormat="1" applyFont="1" applyFill="1" applyBorder="1" applyAlignment="1">
      <alignment horizontal="center" vertical="center"/>
    </xf>
    <xf numFmtId="167" fontId="23" fillId="7" borderId="15" xfId="0" applyNumberFormat="1" applyFont="1" applyFill="1" applyBorder="1" applyAlignment="1">
      <alignment horizontal="center" vertical="center"/>
    </xf>
    <xf numFmtId="167" fontId="22" fillId="6" borderId="0" xfId="0" applyNumberFormat="1" applyFont="1" applyFill="1" applyAlignment="1">
      <alignment horizontal="justify" vertical="center" wrapText="1"/>
    </xf>
    <xf numFmtId="0" fontId="24" fillId="27" borderId="16" xfId="0" applyFont="1" applyFill="1" applyBorder="1" applyAlignment="1">
      <alignment wrapText="1"/>
    </xf>
    <xf numFmtId="0" fontId="24" fillId="27" borderId="6" xfId="0" applyFont="1" applyFill="1" applyBorder="1" applyAlignment="1">
      <alignment horizontal="center" vertical="center" wrapText="1"/>
    </xf>
    <xf numFmtId="43" fontId="22" fillId="0" borderId="14" xfId="4" applyFont="1" applyFill="1" applyBorder="1" applyAlignment="1">
      <alignment vertical="center"/>
    </xf>
    <xf numFmtId="1" fontId="22" fillId="6" borderId="12" xfId="0" applyNumberFormat="1" applyFont="1" applyFill="1" applyBorder="1" applyAlignment="1">
      <alignment horizontal="center" vertical="center"/>
    </xf>
    <xf numFmtId="1" fontId="6" fillId="14" borderId="51" xfId="0" applyNumberFormat="1" applyFont="1" applyFill="1" applyBorder="1" applyAlignment="1">
      <alignment horizontal="center" vertical="center"/>
    </xf>
    <xf numFmtId="0" fontId="6" fillId="14" borderId="51" xfId="0" applyFont="1" applyFill="1" applyBorder="1" applyAlignment="1">
      <alignment vertical="center"/>
    </xf>
    <xf numFmtId="0" fontId="6" fillId="14" borderId="51" xfId="0" applyFont="1" applyFill="1" applyBorder="1" applyAlignment="1">
      <alignment horizontal="justify" vertical="center"/>
    </xf>
    <xf numFmtId="0" fontId="6" fillId="14" borderId="51" xfId="0" applyFont="1" applyFill="1" applyBorder="1" applyAlignment="1">
      <alignment horizontal="center" vertical="center"/>
    </xf>
    <xf numFmtId="0" fontId="4" fillId="14" borderId="51" xfId="0" applyFont="1" applyFill="1" applyBorder="1" applyAlignment="1">
      <alignment horizontal="center" vertical="center"/>
    </xf>
    <xf numFmtId="170" fontId="6" fillId="14" borderId="51" xfId="0" applyNumberFormat="1" applyFont="1" applyFill="1" applyBorder="1" applyAlignment="1">
      <alignment horizontal="center" vertical="center"/>
    </xf>
    <xf numFmtId="14" fontId="4" fillId="14" borderId="51" xfId="0" applyNumberFormat="1" applyFont="1" applyFill="1" applyBorder="1" applyAlignment="1">
      <alignment vertical="center"/>
    </xf>
    <xf numFmtId="1" fontId="6" fillId="15" borderId="51" xfId="0" applyNumberFormat="1" applyFont="1" applyFill="1" applyBorder="1" applyAlignment="1">
      <alignment horizontal="center" vertical="center" wrapText="1"/>
    </xf>
    <xf numFmtId="0" fontId="6" fillId="15" borderId="51" xfId="0" applyFont="1" applyFill="1" applyBorder="1" applyAlignment="1">
      <alignment vertical="center"/>
    </xf>
    <xf numFmtId="0" fontId="4" fillId="15" borderId="51" xfId="0" applyFont="1" applyFill="1" applyBorder="1" applyAlignment="1">
      <alignment horizontal="center" vertical="center"/>
    </xf>
    <xf numFmtId="170" fontId="6" fillId="15" borderId="51" xfId="0" applyNumberFormat="1" applyFont="1" applyFill="1" applyBorder="1" applyAlignment="1">
      <alignment horizontal="center" vertical="center"/>
    </xf>
    <xf numFmtId="14" fontId="4" fillId="15" borderId="51" xfId="0" applyNumberFormat="1" applyFont="1" applyFill="1" applyBorder="1" applyAlignment="1">
      <alignment vertical="center"/>
    </xf>
    <xf numFmtId="0" fontId="22" fillId="0" borderId="51" xfId="25" applyFont="1" applyBorder="1"/>
    <xf numFmtId="0" fontId="22" fillId="26" borderId="9" xfId="25" applyFont="1" applyFill="1" applyBorder="1" applyAlignment="1">
      <alignment vertical="center"/>
    </xf>
    <xf numFmtId="0" fontId="22" fillId="0" borderId="51" xfId="25" applyFont="1" applyBorder="1" applyAlignment="1">
      <alignment vertical="center"/>
    </xf>
    <xf numFmtId="0" fontId="22" fillId="0" borderId="51" xfId="25" applyFont="1" applyBorder="1" applyAlignment="1">
      <alignment horizontal="center" vertical="center"/>
    </xf>
    <xf numFmtId="49" fontId="22" fillId="0" borderId="13" xfId="13" applyNumberFormat="1" applyFont="1" applyFill="1" applyBorder="1" applyAlignment="1">
      <alignment horizontal="center" vertical="center"/>
    </xf>
    <xf numFmtId="166" fontId="24" fillId="0" borderId="52" xfId="28" applyFont="1" applyFill="1" applyBorder="1" applyAlignment="1">
      <alignment horizontal="center" vertical="center" wrapText="1"/>
    </xf>
    <xf numFmtId="49" fontId="22" fillId="6" borderId="51" xfId="26" applyNumberFormat="1" applyFont="1" applyFill="1" applyBorder="1" applyAlignment="1">
      <alignment vertical="center" wrapText="1"/>
    </xf>
    <xf numFmtId="49" fontId="22" fillId="6" borderId="21" xfId="26" applyNumberFormat="1" applyFont="1" applyFill="1" applyBorder="1" applyAlignment="1">
      <alignment horizontal="justify" vertical="center" wrapText="1"/>
    </xf>
    <xf numFmtId="43" fontId="24" fillId="0" borderId="53" xfId="4" applyFont="1" applyFill="1" applyBorder="1" applyAlignment="1">
      <alignment horizontal="center" vertical="center" wrapText="1"/>
    </xf>
    <xf numFmtId="192" fontId="22" fillId="0" borderId="51" xfId="25" applyNumberFormat="1" applyFont="1" applyBorder="1"/>
    <xf numFmtId="0" fontId="0" fillId="0" borderId="0" xfId="0"/>
    <xf numFmtId="0" fontId="4" fillId="0" borderId="6" xfId="0" applyFont="1" applyFill="1" applyBorder="1" applyAlignment="1">
      <alignment horizontal="justify" vertical="center" wrapText="1"/>
    </xf>
    <xf numFmtId="0" fontId="4" fillId="0" borderId="52" xfId="0" applyFont="1" applyFill="1" applyBorder="1" applyAlignment="1">
      <alignment horizontal="center" vertical="center" wrapText="1"/>
    </xf>
    <xf numFmtId="1" fontId="23" fillId="14" borderId="16" xfId="0" applyNumberFormat="1" applyFont="1" applyFill="1" applyBorder="1" applyAlignment="1">
      <alignment horizontal="center" vertical="center"/>
    </xf>
    <xf numFmtId="1" fontId="23" fillId="15" borderId="16" xfId="0" applyNumberFormat="1" applyFont="1" applyFill="1" applyBorder="1" applyAlignment="1">
      <alignment horizontal="center" vertical="center"/>
    </xf>
    <xf numFmtId="49" fontId="4" fillId="6" borderId="16" xfId="0" applyNumberFormat="1" applyFont="1" applyFill="1" applyBorder="1" applyAlignment="1">
      <alignment horizontal="center" vertical="center" wrapText="1"/>
    </xf>
    <xf numFmtId="1" fontId="4" fillId="6" borderId="51" xfId="0" applyNumberFormat="1" applyFont="1" applyFill="1" applyBorder="1" applyAlignment="1">
      <alignment horizontal="center" vertical="center" wrapText="1"/>
    </xf>
    <xf numFmtId="0" fontId="6" fillId="14" borderId="58" xfId="0" applyFont="1" applyFill="1" applyBorder="1" applyAlignment="1">
      <alignment horizontal="justify" vertical="center"/>
    </xf>
    <xf numFmtId="0" fontId="6" fillId="15" borderId="58" xfId="0" applyFont="1" applyFill="1" applyBorder="1" applyAlignment="1">
      <alignment horizontal="justify" vertical="center"/>
    </xf>
    <xf numFmtId="1" fontId="4" fillId="6" borderId="15" xfId="0" applyNumberFormat="1" applyFont="1" applyFill="1" applyBorder="1" applyAlignment="1">
      <alignment horizontal="center" vertical="center" wrapText="1"/>
    </xf>
    <xf numFmtId="1" fontId="4" fillId="6" borderId="11" xfId="0" applyNumberFormat="1" applyFont="1" applyFill="1" applyBorder="1" applyAlignment="1">
      <alignment horizontal="center" vertical="center" wrapText="1"/>
    </xf>
    <xf numFmtId="1" fontId="8" fillId="0" borderId="60" xfId="0" applyNumberFormat="1" applyFont="1" applyFill="1" applyBorder="1" applyAlignment="1">
      <alignment horizontal="center" vertical="center" wrapText="1"/>
    </xf>
    <xf numFmtId="1" fontId="8" fillId="0" borderId="52" xfId="0" applyNumberFormat="1" applyFont="1" applyFill="1" applyBorder="1" applyAlignment="1">
      <alignment horizontal="center" vertical="center" wrapText="1"/>
    </xf>
    <xf numFmtId="0" fontId="4" fillId="0" borderId="52" xfId="0" applyFont="1" applyFill="1" applyBorder="1" applyAlignment="1">
      <alignment horizontal="center" vertical="center"/>
    </xf>
    <xf numFmtId="0" fontId="6" fillId="0" borderId="0" xfId="0" applyFont="1" applyAlignment="1">
      <alignment horizontal="justify"/>
    </xf>
    <xf numFmtId="0" fontId="0" fillId="0" borderId="0" xfId="0" applyBorder="1"/>
    <xf numFmtId="167" fontId="46" fillId="0" borderId="0" xfId="0" applyNumberFormat="1" applyFont="1" applyBorder="1" applyAlignment="1">
      <alignment horizontal="center" vertical="center"/>
    </xf>
    <xf numFmtId="171" fontId="6" fillId="6" borderId="0" xfId="0" applyNumberFormat="1" applyFont="1" applyFill="1" applyBorder="1" applyAlignment="1">
      <alignment vertical="center"/>
    </xf>
    <xf numFmtId="0" fontId="4" fillId="6" borderId="0" xfId="0" applyFont="1" applyFill="1" applyBorder="1" applyAlignment="1">
      <alignment horizontal="center"/>
    </xf>
    <xf numFmtId="0" fontId="4" fillId="6" borderId="0" xfId="0" applyFont="1" applyFill="1" applyBorder="1"/>
    <xf numFmtId="176" fontId="6" fillId="6" borderId="0" xfId="0" applyNumberFormat="1" applyFont="1" applyFill="1" applyBorder="1" applyAlignment="1">
      <alignment horizontal="right" vertical="center"/>
    </xf>
    <xf numFmtId="1" fontId="4" fillId="6" borderId="0" xfId="0" applyNumberFormat="1" applyFont="1" applyFill="1" applyBorder="1"/>
    <xf numFmtId="1" fontId="4" fillId="0" borderId="0" xfId="0" applyNumberFormat="1" applyFont="1" applyBorder="1"/>
    <xf numFmtId="0" fontId="4" fillId="0" borderId="0" xfId="0" applyFont="1" applyBorder="1"/>
    <xf numFmtId="0" fontId="4" fillId="0" borderId="0" xfId="0" applyFont="1" applyBorder="1" applyAlignment="1">
      <alignment vertical="center" wrapText="1"/>
    </xf>
    <xf numFmtId="0" fontId="4" fillId="0" borderId="0" xfId="0" applyFont="1" applyBorder="1" applyAlignment="1">
      <alignment horizontal="justify" vertical="center"/>
    </xf>
    <xf numFmtId="0" fontId="4" fillId="0" borderId="0" xfId="0" applyFont="1" applyBorder="1" applyAlignment="1">
      <alignment horizontal="center"/>
    </xf>
    <xf numFmtId="1" fontId="4" fillId="6" borderId="0" xfId="0" applyNumberFormat="1" applyFont="1" applyFill="1" applyBorder="1" applyAlignment="1">
      <alignment horizontal="center" vertical="center"/>
    </xf>
    <xf numFmtId="0" fontId="4" fillId="6" borderId="0" xfId="0" applyFont="1" applyFill="1" applyBorder="1" applyAlignment="1">
      <alignment horizontal="center" vertical="center"/>
    </xf>
    <xf numFmtId="0" fontId="4" fillId="6" borderId="0" xfId="0" applyFont="1" applyFill="1" applyBorder="1" applyAlignment="1">
      <alignment horizontal="justify" vertical="center"/>
    </xf>
    <xf numFmtId="0" fontId="4" fillId="6" borderId="0" xfId="0" applyFont="1" applyFill="1" applyBorder="1" applyAlignment="1">
      <alignment horizontal="justify"/>
    </xf>
    <xf numFmtId="170" fontId="4" fillId="6" borderId="0" xfId="0" applyNumberFormat="1" applyFont="1" applyFill="1" applyBorder="1" applyAlignment="1">
      <alignment horizontal="center" vertical="center"/>
    </xf>
    <xf numFmtId="175" fontId="4" fillId="6" borderId="0" xfId="2" applyNumberFormat="1" applyFont="1" applyFill="1" applyBorder="1" applyAlignment="1">
      <alignment horizontal="justify" vertical="center"/>
    </xf>
    <xf numFmtId="0" fontId="48" fillId="0" borderId="0" xfId="0" applyFont="1" applyFill="1" applyBorder="1" applyAlignment="1"/>
    <xf numFmtId="0" fontId="0" fillId="0" borderId="51" xfId="0" applyBorder="1" applyAlignment="1">
      <alignment horizontal="center" vertical="center"/>
    </xf>
    <xf numFmtId="0" fontId="7" fillId="15" borderId="51" xfId="0" applyFont="1" applyFill="1" applyBorder="1" applyAlignment="1">
      <alignment horizontal="center" vertical="center"/>
    </xf>
    <xf numFmtId="49" fontId="4" fillId="6" borderId="51" xfId="0" applyNumberFormat="1" applyFont="1" applyFill="1" applyBorder="1" applyAlignment="1">
      <alignment horizontal="center" vertical="center" wrapText="1"/>
    </xf>
    <xf numFmtId="49" fontId="8" fillId="0" borderId="51" xfId="0" applyNumberFormat="1" applyFont="1" applyFill="1" applyBorder="1" applyAlignment="1">
      <alignment horizontal="center" vertical="center" wrapText="1"/>
    </xf>
    <xf numFmtId="177" fontId="24" fillId="6" borderId="13"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3" fontId="24" fillId="0" borderId="16"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0" fontId="22" fillId="0" borderId="57" xfId="0" applyFont="1" applyBorder="1" applyAlignment="1">
      <alignment horizontal="center" vertical="center" wrapText="1"/>
    </xf>
    <xf numFmtId="3" fontId="8" fillId="0" borderId="13" xfId="0" applyNumberFormat="1" applyFont="1" applyBorder="1" applyAlignment="1">
      <alignment horizontal="center" vertical="center" wrapText="1"/>
    </xf>
    <xf numFmtId="0" fontId="0" fillId="0" borderId="51" xfId="0" applyBorder="1" applyAlignment="1">
      <alignment horizontal="center"/>
    </xf>
    <xf numFmtId="177" fontId="24" fillId="6" borderId="16" xfId="0" applyNumberFormat="1" applyFont="1" applyFill="1" applyBorder="1" applyAlignment="1">
      <alignment horizontal="center" vertical="center" wrapText="1"/>
    </xf>
    <xf numFmtId="177" fontId="24" fillId="6" borderId="12" xfId="0" applyNumberFormat="1" applyFont="1" applyFill="1" applyBorder="1" applyAlignment="1">
      <alignment horizontal="center" vertical="center" wrapText="1"/>
    </xf>
    <xf numFmtId="177" fontId="24" fillId="6" borderId="52" xfId="0" applyNumberFormat="1" applyFont="1" applyFill="1" applyBorder="1" applyAlignment="1">
      <alignment horizontal="center" vertical="center" wrapText="1"/>
    </xf>
    <xf numFmtId="0" fontId="0" fillId="0" borderId="53" xfId="0" applyBorder="1" applyAlignment="1">
      <alignment horizontal="center" vertical="center"/>
    </xf>
    <xf numFmtId="0" fontId="4" fillId="0" borderId="0" xfId="0" applyFont="1" applyBorder="1" applyAlignment="1">
      <alignment horizontal="justify"/>
    </xf>
    <xf numFmtId="0" fontId="6" fillId="0" borderId="0" xfId="0" applyFont="1" applyBorder="1" applyAlignment="1">
      <alignment horizontal="center" vertical="center"/>
    </xf>
    <xf numFmtId="171" fontId="6" fillId="0" borderId="0" xfId="0" applyNumberFormat="1" applyFont="1" applyBorder="1" applyAlignment="1">
      <alignment horizontal="justify" vertical="center"/>
    </xf>
    <xf numFmtId="0" fontId="4" fillId="6" borderId="0" xfId="0" applyFont="1" applyFill="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4" xfId="0" applyFont="1" applyBorder="1" applyAlignment="1">
      <alignment horizontal="center" vertical="center" wrapText="1"/>
    </xf>
    <xf numFmtId="0" fontId="6" fillId="0" borderId="9" xfId="0" applyFont="1" applyBorder="1" applyAlignment="1">
      <alignment horizontal="center" vertical="center"/>
    </xf>
    <xf numFmtId="0" fontId="4" fillId="0" borderId="20" xfId="0" applyFont="1" applyBorder="1" applyAlignment="1">
      <alignment horizontal="justify" vertical="center" wrapText="1"/>
    </xf>
    <xf numFmtId="0" fontId="11" fillId="0" borderId="9" xfId="0" applyFont="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horizontal="justify" vertical="center" wrapText="1"/>
    </xf>
    <xf numFmtId="43" fontId="10" fillId="0" borderId="6" xfId="6" applyFont="1" applyBorder="1" applyAlignment="1">
      <alignment horizontal="center" vertical="center" wrapText="1"/>
    </xf>
    <xf numFmtId="3" fontId="10" fillId="0" borderId="6" xfId="0" applyNumberFormat="1" applyFont="1" applyBorder="1" applyAlignment="1">
      <alignment horizontal="center" vertical="center"/>
    </xf>
    <xf numFmtId="3" fontId="10" fillId="0" borderId="16" xfId="0" applyNumberFormat="1" applyFont="1" applyBorder="1" applyAlignment="1">
      <alignment horizontal="center" vertical="center"/>
    </xf>
    <xf numFmtId="169" fontId="10" fillId="0" borderId="6"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20" xfId="0" applyNumberFormat="1" applyFont="1" applyBorder="1" applyAlignment="1">
      <alignment horizontal="center" vertical="center"/>
    </xf>
    <xf numFmtId="0" fontId="10" fillId="2" borderId="2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14" xfId="0" applyFont="1" applyBorder="1" applyAlignment="1">
      <alignment horizontal="center" vertical="center" wrapText="1"/>
    </xf>
    <xf numFmtId="10" fontId="8" fillId="2" borderId="20" xfId="5" applyNumberFormat="1" applyFont="1" applyFill="1" applyBorder="1" applyAlignment="1">
      <alignment horizontal="center" vertical="center" wrapText="1"/>
    </xf>
    <xf numFmtId="0" fontId="23" fillId="0" borderId="11" xfId="0" applyFont="1" applyBorder="1" applyAlignment="1">
      <alignment horizontal="center" vertical="center"/>
    </xf>
    <xf numFmtId="0" fontId="23" fillId="0" borderId="9" xfId="0" applyFont="1" applyBorder="1" applyAlignment="1">
      <alignment horizontal="center" vertical="center"/>
    </xf>
    <xf numFmtId="0" fontId="8" fillId="0" borderId="20" xfId="0" applyFont="1" applyBorder="1" applyAlignment="1">
      <alignment horizontal="justify" vertical="center" wrapText="1"/>
    </xf>
    <xf numFmtId="0" fontId="8" fillId="6" borderId="20" xfId="0" applyFont="1" applyFill="1" applyBorder="1" applyAlignment="1">
      <alignment horizontal="justify" vertical="center" wrapText="1"/>
    </xf>
    <xf numFmtId="0" fontId="22" fillId="6" borderId="6" xfId="0" applyFont="1" applyFill="1" applyBorder="1" applyAlignment="1">
      <alignment horizontal="center" vertical="center" wrapText="1"/>
    </xf>
    <xf numFmtId="0" fontId="8" fillId="6" borderId="6" xfId="0" applyFont="1" applyFill="1" applyBorder="1" applyAlignment="1">
      <alignment horizontal="justify" vertical="center" wrapText="1"/>
    </xf>
    <xf numFmtId="0" fontId="4" fillId="6" borderId="6" xfId="0" applyFont="1" applyFill="1" applyBorder="1" applyAlignment="1">
      <alignment horizontal="justify" vertical="center" wrapText="1"/>
    </xf>
    <xf numFmtId="0" fontId="23" fillId="0" borderId="6" xfId="0" applyFont="1" applyBorder="1" applyAlignment="1">
      <alignment horizontal="center" vertical="center"/>
    </xf>
    <xf numFmtId="0" fontId="31" fillId="4" borderId="6" xfId="0" applyFont="1" applyFill="1" applyBorder="1" applyAlignment="1">
      <alignment horizontal="center" vertical="center" wrapText="1"/>
    </xf>
    <xf numFmtId="1" fontId="4" fillId="6" borderId="20" xfId="0" applyNumberFormat="1" applyFont="1" applyFill="1" applyBorder="1" applyAlignment="1">
      <alignment horizontal="center" vertical="center" wrapText="1"/>
    </xf>
    <xf numFmtId="1" fontId="4" fillId="6" borderId="22" xfId="0" applyNumberFormat="1" applyFont="1" applyFill="1" applyBorder="1" applyAlignment="1">
      <alignment horizontal="center" vertical="center" wrapText="1"/>
    </xf>
    <xf numFmtId="0" fontId="4" fillId="6" borderId="20" xfId="0" applyFont="1" applyFill="1" applyBorder="1" applyAlignment="1">
      <alignment horizontal="justify" vertical="center" wrapText="1"/>
    </xf>
    <xf numFmtId="1" fontId="6" fillId="6" borderId="5"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19" xfId="0" applyFont="1" applyFill="1" applyBorder="1" applyAlignment="1">
      <alignment horizontal="center" vertical="center" wrapText="1"/>
    </xf>
    <xf numFmtId="1" fontId="4" fillId="6" borderId="27" xfId="0" applyNumberFormat="1" applyFont="1" applyFill="1" applyBorder="1" applyAlignment="1">
      <alignment horizontal="center" vertical="center" wrapText="1"/>
    </xf>
    <xf numFmtId="0" fontId="4" fillId="6" borderId="51" xfId="0" applyFont="1" applyFill="1" applyBorder="1" applyAlignment="1">
      <alignment horizontal="center" vertical="center" wrapText="1"/>
    </xf>
    <xf numFmtId="0" fontId="4" fillId="6" borderId="0" xfId="0" applyFont="1" applyFill="1" applyAlignment="1">
      <alignment horizontal="center"/>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justify" vertical="center" wrapText="1"/>
    </xf>
    <xf numFmtId="0" fontId="4" fillId="0" borderId="23" xfId="0" applyFont="1" applyBorder="1" applyAlignment="1">
      <alignment horizontal="justify" vertical="center" wrapText="1"/>
    </xf>
    <xf numFmtId="0" fontId="4" fillId="0" borderId="51" xfId="0" applyFont="1" applyBorder="1" applyAlignment="1">
      <alignment horizontal="center" vertical="center" wrapText="1"/>
    </xf>
    <xf numFmtId="1" fontId="4" fillId="0" borderId="6" xfId="0" applyNumberFormat="1" applyFont="1" applyBorder="1" applyAlignment="1">
      <alignment horizontal="center" vertical="center" wrapText="1"/>
    </xf>
    <xf numFmtId="0" fontId="6" fillId="13" borderId="15" xfId="0" applyFont="1" applyFill="1" applyBorder="1" applyAlignment="1">
      <alignment horizontal="left" vertical="center"/>
    </xf>
    <xf numFmtId="1" fontId="4" fillId="0" borderId="6" xfId="0" applyNumberFormat="1" applyFont="1" applyBorder="1" applyAlignment="1">
      <alignment horizontal="center" vertical="center"/>
    </xf>
    <xf numFmtId="1" fontId="4" fillId="0" borderId="20" xfId="0" applyNumberFormat="1" applyFont="1" applyBorder="1" applyAlignment="1">
      <alignment horizontal="center" vertical="center"/>
    </xf>
    <xf numFmtId="0" fontId="4" fillId="0" borderId="25" xfId="0" applyFont="1" applyBorder="1" applyAlignment="1">
      <alignment horizontal="justify" vertical="center" wrapText="1"/>
    </xf>
    <xf numFmtId="9" fontId="4" fillId="0" borderId="6" xfId="3" applyFont="1" applyBorder="1" applyAlignment="1">
      <alignment horizontal="center" vertical="center"/>
    </xf>
    <xf numFmtId="0" fontId="4" fillId="0" borderId="14" xfId="0" applyFont="1" applyBorder="1" applyAlignment="1">
      <alignment horizontal="justify" vertical="center" wrapText="1"/>
    </xf>
    <xf numFmtId="9" fontId="4" fillId="0" borderId="20" xfId="3" applyFont="1" applyBorder="1" applyAlignment="1">
      <alignment horizontal="center" vertical="center"/>
    </xf>
    <xf numFmtId="0" fontId="4" fillId="0" borderId="19" xfId="0" applyFont="1" applyBorder="1" applyAlignment="1">
      <alignment horizontal="justify" vertical="center" wrapText="1"/>
    </xf>
    <xf numFmtId="0" fontId="4" fillId="0" borderId="21" xfId="0" applyFont="1" applyBorder="1" applyAlignment="1">
      <alignment horizontal="justify" vertical="center" wrapText="1"/>
    </xf>
    <xf numFmtId="1" fontId="4" fillId="0" borderId="20" xfId="0" applyNumberFormat="1" applyFont="1" applyBorder="1" applyAlignment="1">
      <alignment horizontal="center" vertical="center" wrapText="1"/>
    </xf>
    <xf numFmtId="1" fontId="4" fillId="0" borderId="23" xfId="0" applyNumberFormat="1" applyFont="1" applyBorder="1" applyAlignment="1">
      <alignment horizontal="justify"/>
    </xf>
    <xf numFmtId="0" fontId="4" fillId="0" borderId="23" xfId="0" applyFont="1" applyBorder="1" applyAlignment="1">
      <alignment horizontal="justify"/>
    </xf>
    <xf numFmtId="0" fontId="4" fillId="0" borderId="0" xfId="0" applyFont="1" applyAlignment="1">
      <alignment horizontal="justify"/>
    </xf>
    <xf numFmtId="0" fontId="22" fillId="6" borderId="20" xfId="0" applyFont="1" applyFill="1" applyBorder="1" applyAlignment="1">
      <alignment horizontal="justify" vertical="center" wrapText="1"/>
    </xf>
    <xf numFmtId="0" fontId="22" fillId="6" borderId="22" xfId="0" applyFont="1" applyFill="1" applyBorder="1" applyAlignment="1">
      <alignment horizontal="justify" vertical="center" wrapText="1"/>
    </xf>
    <xf numFmtId="0" fontId="22" fillId="6" borderId="20"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0" borderId="20" xfId="0" applyFont="1" applyBorder="1" applyAlignment="1">
      <alignment horizontal="justify" vertical="center" wrapText="1"/>
    </xf>
    <xf numFmtId="0" fontId="22" fillId="0" borderId="27" xfId="0" applyFont="1" applyBorder="1" applyAlignment="1">
      <alignment horizontal="justify" vertical="center" wrapText="1"/>
    </xf>
    <xf numFmtId="0" fontId="22" fillId="0" borderId="6" xfId="0" applyFont="1" applyBorder="1" applyAlignment="1">
      <alignment horizontal="justify" vertical="center" wrapText="1"/>
    </xf>
    <xf numFmtId="0" fontId="22" fillId="6" borderId="6" xfId="0" applyFont="1" applyFill="1" applyBorder="1" applyAlignment="1">
      <alignment horizontal="justify" vertical="center" wrapText="1"/>
    </xf>
    <xf numFmtId="0" fontId="22" fillId="6" borderId="21" xfId="0" applyFont="1" applyFill="1" applyBorder="1" applyAlignment="1">
      <alignment horizontal="justify" vertical="center" wrapText="1"/>
    </xf>
    <xf numFmtId="0" fontId="22" fillId="6" borderId="0" xfId="0" applyFont="1" applyFill="1" applyAlignment="1">
      <alignment horizontal="center" vertical="center"/>
    </xf>
    <xf numFmtId="0" fontId="22" fillId="0" borderId="20" xfId="0" applyFont="1" applyBorder="1" applyAlignment="1">
      <alignment horizontal="center" vertical="center"/>
    </xf>
    <xf numFmtId="0" fontId="22" fillId="0" borderId="22" xfId="0" applyFont="1" applyBorder="1" applyAlignment="1">
      <alignment horizontal="center" vertical="center"/>
    </xf>
    <xf numFmtId="10" fontId="22" fillId="6" borderId="20"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6" borderId="20" xfId="0" applyFont="1" applyFill="1" applyBorder="1" applyAlignment="1">
      <alignment horizontal="center" vertical="center"/>
    </xf>
    <xf numFmtId="0" fontId="22" fillId="0" borderId="22" xfId="0" applyFont="1" applyFill="1" applyBorder="1" applyAlignment="1">
      <alignment horizontal="center" vertical="center" textRotation="3"/>
    </xf>
    <xf numFmtId="3" fontId="24" fillId="0" borderId="27" xfId="0" applyNumberFormat="1" applyFont="1" applyBorder="1" applyAlignment="1">
      <alignment horizontal="center" vertical="center" wrapText="1"/>
    </xf>
    <xf numFmtId="1" fontId="22" fillId="6" borderId="27" xfId="0" applyNumberFormat="1"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3" fillId="6" borderId="0" xfId="0" applyFont="1" applyFill="1" applyAlignment="1">
      <alignment horizontal="center" vertical="center" wrapText="1"/>
    </xf>
    <xf numFmtId="0" fontId="22" fillId="6" borderId="19"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1" xfId="0" applyFont="1" applyFill="1" applyBorder="1" applyAlignment="1">
      <alignment horizontal="center" vertical="center" wrapText="1"/>
    </xf>
    <xf numFmtId="1" fontId="22" fillId="6" borderId="6" xfId="0" applyNumberFormat="1" applyFont="1" applyFill="1" applyBorder="1" applyAlignment="1">
      <alignment horizontal="center" vertical="center" wrapText="1"/>
    </xf>
    <xf numFmtId="10" fontId="22" fillId="6" borderId="20" xfId="0" applyNumberFormat="1" applyFont="1" applyFill="1" applyBorder="1" applyAlignment="1">
      <alignment horizontal="center" vertical="center" wrapText="1"/>
    </xf>
    <xf numFmtId="0" fontId="22" fillId="6" borderId="23" xfId="0" applyFont="1" applyFill="1" applyBorder="1" applyAlignment="1">
      <alignment horizontal="justify" vertical="center" wrapText="1"/>
    </xf>
    <xf numFmtId="10" fontId="22" fillId="6" borderId="6" xfId="0" applyNumberFormat="1" applyFont="1" applyFill="1" applyBorder="1" applyAlignment="1">
      <alignment horizontal="center" vertical="center"/>
    </xf>
    <xf numFmtId="0" fontId="24" fillId="6" borderId="20" xfId="0" applyFont="1" applyFill="1" applyBorder="1" applyAlignment="1">
      <alignment horizontal="justify" vertical="center" wrapText="1"/>
    </xf>
    <xf numFmtId="0" fontId="22" fillId="0" borderId="22" xfId="0" applyFont="1" applyBorder="1" applyAlignment="1">
      <alignment horizontal="center" vertical="center" textRotation="3"/>
    </xf>
    <xf numFmtId="0" fontId="4" fillId="6" borderId="0" xfId="0" applyFont="1" applyFill="1" applyAlignment="1">
      <alignment horizontal="center" vertical="center"/>
    </xf>
    <xf numFmtId="0" fontId="33" fillId="0" borderId="20" xfId="0" applyFont="1" applyBorder="1" applyAlignment="1">
      <alignment horizontal="center" vertical="center" wrapText="1"/>
    </xf>
    <xf numFmtId="0" fontId="33" fillId="0" borderId="51" xfId="0" applyFont="1" applyBorder="1" applyAlignment="1">
      <alignment horizontal="center" vertical="center" wrapText="1"/>
    </xf>
    <xf numFmtId="1" fontId="33" fillId="0" borderId="19" xfId="0" applyNumberFormat="1" applyFont="1" applyBorder="1" applyAlignment="1">
      <alignment horizontal="center" vertical="center" wrapText="1"/>
    </xf>
    <xf numFmtId="1" fontId="24" fillId="6" borderId="6" xfId="0" applyNumberFormat="1" applyFont="1" applyFill="1" applyBorder="1" applyAlignment="1">
      <alignment horizontal="center" vertical="center" wrapText="1"/>
    </xf>
    <xf numFmtId="0" fontId="22" fillId="6" borderId="6" xfId="0" applyFont="1" applyFill="1" applyBorder="1" applyAlignment="1">
      <alignment horizontal="center" vertical="center"/>
    </xf>
    <xf numFmtId="1" fontId="22" fillId="6" borderId="6" xfId="0" applyNumberFormat="1" applyFont="1" applyFill="1" applyBorder="1" applyAlignment="1">
      <alignment horizontal="center" vertical="center"/>
    </xf>
    <xf numFmtId="0" fontId="33" fillId="0" borderId="6" xfId="0" applyFont="1" applyBorder="1" applyAlignment="1">
      <alignment horizontal="justify" vertical="center" wrapText="1"/>
    </xf>
    <xf numFmtId="0" fontId="35" fillId="4" borderId="6" xfId="0" applyFont="1" applyFill="1" applyBorder="1" applyAlignment="1">
      <alignment horizontal="center" vertical="center" wrapText="1"/>
    </xf>
    <xf numFmtId="0" fontId="22" fillId="0" borderId="0" xfId="0" applyFont="1" applyAlignment="1">
      <alignment horizontal="center" wrapText="1"/>
    </xf>
    <xf numFmtId="0" fontId="4" fillId="6" borderId="12" xfId="0" applyFont="1" applyFill="1" applyBorder="1" applyAlignment="1">
      <alignment horizontal="justify" vertical="center" wrapText="1"/>
    </xf>
    <xf numFmtId="0" fontId="10" fillId="0" borderId="51" xfId="0" applyFont="1" applyBorder="1" applyAlignment="1">
      <alignment horizontal="center" vertical="center" wrapText="1"/>
    </xf>
    <xf numFmtId="169" fontId="10" fillId="0" borderId="20" xfId="0" applyNumberFormat="1" applyFont="1" applyBorder="1" applyAlignment="1">
      <alignment horizontal="center" vertical="center" wrapText="1"/>
    </xf>
    <xf numFmtId="3" fontId="10" fillId="0" borderId="20" xfId="0" applyNumberFormat="1" applyFont="1" applyBorder="1" applyAlignment="1">
      <alignment horizontal="justify" vertical="center" wrapText="1"/>
    </xf>
    <xf numFmtId="0" fontId="8" fillId="0" borderId="6"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20" xfId="0" applyFont="1" applyBorder="1" applyAlignment="1">
      <alignment horizontal="center" vertical="center" wrapText="1"/>
    </xf>
    <xf numFmtId="9" fontId="8" fillId="0" borderId="20" xfId="5" applyFont="1" applyBorder="1" applyAlignment="1">
      <alignment horizontal="center" vertical="center" wrapText="1"/>
    </xf>
    <xf numFmtId="43" fontId="10" fillId="0" borderId="20" xfId="6" applyFont="1" applyBorder="1" applyAlignment="1">
      <alignment horizontal="center" vertical="center" wrapText="1"/>
    </xf>
    <xf numFmtId="0" fontId="10" fillId="0" borderId="27" xfId="0" applyFont="1" applyBorder="1" applyAlignment="1">
      <alignment horizontal="center" vertical="center" wrapText="1"/>
    </xf>
    <xf numFmtId="0" fontId="10" fillId="6" borderId="20" xfId="0" applyFont="1" applyFill="1" applyBorder="1" applyAlignment="1">
      <alignment horizontal="center" vertical="center" wrapText="1"/>
    </xf>
    <xf numFmtId="10" fontId="8" fillId="0" borderId="6" xfId="5" applyNumberFormat="1" applyFont="1" applyBorder="1" applyAlignment="1">
      <alignment horizontal="center" vertical="center" wrapText="1"/>
    </xf>
    <xf numFmtId="3" fontId="25" fillId="0" borderId="20" xfId="0" applyNumberFormat="1" applyFont="1" applyBorder="1" applyAlignment="1">
      <alignment horizontal="center" vertical="center" wrapText="1"/>
    </xf>
    <xf numFmtId="0" fontId="22" fillId="0" borderId="6" xfId="0" applyFont="1" applyFill="1" applyBorder="1" applyAlignment="1">
      <alignment horizontal="justify" vertical="center" wrapText="1"/>
    </xf>
    <xf numFmtId="0" fontId="22" fillId="0" borderId="20" xfId="0" applyFont="1" applyFill="1" applyBorder="1" applyAlignment="1">
      <alignment horizontal="justify" vertical="center" wrapText="1"/>
    </xf>
    <xf numFmtId="0" fontId="22" fillId="6" borderId="0" xfId="0" applyFont="1" applyFill="1" applyAlignment="1">
      <alignment horizontal="center" vertical="center" wrapText="1"/>
    </xf>
    <xf numFmtId="1" fontId="23" fillId="12" borderId="20" xfId="0" applyNumberFormat="1"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2" fillId="6" borderId="20" xfId="0" applyFont="1" applyFill="1" applyBorder="1" applyAlignment="1">
      <alignment vertical="center" wrapText="1"/>
    </xf>
    <xf numFmtId="0" fontId="28" fillId="15" borderId="6" xfId="0" applyFont="1" applyFill="1" applyBorder="1" applyAlignment="1">
      <alignment horizontal="left" vertical="center" wrapText="1"/>
    </xf>
    <xf numFmtId="0" fontId="22" fillId="6" borderId="0" xfId="0" applyFont="1" applyFill="1" applyAlignment="1">
      <alignment horizontal="center" vertical="center"/>
    </xf>
    <xf numFmtId="0" fontId="4" fillId="0" borderId="0" xfId="0" applyFont="1" applyFill="1"/>
    <xf numFmtId="0" fontId="4" fillId="0" borderId="0" xfId="0" applyFont="1" applyFill="1" applyAlignment="1">
      <alignment wrapText="1"/>
    </xf>
    <xf numFmtId="0" fontId="4" fillId="0" borderId="51" xfId="0" applyFont="1" applyFill="1" applyBorder="1"/>
    <xf numFmtId="0" fontId="4" fillId="0" borderId="0" xfId="0" applyFont="1" applyFill="1" applyAlignment="1">
      <alignment horizontal="justify" vertical="center"/>
    </xf>
    <xf numFmtId="0" fontId="6" fillId="0" borderId="0" xfId="0" applyFont="1" applyFill="1"/>
    <xf numFmtId="0" fontId="22" fillId="0" borderId="0" xfId="0" applyFont="1" applyFill="1"/>
    <xf numFmtId="0" fontId="23" fillId="0" borderId="0" xfId="0" applyFont="1" applyFill="1"/>
    <xf numFmtId="0" fontId="50" fillId="6" borderId="0" xfId="0" applyFont="1" applyFill="1" applyAlignment="1">
      <alignment horizontal="left" vertical="center"/>
    </xf>
    <xf numFmtId="171" fontId="4" fillId="0" borderId="0" xfId="0" applyNumberFormat="1" applyFont="1" applyFill="1" applyAlignment="1">
      <alignment horizontal="center" vertical="center"/>
    </xf>
    <xf numFmtId="0" fontId="49" fillId="0" borderId="0" xfId="0" applyFont="1" applyFill="1" applyAlignment="1">
      <alignment horizontal="left" vertical="center"/>
    </xf>
    <xf numFmtId="10" fontId="0" fillId="0" borderId="6" xfId="0" applyNumberFormat="1" applyBorder="1" applyAlignment="1">
      <alignment horizontal="center" vertical="center"/>
    </xf>
    <xf numFmtId="44" fontId="0" fillId="0" borderId="0" xfId="0" applyNumberFormat="1" applyAlignment="1">
      <alignment vertical="center" wrapText="1"/>
    </xf>
    <xf numFmtId="10" fontId="6" fillId="0" borderId="9" xfId="0" applyNumberFormat="1" applyFont="1" applyBorder="1" applyAlignment="1">
      <alignment vertical="center"/>
    </xf>
    <xf numFmtId="10" fontId="22" fillId="14" borderId="11" xfId="0" applyNumberFormat="1" applyFont="1" applyFill="1" applyBorder="1" applyAlignment="1">
      <alignment horizontal="center" vertical="center"/>
    </xf>
    <xf numFmtId="10" fontId="22" fillId="15" borderId="11" xfId="0" applyNumberFormat="1" applyFont="1" applyFill="1" applyBorder="1" applyAlignment="1">
      <alignment horizontal="center" vertical="center"/>
    </xf>
    <xf numFmtId="10" fontId="22" fillId="14" borderId="0" xfId="0" applyNumberFormat="1" applyFont="1" applyFill="1" applyAlignment="1">
      <alignment horizontal="center" vertical="center"/>
    </xf>
    <xf numFmtId="10" fontId="23" fillId="14" borderId="6" xfId="0" applyNumberFormat="1" applyFont="1" applyFill="1" applyBorder="1" applyAlignment="1">
      <alignment vertical="center"/>
    </xf>
    <xf numFmtId="10" fontId="22" fillId="13" borderId="0" xfId="0" applyNumberFormat="1" applyFont="1" applyFill="1" applyAlignment="1">
      <alignment horizontal="center" vertical="center"/>
    </xf>
    <xf numFmtId="10" fontId="23" fillId="6" borderId="6" xfId="13" applyNumberFormat="1" applyFont="1" applyFill="1" applyBorder="1" applyAlignment="1">
      <alignment horizontal="center" vertical="center"/>
    </xf>
    <xf numFmtId="10" fontId="4" fillId="6" borderId="0" xfId="0" applyNumberFormat="1" applyFont="1" applyFill="1" applyAlignment="1">
      <alignment horizontal="center" vertical="center"/>
    </xf>
    <xf numFmtId="4" fontId="6" fillId="13" borderId="15" xfId="0" applyNumberFormat="1" applyFont="1" applyFill="1" applyBorder="1" applyAlignment="1">
      <alignment horizontal="center" vertical="center"/>
    </xf>
    <xf numFmtId="4" fontId="6" fillId="14" borderId="9" xfId="0" applyNumberFormat="1" applyFont="1" applyFill="1" applyBorder="1" applyAlignment="1">
      <alignment horizontal="center" vertical="center"/>
    </xf>
    <xf numFmtId="4" fontId="6" fillId="15" borderId="15" xfId="0" applyNumberFormat="1" applyFont="1" applyFill="1" applyBorder="1" applyAlignment="1">
      <alignment horizontal="center" vertical="center"/>
    </xf>
    <xf numFmtId="4" fontId="4" fillId="6" borderId="0" xfId="1" applyNumberFormat="1" applyFont="1" applyFill="1" applyAlignment="1">
      <alignment horizontal="center" vertical="center"/>
    </xf>
    <xf numFmtId="0" fontId="4" fillId="0" borderId="5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6" fillId="14" borderId="52" xfId="0" applyFont="1" applyFill="1" applyBorder="1" applyAlignment="1">
      <alignment vertical="center"/>
    </xf>
    <xf numFmtId="0" fontId="6" fillId="15" borderId="52" xfId="0" applyFont="1" applyFill="1" applyBorder="1" applyAlignment="1">
      <alignment vertical="center"/>
    </xf>
    <xf numFmtId="0" fontId="4" fillId="0" borderId="68" xfId="0" applyFont="1" applyFill="1" applyBorder="1" applyAlignment="1">
      <alignment horizontal="center" vertical="center" wrapText="1"/>
    </xf>
    <xf numFmtId="0" fontId="4" fillId="0" borderId="58" xfId="0" applyFont="1" applyFill="1" applyBorder="1" applyAlignment="1">
      <alignment horizontal="center" vertical="center"/>
    </xf>
    <xf numFmtId="1" fontId="6" fillId="6" borderId="21" xfId="0" applyNumberFormat="1" applyFont="1" applyFill="1" applyBorder="1" applyAlignment="1">
      <alignment horizontal="center" vertical="center" wrapText="1"/>
    </xf>
    <xf numFmtId="0" fontId="6" fillId="14" borderId="58" xfId="0" applyFont="1" applyFill="1" applyBorder="1" applyAlignment="1">
      <alignment vertical="center"/>
    </xf>
    <xf numFmtId="0" fontId="6" fillId="15" borderId="58" xfId="0" applyFont="1" applyFill="1" applyBorder="1" applyAlignment="1">
      <alignment vertical="center"/>
    </xf>
    <xf numFmtId="1" fontId="4" fillId="6" borderId="19" xfId="0" applyNumberFormat="1" applyFont="1" applyFill="1" applyBorder="1" applyAlignment="1">
      <alignment horizontal="center" vertical="center" wrapText="1"/>
    </xf>
    <xf numFmtId="1" fontId="4" fillId="6" borderId="23" xfId="0" applyNumberFormat="1" applyFont="1" applyFill="1" applyBorder="1" applyAlignment="1">
      <alignment horizontal="center" vertical="center" wrapText="1"/>
    </xf>
    <xf numFmtId="14" fontId="4" fillId="14" borderId="52" xfId="0" applyNumberFormat="1" applyFont="1" applyFill="1" applyBorder="1" applyAlignment="1">
      <alignment vertical="center"/>
    </xf>
    <xf numFmtId="14" fontId="4" fillId="15" borderId="52" xfId="0" applyNumberFormat="1" applyFont="1" applyFill="1" applyBorder="1" applyAlignment="1">
      <alignment vertical="center"/>
    </xf>
    <xf numFmtId="10" fontId="23" fillId="13" borderId="9" xfId="0" applyNumberFormat="1" applyFont="1" applyFill="1" applyBorder="1" applyAlignment="1">
      <alignment horizontal="left" vertical="center" wrapText="1"/>
    </xf>
    <xf numFmtId="10" fontId="23" fillId="14" borderId="0" xfId="0" applyNumberFormat="1" applyFont="1" applyFill="1" applyAlignment="1">
      <alignment vertical="center"/>
    </xf>
    <xf numFmtId="10" fontId="28" fillId="15" borderId="15" xfId="0" applyNumberFormat="1" applyFont="1" applyFill="1" applyBorder="1" applyAlignment="1">
      <alignment horizontal="left" vertical="center"/>
    </xf>
    <xf numFmtId="10" fontId="23" fillId="14" borderId="15" xfId="0" applyNumberFormat="1" applyFont="1" applyFill="1" applyBorder="1" applyAlignment="1">
      <alignment horizontal="left" vertical="center"/>
    </xf>
    <xf numFmtId="10" fontId="23" fillId="14" borderId="15" xfId="0" applyNumberFormat="1" applyFont="1" applyFill="1" applyBorder="1" applyAlignment="1">
      <alignment vertical="center"/>
    </xf>
    <xf numFmtId="10" fontId="27" fillId="15" borderId="15" xfId="0" applyNumberFormat="1" applyFont="1" applyFill="1" applyBorder="1" applyAlignment="1">
      <alignment horizontal="left" vertical="center"/>
    </xf>
    <xf numFmtId="10" fontId="27" fillId="15" borderId="15" xfId="0" applyNumberFormat="1" applyFont="1" applyFill="1" applyBorder="1" applyAlignment="1">
      <alignment vertical="center"/>
    </xf>
    <xf numFmtId="10" fontId="22" fillId="0" borderId="0" xfId="0" applyNumberFormat="1" applyFont="1" applyAlignment="1">
      <alignment vertical="center" wrapText="1"/>
    </xf>
    <xf numFmtId="10" fontId="22" fillId="0" borderId="0" xfId="0" applyNumberFormat="1" applyFont="1" applyAlignment="1">
      <alignment vertical="center"/>
    </xf>
    <xf numFmtId="10" fontId="0" fillId="0" borderId="6" xfId="0" applyNumberFormat="1" applyBorder="1" applyAlignment="1">
      <alignment vertical="center"/>
    </xf>
    <xf numFmtId="0" fontId="33" fillId="0" borderId="11" xfId="0" applyFont="1" applyFill="1" applyBorder="1" applyAlignment="1">
      <alignment vertical="center" wrapText="1"/>
    </xf>
    <xf numFmtId="0" fontId="33" fillId="0" borderId="58" xfId="0" applyFont="1" applyFill="1" applyBorder="1" applyAlignment="1">
      <alignment vertical="center" wrapText="1"/>
    </xf>
    <xf numFmtId="10" fontId="28" fillId="15" borderId="6" xfId="0" applyNumberFormat="1" applyFont="1" applyFill="1" applyBorder="1" applyAlignment="1">
      <alignment horizontal="left" vertical="center" wrapText="1"/>
    </xf>
    <xf numFmtId="4" fontId="0" fillId="0" borderId="6" xfId="0" applyNumberFormat="1" applyBorder="1"/>
    <xf numFmtId="0" fontId="23" fillId="15" borderId="23" xfId="0" applyFont="1" applyFill="1" applyBorder="1" applyAlignment="1">
      <alignment vertical="center"/>
    </xf>
    <xf numFmtId="0" fontId="23" fillId="15" borderId="0" xfId="0" applyFont="1" applyFill="1" applyBorder="1" applyAlignment="1">
      <alignment vertical="center"/>
    </xf>
    <xf numFmtId="0" fontId="23" fillId="15" borderId="25" xfId="0" applyFont="1" applyFill="1" applyBorder="1" applyAlignment="1">
      <alignment vertical="center"/>
    </xf>
    <xf numFmtId="0" fontId="10" fillId="0" borderId="6" xfId="0" applyFont="1" applyBorder="1" applyAlignment="1">
      <alignment horizontal="justify" vertical="center" wrapText="1"/>
    </xf>
    <xf numFmtId="0" fontId="8" fillId="0" borderId="2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justify" vertical="center" wrapText="1"/>
    </xf>
    <xf numFmtId="1" fontId="4" fillId="0" borderId="6" xfId="0" applyNumberFormat="1" applyFont="1" applyBorder="1" applyAlignment="1">
      <alignment horizontal="center" vertical="center" wrapText="1"/>
    </xf>
    <xf numFmtId="0" fontId="4" fillId="0" borderId="20" xfId="0" applyFont="1" applyBorder="1" applyAlignment="1">
      <alignment horizontal="justify" vertical="center" wrapText="1"/>
    </xf>
    <xf numFmtId="0" fontId="4" fillId="0" borderId="6" xfId="0" applyFont="1" applyBorder="1" applyAlignment="1">
      <alignment horizontal="center" vertical="center" wrapText="1"/>
    </xf>
    <xf numFmtId="0" fontId="22" fillId="0" borderId="51" xfId="0" applyFont="1" applyBorder="1" applyAlignment="1">
      <alignment horizontal="justify" vertical="center" wrapText="1"/>
    </xf>
    <xf numFmtId="0" fontId="4" fillId="0" borderId="6" xfId="0" applyFont="1" applyBorder="1" applyAlignment="1">
      <alignment horizontal="center" vertical="center"/>
    </xf>
    <xf numFmtId="1" fontId="4" fillId="0" borderId="6" xfId="0" applyNumberFormat="1" applyFont="1" applyBorder="1" applyAlignment="1">
      <alignment horizontal="center" vertical="center"/>
    </xf>
    <xf numFmtId="0" fontId="4" fillId="0" borderId="19" xfId="0" applyFont="1" applyBorder="1" applyAlignment="1">
      <alignment horizontal="justify"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1" fontId="4" fillId="0" borderId="20" xfId="0" applyNumberFormat="1" applyFont="1" applyBorder="1" applyAlignment="1">
      <alignment horizontal="center" vertical="center" wrapText="1"/>
    </xf>
    <xf numFmtId="0" fontId="4" fillId="0" borderId="58" xfId="0" applyFont="1" applyBorder="1" applyAlignment="1">
      <alignment horizontal="justify" vertical="center" wrapText="1"/>
    </xf>
    <xf numFmtId="0" fontId="24" fillId="0" borderId="51" xfId="0" applyFont="1" applyBorder="1" applyAlignment="1">
      <alignment horizontal="justify" vertical="center" wrapText="1"/>
    </xf>
    <xf numFmtId="3" fontId="8" fillId="6" borderId="12" xfId="0" applyNumberFormat="1" applyFont="1" applyFill="1" applyBorder="1" applyAlignment="1">
      <alignment horizontal="center" vertical="center" wrapText="1"/>
    </xf>
    <xf numFmtId="10" fontId="0" fillId="0" borderId="6" xfId="0" applyNumberFormat="1" applyBorder="1" applyAlignment="1">
      <alignment horizontal="center" vertical="center"/>
    </xf>
    <xf numFmtId="1" fontId="8" fillId="0" borderId="20" xfId="0" applyNumberFormat="1" applyFont="1" applyBorder="1" applyAlignment="1">
      <alignment horizontal="center" vertical="center" wrapText="1"/>
    </xf>
    <xf numFmtId="173" fontId="8" fillId="0" borderId="20" xfId="0" applyNumberFormat="1" applyFont="1" applyBorder="1" applyAlignment="1">
      <alignment horizontal="center" vertical="center" wrapText="1"/>
    </xf>
    <xf numFmtId="1" fontId="7" fillId="6" borderId="22" xfId="0" applyNumberFormat="1" applyFont="1" applyFill="1" applyBorder="1" applyAlignment="1">
      <alignment horizontal="center" vertical="center" wrapText="1"/>
    </xf>
    <xf numFmtId="0" fontId="8" fillId="0" borderId="20" xfId="0" applyFont="1" applyBorder="1" applyAlignment="1">
      <alignment horizontal="justify" vertical="center" wrapText="1"/>
    </xf>
    <xf numFmtId="0" fontId="8" fillId="6" borderId="20" xfId="0" applyFont="1" applyFill="1" applyBorder="1" applyAlignment="1">
      <alignment horizontal="justify" vertical="center" wrapText="1"/>
    </xf>
    <xf numFmtId="0" fontId="8" fillId="6" borderId="20" xfId="0" applyFont="1" applyFill="1" applyBorder="1" applyAlignment="1">
      <alignment horizontal="center" vertical="center" wrapText="1"/>
    </xf>
    <xf numFmtId="3" fontId="8" fillId="0" borderId="20"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6" borderId="19" xfId="0" applyFont="1" applyFill="1" applyBorder="1" applyAlignment="1">
      <alignment horizontal="justify" vertical="center" wrapText="1"/>
    </xf>
    <xf numFmtId="1" fontId="8" fillId="6" borderId="20" xfId="0"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6" xfId="0" applyFont="1" applyFill="1" applyBorder="1" applyAlignment="1">
      <alignment horizontal="justify" vertical="center" wrapText="1"/>
    </xf>
    <xf numFmtId="0" fontId="8" fillId="6" borderId="11" xfId="0" applyFont="1" applyFill="1" applyBorder="1" applyAlignment="1">
      <alignment horizontal="center" vertical="center" wrapText="1"/>
    </xf>
    <xf numFmtId="0" fontId="23" fillId="0" borderId="9" xfId="0" applyFont="1" applyBorder="1" applyAlignment="1">
      <alignment horizontal="center" vertical="center"/>
    </xf>
    <xf numFmtId="0" fontId="31" fillId="4" borderId="6" xfId="0" applyFont="1" applyFill="1" applyBorder="1" applyAlignment="1">
      <alignment horizontal="center" vertical="center" wrapText="1"/>
    </xf>
    <xf numFmtId="14" fontId="25" fillId="0" borderId="6" xfId="0" applyNumberFormat="1" applyFont="1" applyBorder="1" applyAlignment="1">
      <alignment horizontal="center" vertical="center"/>
    </xf>
    <xf numFmtId="3" fontId="25" fillId="0" borderId="6" xfId="0" applyNumberFormat="1" applyFont="1" applyBorder="1" applyAlignment="1">
      <alignment horizontal="center" vertical="center"/>
    </xf>
    <xf numFmtId="0" fontId="23" fillId="0" borderId="21" xfId="0" applyFont="1" applyBorder="1" applyAlignment="1">
      <alignment horizontal="center" vertical="center"/>
    </xf>
    <xf numFmtId="9" fontId="0" fillId="0" borderId="6" xfId="0" applyNumberFormat="1" applyBorder="1" applyAlignment="1">
      <alignment horizontal="center" vertical="center"/>
    </xf>
    <xf numFmtId="171" fontId="4" fillId="6" borderId="6" xfId="0" applyNumberFormat="1" applyFont="1" applyFill="1" applyBorder="1" applyAlignment="1">
      <alignment horizontal="center" vertical="center" wrapText="1"/>
    </xf>
    <xf numFmtId="0" fontId="22" fillId="0" borderId="6" xfId="0" applyFont="1" applyBorder="1" applyAlignment="1">
      <alignment horizontal="justify" vertical="center" wrapText="1"/>
    </xf>
    <xf numFmtId="1" fontId="4" fillId="6" borderId="12" xfId="0" applyNumberFormat="1" applyFont="1" applyFill="1" applyBorder="1" applyAlignment="1">
      <alignment horizontal="center" vertical="center" wrapText="1"/>
    </xf>
    <xf numFmtId="0" fontId="4" fillId="6" borderId="14" xfId="0" applyFont="1" applyFill="1" applyBorder="1" applyAlignment="1">
      <alignment horizontal="justify" vertical="center" wrapText="1"/>
    </xf>
    <xf numFmtId="3" fontId="4" fillId="6" borderId="6" xfId="0" applyNumberFormat="1" applyFont="1" applyFill="1" applyBorder="1" applyAlignment="1">
      <alignment horizontal="justify" vertical="center" wrapText="1"/>
    </xf>
    <xf numFmtId="0" fontId="7" fillId="0" borderId="31" xfId="0" applyFont="1" applyBorder="1" applyAlignment="1">
      <alignment horizontal="center" vertical="center"/>
    </xf>
    <xf numFmtId="0" fontId="4" fillId="6" borderId="0" xfId="0" applyFont="1" applyFill="1" applyAlignment="1">
      <alignment horizontal="center" vertical="center"/>
    </xf>
    <xf numFmtId="0" fontId="4" fillId="0" borderId="20" xfId="0" applyFont="1" applyBorder="1" applyAlignment="1">
      <alignment vertical="center" wrapText="1"/>
    </xf>
    <xf numFmtId="0" fontId="4" fillId="6" borderId="6" xfId="0" applyFont="1" applyFill="1" applyBorder="1" applyAlignment="1">
      <alignment vertical="center" wrapText="1"/>
    </xf>
    <xf numFmtId="0" fontId="22" fillId="6" borderId="51" xfId="0" applyFont="1" applyFill="1" applyBorder="1" applyAlignment="1">
      <alignment horizontal="justify" vertical="center" wrapText="1"/>
    </xf>
    <xf numFmtId="0" fontId="7"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6" xfId="0" applyFont="1" applyBorder="1" applyAlignment="1">
      <alignment vertical="center"/>
    </xf>
    <xf numFmtId="0" fontId="22" fillId="0" borderId="51" xfId="0" applyFont="1" applyBorder="1" applyAlignment="1">
      <alignment horizontal="justify" vertical="center" wrapText="1"/>
    </xf>
    <xf numFmtId="0" fontId="6" fillId="13" borderId="15" xfId="0" applyFont="1" applyFill="1" applyBorder="1" applyAlignment="1">
      <alignment horizontal="left" vertical="center"/>
    </xf>
    <xf numFmtId="0" fontId="6" fillId="0" borderId="6" xfId="0" applyFont="1" applyBorder="1" applyAlignment="1">
      <alignment horizontal="center" vertical="center"/>
    </xf>
    <xf numFmtId="0" fontId="6" fillId="12" borderId="20" xfId="0" applyFont="1" applyFill="1" applyBorder="1" applyAlignment="1">
      <alignment horizontal="center" vertical="center" wrapText="1"/>
    </xf>
    <xf numFmtId="0" fontId="4" fillId="0" borderId="0" xfId="0" applyFont="1" applyAlignment="1">
      <alignment horizontal="justify" vertical="center" wrapText="1"/>
    </xf>
    <xf numFmtId="0" fontId="4" fillId="0" borderId="19"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4" fillId="6" borderId="0" xfId="0" applyFont="1" applyFill="1" applyAlignment="1">
      <alignment horizontal="center" vertical="center" wrapText="1"/>
    </xf>
    <xf numFmtId="0" fontId="4" fillId="6" borderId="6" xfId="0" applyFont="1" applyFill="1" applyBorder="1" applyAlignment="1">
      <alignment horizontal="center" vertical="center" wrapText="1"/>
    </xf>
    <xf numFmtId="0" fontId="4" fillId="6" borderId="6" xfId="0" applyFont="1" applyFill="1" applyBorder="1" applyAlignment="1">
      <alignment horizontal="justify" vertical="center" wrapText="1"/>
    </xf>
    <xf numFmtId="0" fontId="4" fillId="6" borderId="20" xfId="0" applyFont="1" applyFill="1" applyBorder="1" applyAlignment="1">
      <alignment horizontal="center" vertical="center" wrapText="1"/>
    </xf>
    <xf numFmtId="0" fontId="4" fillId="6" borderId="22" xfId="0" applyFont="1" applyFill="1" applyBorder="1" applyAlignment="1">
      <alignment horizontal="center" vertical="center" wrapText="1"/>
    </xf>
    <xf numFmtId="178" fontId="22" fillId="0" borderId="6" xfId="13" applyFont="1" applyBorder="1" applyAlignment="1">
      <alignment horizontal="justify" vertical="center" wrapText="1"/>
    </xf>
    <xf numFmtId="10" fontId="24" fillId="6" borderId="51" xfId="13" applyNumberFormat="1" applyFont="1" applyFill="1" applyBorder="1" applyAlignment="1">
      <alignment horizontal="center" vertical="center" wrapText="1"/>
    </xf>
    <xf numFmtId="1" fontId="24" fillId="6" borderId="6" xfId="9" applyNumberFormat="1" applyFont="1" applyFill="1" applyBorder="1" applyAlignment="1">
      <alignment horizontal="center" vertical="center" wrapText="1"/>
    </xf>
    <xf numFmtId="3" fontId="22" fillId="6" borderId="6" xfId="13" applyNumberFormat="1" applyFont="1" applyFill="1" applyBorder="1" applyAlignment="1">
      <alignment horizontal="center" vertical="center"/>
    </xf>
    <xf numFmtId="178" fontId="22" fillId="6" borderId="6" xfId="13" applyFont="1" applyFill="1" applyBorder="1" applyAlignment="1">
      <alignment horizontal="justify" vertical="center" wrapText="1"/>
    </xf>
    <xf numFmtId="1" fontId="22" fillId="0" borderId="6" xfId="13" applyNumberFormat="1" applyFont="1" applyBorder="1" applyAlignment="1">
      <alignment horizontal="center" vertical="center"/>
    </xf>
    <xf numFmtId="171" fontId="6" fillId="12" borderId="6" xfId="0" applyNumberFormat="1" applyFont="1" applyFill="1" applyBorder="1" applyAlignment="1">
      <alignment horizontal="center" vertical="center" wrapText="1"/>
    </xf>
    <xf numFmtId="178" fontId="22" fillId="6" borderId="27" xfId="13" applyFont="1" applyFill="1" applyBorder="1" applyAlignment="1">
      <alignment horizontal="justify" vertical="center" wrapText="1"/>
    </xf>
    <xf numFmtId="3" fontId="22" fillId="6" borderId="6" xfId="13" applyNumberFormat="1" applyFont="1" applyFill="1" applyBorder="1" applyAlignment="1">
      <alignment horizontal="center" vertical="center" wrapText="1"/>
    </xf>
    <xf numFmtId="0" fontId="0" fillId="0" borderId="6" xfId="0" applyBorder="1" applyAlignment="1">
      <alignment vertical="center"/>
    </xf>
    <xf numFmtId="0" fontId="22" fillId="6" borderId="22" xfId="0" applyFont="1" applyFill="1" applyBorder="1" applyAlignment="1">
      <alignment horizontal="center" vertical="center" wrapText="1"/>
    </xf>
    <xf numFmtId="3" fontId="22" fillId="6" borderId="20" xfId="0" applyNumberFormat="1" applyFont="1" applyFill="1" applyBorder="1" applyAlignment="1">
      <alignment horizontal="center" vertical="center" wrapText="1"/>
    </xf>
    <xf numFmtId="3" fontId="22" fillId="6" borderId="22" xfId="0" applyNumberFormat="1" applyFont="1" applyFill="1" applyBorder="1" applyAlignment="1">
      <alignment horizontal="center" vertical="center" wrapText="1"/>
    </xf>
    <xf numFmtId="3" fontId="22" fillId="6" borderId="27" xfId="0" applyNumberFormat="1" applyFont="1" applyFill="1" applyBorder="1" applyAlignment="1">
      <alignment horizontal="center" vertical="center" wrapText="1"/>
    </xf>
    <xf numFmtId="0" fontId="22" fillId="6" borderId="20" xfId="0" applyFont="1" applyFill="1" applyBorder="1" applyAlignment="1">
      <alignment horizontal="justify" vertical="center" wrapText="1"/>
    </xf>
    <xf numFmtId="0" fontId="22" fillId="6" borderId="22" xfId="0" applyFont="1" applyFill="1" applyBorder="1" applyAlignment="1">
      <alignment horizontal="justify" vertical="center" wrapText="1"/>
    </xf>
    <xf numFmtId="0" fontId="22" fillId="6" borderId="27" xfId="0" applyFont="1" applyFill="1" applyBorder="1" applyAlignment="1">
      <alignment horizontal="justify" vertical="center" wrapText="1"/>
    </xf>
    <xf numFmtId="0" fontId="22" fillId="6" borderId="21" xfId="0" applyFont="1" applyFill="1" applyBorder="1" applyAlignment="1">
      <alignment horizontal="justify"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2" fillId="0" borderId="27" xfId="0" applyFont="1" applyBorder="1" applyAlignment="1">
      <alignment horizontal="justify" vertical="center" wrapText="1"/>
    </xf>
    <xf numFmtId="0" fontId="22" fillId="0" borderId="19" xfId="0" applyFont="1" applyBorder="1" applyAlignment="1">
      <alignment horizontal="justify" vertical="center" wrapText="1"/>
    </xf>
    <xf numFmtId="0" fontId="22" fillId="6" borderId="6" xfId="0" applyFont="1" applyFill="1" applyBorder="1" applyAlignment="1">
      <alignment horizontal="justify" vertical="center" wrapText="1"/>
    </xf>
    <xf numFmtId="0" fontId="22" fillId="0" borderId="6" xfId="0" applyFont="1" applyBorder="1" applyAlignment="1">
      <alignment horizontal="justify" vertical="center" wrapText="1"/>
    </xf>
    <xf numFmtId="1" fontId="4" fillId="6" borderId="12" xfId="0" applyNumberFormat="1" applyFont="1" applyFill="1" applyBorder="1" applyAlignment="1">
      <alignment horizontal="center" vertical="center" wrapText="1"/>
    </xf>
    <xf numFmtId="1" fontId="4" fillId="6" borderId="25" xfId="0" applyNumberFormat="1" applyFont="1" applyFill="1" applyBorder="1" applyAlignment="1">
      <alignment horizontal="center" vertical="center" wrapText="1"/>
    </xf>
    <xf numFmtId="0" fontId="4" fillId="0" borderId="58" xfId="0" applyFont="1" applyFill="1" applyBorder="1" applyAlignment="1">
      <alignment horizontal="justify" vertical="center" wrapText="1"/>
    </xf>
    <xf numFmtId="0" fontId="4" fillId="6" borderId="20" xfId="0" applyFont="1" applyFill="1" applyBorder="1" applyAlignment="1">
      <alignment horizontal="justify" vertical="center" wrapText="1"/>
    </xf>
    <xf numFmtId="0" fontId="4" fillId="6" borderId="22" xfId="0" applyFont="1" applyFill="1" applyBorder="1" applyAlignment="1">
      <alignment horizontal="justify" vertical="center" wrapText="1"/>
    </xf>
    <xf numFmtId="9" fontId="4" fillId="6" borderId="20" xfId="0" applyNumberFormat="1" applyFont="1" applyFill="1" applyBorder="1" applyAlignment="1">
      <alignment horizontal="center" vertical="center" wrapText="1"/>
    </xf>
    <xf numFmtId="9" fontId="4" fillId="6" borderId="22" xfId="0" applyNumberFormat="1" applyFont="1" applyFill="1" applyBorder="1" applyAlignment="1">
      <alignment horizontal="center" vertical="center" wrapText="1"/>
    </xf>
    <xf numFmtId="0" fontId="4" fillId="0" borderId="0" xfId="0" applyFont="1" applyAlignment="1">
      <alignment horizontal="center"/>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0" xfId="0" applyFont="1" applyFill="1" applyAlignment="1">
      <alignment horizontal="center"/>
    </xf>
    <xf numFmtId="10" fontId="4" fillId="6" borderId="51" xfId="0" applyNumberFormat="1" applyFont="1" applyFill="1" applyBorder="1" applyAlignment="1">
      <alignment horizontal="center" vertical="center" wrapText="1"/>
    </xf>
    <xf numFmtId="0" fontId="4" fillId="6" borderId="23" xfId="0" applyFont="1" applyFill="1" applyBorder="1" applyAlignment="1">
      <alignment horizontal="justify" vertical="center" wrapText="1"/>
    </xf>
    <xf numFmtId="1" fontId="4" fillId="6" borderId="52" xfId="0" applyNumberFormat="1"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19" xfId="0" applyFont="1" applyFill="1" applyBorder="1" applyAlignment="1">
      <alignment horizontal="justify" vertical="center" wrapText="1"/>
    </xf>
    <xf numFmtId="0" fontId="4" fillId="6" borderId="21" xfId="0" applyFont="1" applyFill="1" applyBorder="1" applyAlignment="1">
      <alignment horizontal="center" vertical="center" wrapText="1"/>
    </xf>
    <xf numFmtId="0" fontId="6" fillId="6" borderId="11" xfId="0" applyFont="1" applyFill="1" applyBorder="1" applyAlignment="1">
      <alignment horizontal="center" vertical="center" wrapText="1"/>
    </xf>
    <xf numFmtId="1" fontId="6" fillId="6" borderId="20" xfId="0" applyNumberFormat="1" applyFont="1" applyFill="1" applyBorder="1" applyAlignment="1">
      <alignment horizontal="center" vertical="center" wrapText="1"/>
    </xf>
    <xf numFmtId="1" fontId="6" fillId="6" borderId="22" xfId="0" applyNumberFormat="1" applyFont="1" applyFill="1" applyBorder="1" applyAlignment="1">
      <alignment horizontal="center" vertical="center" wrapText="1"/>
    </xf>
    <xf numFmtId="1" fontId="6" fillId="6" borderId="27" xfId="0" applyNumberFormat="1" applyFont="1" applyFill="1" applyBorder="1" applyAlignment="1">
      <alignment horizontal="center" vertical="center" wrapText="1"/>
    </xf>
    <xf numFmtId="1" fontId="22" fillId="6" borderId="20" xfId="0" applyNumberFormat="1" applyFont="1" applyFill="1" applyBorder="1" applyAlignment="1">
      <alignment horizontal="center" vertical="center" wrapText="1"/>
    </xf>
    <xf numFmtId="1" fontId="22" fillId="6" borderId="27" xfId="0" applyNumberFormat="1" applyFont="1" applyFill="1" applyBorder="1" applyAlignment="1">
      <alignment horizontal="center" vertical="center" wrapText="1"/>
    </xf>
    <xf numFmtId="1" fontId="22" fillId="6" borderId="6" xfId="0" applyNumberFormat="1" applyFont="1" applyFill="1" applyBorder="1" applyAlignment="1">
      <alignment horizontal="center" vertical="center" wrapText="1"/>
    </xf>
    <xf numFmtId="0" fontId="22" fillId="6" borderId="23" xfId="0" applyFont="1" applyFill="1" applyBorder="1" applyAlignment="1">
      <alignment horizontal="justify" vertical="center" wrapText="1"/>
    </xf>
    <xf numFmtId="0" fontId="23" fillId="6" borderId="11" xfId="0" applyFont="1" applyFill="1" applyBorder="1" applyAlignment="1">
      <alignment horizontal="center" vertical="center" wrapText="1"/>
    </xf>
    <xf numFmtId="0" fontId="23" fillId="6" borderId="0" xfId="0" applyFont="1" applyFill="1" applyAlignment="1">
      <alignment horizontal="center" vertical="center" wrapText="1"/>
    </xf>
    <xf numFmtId="0" fontId="4" fillId="6" borderId="22"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6" borderId="0" xfId="0" applyFont="1" applyFill="1" applyAlignment="1">
      <alignment horizontal="center" vertical="center"/>
    </xf>
    <xf numFmtId="14" fontId="22" fillId="0" borderId="6" xfId="0" applyNumberFormat="1" applyFont="1" applyBorder="1" applyAlignment="1">
      <alignment horizontal="center" vertical="center"/>
    </xf>
    <xf numFmtId="0" fontId="22" fillId="0" borderId="6" xfId="0" applyFont="1" applyFill="1" applyBorder="1" applyAlignment="1">
      <alignment horizontal="justify" vertical="center" wrapText="1"/>
    </xf>
    <xf numFmtId="0" fontId="22" fillId="6" borderId="0" xfId="0" applyFont="1" applyFill="1" applyAlignment="1">
      <alignment horizontal="center" vertical="center" wrapText="1"/>
    </xf>
    <xf numFmtId="0" fontId="22" fillId="6" borderId="51" xfId="0" applyFont="1" applyFill="1" applyBorder="1" applyAlignment="1">
      <alignment horizontal="justify" vertical="center" wrapText="1"/>
    </xf>
    <xf numFmtId="0" fontId="24" fillId="6" borderId="19" xfId="0" applyFont="1" applyFill="1" applyBorder="1" applyAlignment="1">
      <alignment horizontal="justify" vertical="center" wrapText="1"/>
    </xf>
    <xf numFmtId="0" fontId="24" fillId="6" borderId="21" xfId="0" applyFont="1" applyFill="1" applyBorder="1" applyAlignment="1">
      <alignment horizontal="justify" vertical="center" wrapText="1"/>
    </xf>
    <xf numFmtId="1" fontId="4" fillId="6" borderId="20" xfId="0" applyNumberFormat="1" applyFont="1" applyFill="1" applyBorder="1" applyAlignment="1">
      <alignment horizontal="center" vertical="center" wrapText="1"/>
    </xf>
    <xf numFmtId="1" fontId="4" fillId="6" borderId="22" xfId="0" applyNumberFormat="1" applyFont="1" applyFill="1" applyBorder="1" applyAlignment="1">
      <alignment horizontal="center" vertical="center" wrapText="1"/>
    </xf>
    <xf numFmtId="1" fontId="22" fillId="6" borderId="22" xfId="0" applyNumberFormat="1" applyFont="1" applyFill="1" applyBorder="1" applyAlignment="1">
      <alignment horizontal="center" vertical="center" wrapText="1"/>
    </xf>
    <xf numFmtId="1" fontId="23" fillId="7" borderId="15" xfId="0" applyNumberFormat="1" applyFont="1" applyFill="1" applyBorder="1" applyAlignment="1">
      <alignment horizontal="center" vertical="center" wrapText="1"/>
    </xf>
    <xf numFmtId="43" fontId="10" fillId="0" borderId="54" xfId="6" applyFont="1" applyFill="1" applyBorder="1" applyAlignment="1">
      <alignment horizontal="center" vertical="center" wrapText="1"/>
    </xf>
    <xf numFmtId="43" fontId="11" fillId="0" borderId="32" xfId="6" applyFont="1" applyBorder="1" applyAlignment="1">
      <alignment horizontal="center" vertical="center"/>
    </xf>
    <xf numFmtId="1" fontId="4" fillId="0" borderId="53" xfId="0" applyNumberFormat="1" applyFont="1" applyFill="1" applyBorder="1" applyAlignment="1">
      <alignment horizontal="center" vertical="center" wrapText="1"/>
    </xf>
    <xf numFmtId="43" fontId="8" fillId="0" borderId="6" xfId="4" applyFont="1" applyFill="1" applyBorder="1" applyAlignment="1">
      <alignment horizontal="right" vertical="center"/>
    </xf>
    <xf numFmtId="0" fontId="4" fillId="0" borderId="66" xfId="0" applyFont="1" applyBorder="1" applyAlignment="1">
      <alignment horizontal="justify"/>
    </xf>
    <xf numFmtId="0" fontId="4" fillId="0" borderId="54" xfId="0" applyFont="1" applyBorder="1" applyAlignment="1">
      <alignment horizontal="justify" wrapText="1"/>
    </xf>
    <xf numFmtId="0" fontId="1" fillId="6" borderId="51" xfId="0" applyFont="1" applyFill="1" applyBorder="1" applyAlignment="1">
      <alignment horizontal="justify" vertical="center" wrapText="1"/>
    </xf>
    <xf numFmtId="0" fontId="4" fillId="0" borderId="22" xfId="0" applyFont="1" applyBorder="1" applyAlignment="1">
      <alignment vertical="center" wrapText="1"/>
    </xf>
    <xf numFmtId="1" fontId="4" fillId="6" borderId="31" xfId="0" applyNumberFormat="1" applyFont="1" applyFill="1" applyBorder="1" applyAlignment="1">
      <alignment horizontal="center" vertical="center"/>
    </xf>
    <xf numFmtId="0" fontId="4" fillId="6" borderId="31" xfId="0" applyFont="1" applyFill="1" applyBorder="1" applyAlignment="1">
      <alignment horizontal="center" vertical="center"/>
    </xf>
    <xf numFmtId="0" fontId="4" fillId="0" borderId="31" xfId="0" applyFont="1" applyBorder="1" applyAlignment="1">
      <alignment horizontal="justify" vertical="center"/>
    </xf>
    <xf numFmtId="1" fontId="4" fillId="0" borderId="30" xfId="0" applyNumberFormat="1" applyFont="1" applyBorder="1" applyAlignment="1">
      <alignment vertical="center"/>
    </xf>
    <xf numFmtId="0" fontId="4" fillId="0" borderId="31" xfId="0" applyFont="1" applyBorder="1" applyAlignment="1">
      <alignment vertical="center" wrapText="1"/>
    </xf>
    <xf numFmtId="170" fontId="4" fillId="0" borderId="33" xfId="0" applyNumberFormat="1" applyFont="1" applyBorder="1" applyAlignment="1">
      <alignment horizontal="center" vertical="center"/>
    </xf>
    <xf numFmtId="43" fontId="39" fillId="0" borderId="32" xfId="1" applyFont="1" applyBorder="1" applyAlignment="1">
      <alignment horizontal="center" vertical="center"/>
    </xf>
    <xf numFmtId="43" fontId="46" fillId="0" borderId="51" xfId="1" applyFont="1" applyBorder="1" applyAlignment="1">
      <alignment horizontal="center" vertical="center"/>
    </xf>
    <xf numFmtId="0" fontId="46" fillId="0" borderId="52" xfId="11" applyNumberFormat="1" applyFont="1" applyFill="1" applyBorder="1" applyAlignment="1">
      <alignment horizontal="center" vertical="center" wrapText="1"/>
    </xf>
    <xf numFmtId="0" fontId="4" fillId="0" borderId="60" xfId="11" applyNumberFormat="1" applyFont="1" applyBorder="1" applyAlignment="1">
      <alignment horizontal="center" vertical="center" wrapText="1"/>
    </xf>
    <xf numFmtId="0" fontId="4" fillId="0" borderId="52" xfId="11" applyNumberFormat="1" applyFont="1" applyBorder="1" applyAlignment="1">
      <alignment horizontal="center" vertical="center" wrapText="1"/>
    </xf>
    <xf numFmtId="0" fontId="4" fillId="0" borderId="57" xfId="11" applyNumberFormat="1" applyFont="1" applyBorder="1" applyAlignment="1">
      <alignment horizontal="center" vertical="center" wrapText="1"/>
    </xf>
    <xf numFmtId="43" fontId="6" fillId="0" borderId="32" xfId="1" applyFont="1" applyBorder="1" applyAlignment="1">
      <alignment vertical="center"/>
    </xf>
    <xf numFmtId="167" fontId="6" fillId="13" borderId="6" xfId="0" applyNumberFormat="1" applyFont="1" applyFill="1" applyBorder="1" applyAlignment="1">
      <alignment horizontal="justify" vertical="center"/>
    </xf>
    <xf numFmtId="167" fontId="46" fillId="6" borderId="0" xfId="2" applyNumberFormat="1" applyFont="1" applyFill="1" applyBorder="1" applyAlignment="1">
      <alignment horizontal="center" vertical="center"/>
    </xf>
    <xf numFmtId="167" fontId="6" fillId="14" borderId="6" xfId="0" applyNumberFormat="1" applyFont="1" applyFill="1" applyBorder="1" applyAlignment="1">
      <alignment horizontal="justify" vertical="center"/>
    </xf>
    <xf numFmtId="167" fontId="6" fillId="15" borderId="6" xfId="0" applyNumberFormat="1" applyFont="1" applyFill="1" applyBorder="1" applyAlignment="1">
      <alignment horizontal="justify" vertical="center"/>
    </xf>
    <xf numFmtId="43" fontId="46" fillId="0" borderId="6" xfId="1" applyFont="1" applyBorder="1" applyAlignment="1">
      <alignment vertical="center"/>
    </xf>
    <xf numFmtId="43" fontId="46" fillId="0" borderId="20" xfId="1" applyFont="1" applyBorder="1" applyAlignment="1">
      <alignment vertical="center"/>
    </xf>
    <xf numFmtId="0" fontId="24" fillId="0" borderId="0" xfId="0" applyFont="1"/>
    <xf numFmtId="0" fontId="28" fillId="0" borderId="6" xfId="0" applyFont="1" applyBorder="1" applyAlignment="1">
      <alignment vertical="center"/>
    </xf>
    <xf numFmtId="3" fontId="28" fillId="2" borderId="7" xfId="0" applyNumberFormat="1" applyFont="1" applyFill="1" applyBorder="1" applyAlignment="1">
      <alignment horizontal="left" vertical="center" wrapText="1"/>
    </xf>
    <xf numFmtId="0" fontId="24" fillId="0" borderId="0" xfId="0" applyFont="1" applyAlignment="1">
      <alignment wrapText="1"/>
    </xf>
    <xf numFmtId="0" fontId="7" fillId="0" borderId="14" xfId="0" applyFont="1" applyBorder="1" applyAlignment="1">
      <alignment horizontal="center" vertical="center"/>
    </xf>
    <xf numFmtId="0" fontId="7" fillId="12" borderId="6" xfId="0" applyFont="1" applyFill="1" applyBorder="1" applyAlignment="1">
      <alignment horizontal="center" vertical="center" textRotation="90" wrapText="1"/>
    </xf>
    <xf numFmtId="49" fontId="7" fillId="12" borderId="6" xfId="0" applyNumberFormat="1" applyFont="1" applyFill="1" applyBorder="1" applyAlignment="1">
      <alignment horizontal="center" vertical="center" textRotation="90" wrapText="1"/>
    </xf>
    <xf numFmtId="1" fontId="7" fillId="13" borderId="38" xfId="0" applyNumberFormat="1" applyFont="1" applyFill="1" applyBorder="1" applyAlignment="1">
      <alignment horizontal="center" vertical="center" wrapText="1"/>
    </xf>
    <xf numFmtId="0" fontId="8" fillId="13" borderId="6" xfId="0" applyFont="1" applyFill="1" applyBorder="1"/>
    <xf numFmtId="0" fontId="8" fillId="13" borderId="7" xfId="0" applyFont="1" applyFill="1" applyBorder="1"/>
    <xf numFmtId="1" fontId="7" fillId="14" borderId="15" xfId="0" applyNumberFormat="1" applyFont="1" applyFill="1" applyBorder="1" applyAlignment="1">
      <alignment horizontal="center" vertical="center"/>
    </xf>
    <xf numFmtId="0" fontId="8" fillId="14" borderId="6" xfId="0" applyFont="1" applyFill="1" applyBorder="1"/>
    <xf numFmtId="0" fontId="8" fillId="14" borderId="7" xfId="0" applyFont="1" applyFill="1" applyBorder="1"/>
    <xf numFmtId="0" fontId="24" fillId="6" borderId="0" xfId="0" applyFont="1" applyFill="1"/>
    <xf numFmtId="1" fontId="7" fillId="15" borderId="6" xfId="0" applyNumberFormat="1" applyFont="1" applyFill="1" applyBorder="1" applyAlignment="1">
      <alignment horizontal="left" vertical="center" wrapText="1" indent="1"/>
    </xf>
    <xf numFmtId="0" fontId="8" fillId="15" borderId="6" xfId="0" applyFont="1" applyFill="1" applyBorder="1"/>
    <xf numFmtId="0" fontId="8" fillId="15" borderId="7" xfId="0" applyFont="1" applyFill="1" applyBorder="1"/>
    <xf numFmtId="43" fontId="8" fillId="0" borderId="20" xfId="4" applyFont="1" applyFill="1" applyBorder="1" applyAlignment="1">
      <alignment horizontal="center" vertical="center" wrapText="1"/>
    </xf>
    <xf numFmtId="0" fontId="8" fillId="6" borderId="12" xfId="0" applyFont="1" applyFill="1" applyBorder="1" applyAlignment="1">
      <alignment horizontal="justify" vertical="center" wrapText="1"/>
    </xf>
    <xf numFmtId="0" fontId="24" fillId="0" borderId="58" xfId="0" applyFont="1" applyBorder="1" applyAlignment="1">
      <alignment vertical="center" wrapText="1"/>
    </xf>
    <xf numFmtId="0" fontId="7" fillId="0" borderId="30" xfId="0" applyFont="1" applyBorder="1" applyAlignment="1">
      <alignment vertical="center"/>
    </xf>
    <xf numFmtId="0" fontId="7" fillId="0" borderId="50" xfId="0" applyFont="1" applyBorder="1" applyAlignment="1">
      <alignment vertical="center"/>
    </xf>
    <xf numFmtId="0" fontId="7" fillId="0" borderId="71" xfId="0" applyFont="1" applyBorder="1" applyAlignment="1">
      <alignment horizontal="justify" vertical="center"/>
    </xf>
    <xf numFmtId="0" fontId="7" fillId="0" borderId="31" xfId="0" applyFont="1" applyBorder="1" applyAlignment="1">
      <alignment horizontal="right" vertical="center"/>
    </xf>
    <xf numFmtId="169" fontId="7" fillId="0" borderId="31" xfId="0" applyNumberFormat="1" applyFont="1" applyBorder="1" applyAlignment="1">
      <alignment horizontal="center" vertical="center"/>
    </xf>
    <xf numFmtId="0" fontId="7" fillId="0" borderId="33" xfId="0" applyFont="1" applyBorder="1" applyAlignment="1">
      <alignment horizontal="left" vertical="center"/>
    </xf>
    <xf numFmtId="0" fontId="28" fillId="0" borderId="0" xfId="0" applyFont="1" applyAlignment="1">
      <alignment vertical="center"/>
    </xf>
    <xf numFmtId="43" fontId="24" fillId="0" borderId="0" xfId="4" applyFont="1"/>
    <xf numFmtId="171" fontId="24" fillId="0" borderId="0" xfId="0" applyNumberFormat="1" applyFont="1"/>
    <xf numFmtId="0" fontId="7" fillId="0" borderId="11" xfId="0" applyFont="1" applyBorder="1"/>
    <xf numFmtId="0" fontId="24" fillId="0" borderId="11" xfId="0" applyFont="1" applyBorder="1"/>
    <xf numFmtId="0" fontId="24" fillId="6" borderId="0" xfId="0" applyFont="1" applyFill="1" applyAlignment="1">
      <alignment horizontal="justify" vertical="center"/>
    </xf>
    <xf numFmtId="0" fontId="7" fillId="0" borderId="0" xfId="0" applyFont="1"/>
    <xf numFmtId="43" fontId="8" fillId="0" borderId="54" xfId="4" applyFont="1" applyFill="1" applyBorder="1" applyAlignment="1">
      <alignment horizontal="center" vertical="center" wrapText="1"/>
    </xf>
    <xf numFmtId="0" fontId="28" fillId="0" borderId="3" xfId="0" applyFont="1" applyBorder="1" applyAlignment="1">
      <alignment vertical="center"/>
    </xf>
    <xf numFmtId="0" fontId="28" fillId="0" borderId="4" xfId="0" applyFont="1" applyBorder="1" applyAlignment="1">
      <alignment horizontal="center" vertical="center"/>
    </xf>
    <xf numFmtId="0" fontId="28" fillId="0" borderId="6" xfId="0" applyFont="1" applyBorder="1" applyAlignment="1">
      <alignment horizontal="left" vertical="center"/>
    </xf>
    <xf numFmtId="168" fontId="28" fillId="0" borderId="7" xfId="0" applyNumberFormat="1" applyFont="1" applyBorder="1" applyAlignment="1">
      <alignment horizontal="left" vertical="center"/>
    </xf>
    <xf numFmtId="17" fontId="28" fillId="0" borderId="7" xfId="0" applyNumberFormat="1" applyFont="1" applyBorder="1" applyAlignment="1">
      <alignment horizontal="left" vertical="center"/>
    </xf>
    <xf numFmtId="43" fontId="7" fillId="13" borderId="15" xfId="1" applyFont="1" applyFill="1" applyBorder="1" applyAlignment="1">
      <alignment horizontal="left" vertical="center"/>
    </xf>
    <xf numFmtId="43" fontId="7" fillId="14" borderId="9" xfId="1" applyFont="1" applyFill="1" applyBorder="1" applyAlignment="1">
      <alignment horizontal="left" vertical="center"/>
    </xf>
    <xf numFmtId="43" fontId="7" fillId="15" borderId="11" xfId="1" applyFont="1" applyFill="1" applyBorder="1" applyAlignment="1">
      <alignment horizontal="left" vertical="center"/>
    </xf>
    <xf numFmtId="43" fontId="46" fillId="0" borderId="51" xfId="1" applyFont="1" applyFill="1" applyBorder="1" applyAlignment="1">
      <alignment horizontal="center" vertical="center"/>
    </xf>
    <xf numFmtId="43" fontId="46" fillId="0" borderId="54" xfId="1" applyFont="1" applyFill="1" applyBorder="1" applyAlignment="1">
      <alignment horizontal="center" vertical="center"/>
    </xf>
    <xf numFmtId="43" fontId="46" fillId="0" borderId="53" xfId="1" applyFont="1" applyFill="1" applyBorder="1" applyAlignment="1">
      <alignment horizontal="center" vertical="center"/>
    </xf>
    <xf numFmtId="0" fontId="22" fillId="0" borderId="52" xfId="0" applyFont="1" applyBorder="1" applyAlignment="1">
      <alignment horizontal="center" vertical="center"/>
    </xf>
    <xf numFmtId="43" fontId="46" fillId="0" borderId="6" xfId="1" applyFont="1" applyFill="1" applyBorder="1" applyAlignment="1">
      <alignment horizontal="center" vertical="center"/>
    </xf>
    <xf numFmtId="0" fontId="0" fillId="0" borderId="0" xfId="0" applyAlignment="1">
      <alignment horizontal="center" vertical="center" wrapText="1"/>
    </xf>
    <xf numFmtId="0" fontId="8" fillId="0" borderId="5" xfId="0" applyFont="1" applyBorder="1" applyAlignment="1">
      <alignment horizontal="justify" vertical="center" wrapText="1"/>
    </xf>
    <xf numFmtId="0" fontId="8" fillId="0" borderId="48" xfId="0" applyFont="1" applyBorder="1" applyAlignment="1">
      <alignment horizontal="justify" vertical="center" wrapText="1"/>
    </xf>
    <xf numFmtId="0" fontId="8" fillId="6" borderId="14" xfId="0" applyFont="1" applyFill="1" applyBorder="1" applyAlignment="1">
      <alignment horizontal="justify" vertical="center" wrapText="1"/>
    </xf>
    <xf numFmtId="0" fontId="8" fillId="6" borderId="21" xfId="0" applyFont="1" applyFill="1" applyBorder="1" applyAlignment="1">
      <alignment horizontal="justify" vertical="center" wrapText="1"/>
    </xf>
    <xf numFmtId="0" fontId="8" fillId="0" borderId="19" xfId="0" applyFont="1" applyBorder="1" applyAlignment="1">
      <alignment horizontal="justify" vertical="center" wrapText="1"/>
    </xf>
    <xf numFmtId="0" fontId="22" fillId="0" borderId="59" xfId="0" applyFont="1" applyBorder="1" applyAlignment="1">
      <alignment horizontal="justify" vertical="center" wrapText="1"/>
    </xf>
    <xf numFmtId="0" fontId="22" fillId="0" borderId="58" xfId="0" applyFont="1" applyBorder="1" applyAlignment="1">
      <alignment horizontal="justify" wrapText="1"/>
    </xf>
    <xf numFmtId="0" fontId="8" fillId="0" borderId="21" xfId="0" applyFont="1" applyBorder="1" applyAlignment="1">
      <alignment horizontal="justify" vertical="center" wrapText="1"/>
    </xf>
    <xf numFmtId="0" fontId="23" fillId="0" borderId="4" xfId="0" applyFont="1" applyBorder="1" applyAlignment="1">
      <alignment vertical="center"/>
    </xf>
    <xf numFmtId="0" fontId="23" fillId="0" borderId="7" xfId="0" applyFont="1" applyBorder="1" applyAlignment="1">
      <alignment vertical="center"/>
    </xf>
    <xf numFmtId="0" fontId="23" fillId="0" borderId="24" xfId="0" applyFont="1" applyBorder="1" applyAlignment="1">
      <alignment vertical="center"/>
    </xf>
    <xf numFmtId="1" fontId="23" fillId="13" borderId="38" xfId="0" applyNumberFormat="1" applyFont="1" applyFill="1" applyBorder="1" applyAlignment="1">
      <alignment horizontal="center" vertical="center" wrapText="1"/>
    </xf>
    <xf numFmtId="0" fontId="23" fillId="13" borderId="17" xfId="0" applyFont="1" applyFill="1" applyBorder="1" applyAlignment="1">
      <alignment horizontal="justify" vertical="center"/>
    </xf>
    <xf numFmtId="0" fontId="23" fillId="14" borderId="7" xfId="0" applyFont="1" applyFill="1" applyBorder="1" applyAlignment="1">
      <alignment horizontal="justify" vertical="center"/>
    </xf>
    <xf numFmtId="0" fontId="23" fillId="15" borderId="7" xfId="0" applyFont="1" applyFill="1" applyBorder="1" applyAlignment="1">
      <alignment horizontal="justify" vertical="center"/>
    </xf>
    <xf numFmtId="0" fontId="7" fillId="13" borderId="0" xfId="0" applyFont="1" applyFill="1" applyBorder="1" applyAlignment="1">
      <alignment vertical="center"/>
    </xf>
    <xf numFmtId="0" fontId="8" fillId="13" borderId="17" xfId="0" applyFont="1" applyFill="1" applyBorder="1" applyAlignment="1">
      <alignment vertical="center"/>
    </xf>
    <xf numFmtId="0" fontId="8" fillId="14" borderId="17" xfId="0" applyFont="1" applyFill="1" applyBorder="1" applyAlignment="1">
      <alignment vertical="center"/>
    </xf>
    <xf numFmtId="0" fontId="8" fillId="15" borderId="17" xfId="0" applyFont="1" applyFill="1" applyBorder="1" applyAlignment="1">
      <alignment vertical="center"/>
    </xf>
    <xf numFmtId="0" fontId="22" fillId="6" borderId="0" xfId="0" applyFont="1" applyFill="1" applyBorder="1" applyAlignment="1">
      <alignment horizontal="center"/>
    </xf>
    <xf numFmtId="0" fontId="8" fillId="6" borderId="5" xfId="0" applyFont="1" applyFill="1" applyBorder="1" applyAlignment="1">
      <alignment vertical="center" wrapText="1"/>
    </xf>
    <xf numFmtId="0" fontId="8" fillId="6" borderId="0" xfId="0" applyFont="1" applyFill="1" applyBorder="1" applyAlignment="1">
      <alignment vertical="center" wrapText="1"/>
    </xf>
    <xf numFmtId="0" fontId="7" fillId="15" borderId="0" xfId="0" applyFont="1" applyFill="1" applyBorder="1" applyAlignment="1">
      <alignment vertical="center"/>
    </xf>
    <xf numFmtId="0" fontId="7" fillId="15" borderId="17" xfId="0" applyFont="1" applyFill="1" applyBorder="1" applyAlignment="1">
      <alignment vertical="center"/>
    </xf>
    <xf numFmtId="0" fontId="8" fillId="0" borderId="5" xfId="0" applyFont="1" applyBorder="1" applyAlignment="1">
      <alignment vertical="center" wrapText="1"/>
    </xf>
    <xf numFmtId="0" fontId="8" fillId="0" borderId="0" xfId="0" applyFont="1" applyBorder="1" applyAlignment="1">
      <alignment vertical="center" wrapText="1"/>
    </xf>
    <xf numFmtId="9" fontId="0" fillId="0" borderId="20" xfId="0" applyNumberFormat="1" applyBorder="1" applyAlignment="1">
      <alignment horizontal="center" vertical="center"/>
    </xf>
    <xf numFmtId="0" fontId="4" fillId="0" borderId="54" xfId="0" applyFont="1" applyFill="1" applyBorder="1" applyAlignment="1">
      <alignment horizontal="center" vertical="center" wrapText="1"/>
    </xf>
    <xf numFmtId="1" fontId="8" fillId="0" borderId="26" xfId="0" applyNumberFormat="1" applyFont="1" applyBorder="1" applyAlignment="1">
      <alignment horizontal="center" vertical="center" wrapText="1"/>
    </xf>
    <xf numFmtId="0" fontId="7" fillId="0" borderId="30" xfId="0" applyFont="1" applyBorder="1" applyAlignment="1">
      <alignment horizontal="center" vertical="center" wrapText="1"/>
    </xf>
    <xf numFmtId="0" fontId="8" fillId="0" borderId="31" xfId="0" applyFont="1" applyBorder="1" applyAlignment="1">
      <alignment horizontal="center" vertical="center" wrapText="1"/>
    </xf>
    <xf numFmtId="1" fontId="7" fillId="6" borderId="31" xfId="0" applyNumberFormat="1" applyFont="1" applyFill="1" applyBorder="1" applyAlignment="1">
      <alignment vertical="center" wrapText="1"/>
    </xf>
    <xf numFmtId="0" fontId="8" fillId="6" borderId="31" xfId="0" applyFont="1" applyFill="1" applyBorder="1" applyAlignment="1">
      <alignment vertical="center" wrapText="1"/>
    </xf>
    <xf numFmtId="0" fontId="0" fillId="0" borderId="31" xfId="0" applyBorder="1" applyAlignment="1">
      <alignment horizontal="center" vertical="center" wrapText="1"/>
    </xf>
    <xf numFmtId="0" fontId="7" fillId="0" borderId="31" xfId="0" applyFont="1" applyBorder="1" applyAlignment="1">
      <alignment horizontal="justify" vertical="center"/>
    </xf>
    <xf numFmtId="0" fontId="0" fillId="0" borderId="31" xfId="0" applyBorder="1" applyAlignment="1">
      <alignment vertical="center" wrapText="1"/>
    </xf>
    <xf numFmtId="0" fontId="0" fillId="0" borderId="82" xfId="0" applyBorder="1" applyAlignment="1">
      <alignment horizontal="left" vertical="center" wrapText="1"/>
    </xf>
    <xf numFmtId="177" fontId="7" fillId="0" borderId="81" xfId="0" applyNumberFormat="1" applyFont="1" applyBorder="1" applyAlignment="1">
      <alignment horizontal="center" vertical="center"/>
    </xf>
    <xf numFmtId="0" fontId="7" fillId="0" borderId="80" xfId="0" applyFont="1" applyBorder="1" applyAlignment="1">
      <alignment horizontal="center" vertical="center"/>
    </xf>
    <xf numFmtId="177" fontId="7" fillId="0" borderId="31" xfId="0" applyNumberFormat="1"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0" fillId="0" borderId="82" xfId="0" applyBorder="1"/>
    <xf numFmtId="3" fontId="7" fillId="6" borderId="32" xfId="0" applyNumberFormat="1" applyFont="1" applyFill="1" applyBorder="1" applyAlignment="1">
      <alignment horizontal="center" vertical="center" wrapText="1"/>
    </xf>
    <xf numFmtId="43" fontId="6" fillId="0" borderId="32" xfId="1" applyFont="1" applyBorder="1" applyAlignment="1">
      <alignment horizontal="center" vertical="center"/>
    </xf>
    <xf numFmtId="1" fontId="4" fillId="0" borderId="6" xfId="0" applyNumberFormat="1" applyFont="1" applyBorder="1" applyAlignment="1">
      <alignment horizontal="center" vertical="center" wrapText="1"/>
    </xf>
    <xf numFmtId="0" fontId="4" fillId="0" borderId="6" xfId="0" applyFont="1" applyBorder="1" applyAlignment="1">
      <alignment horizontal="justify" vertical="center" wrapText="1"/>
    </xf>
    <xf numFmtId="0" fontId="4" fillId="0" borderId="20" xfId="0" applyFont="1" applyBorder="1" applyAlignment="1">
      <alignment horizontal="justify" vertical="center" wrapText="1"/>
    </xf>
    <xf numFmtId="0" fontId="6" fillId="15" borderId="15" xfId="0" applyFont="1" applyFill="1" applyBorder="1" applyAlignment="1">
      <alignment horizontal="left" vertical="center"/>
    </xf>
    <xf numFmtId="0" fontId="6" fillId="0" borderId="6" xfId="0" applyFont="1" applyBorder="1" applyAlignment="1">
      <alignment horizontal="center" vertical="center"/>
    </xf>
    <xf numFmtId="1" fontId="6" fillId="12" borderId="20" xfId="0" applyNumberFormat="1" applyFont="1" applyFill="1" applyBorder="1" applyAlignment="1">
      <alignment horizontal="center" vertical="center" wrapText="1"/>
    </xf>
    <xf numFmtId="170" fontId="6" fillId="12" borderId="20" xfId="0" applyNumberFormat="1" applyFont="1" applyFill="1" applyBorder="1" applyAlignment="1">
      <alignment horizontal="center" vertical="center" wrapText="1"/>
    </xf>
    <xf numFmtId="0" fontId="6" fillId="14" borderId="15" xfId="0" applyFont="1" applyFill="1" applyBorder="1" applyAlignment="1">
      <alignment horizontal="left" vertical="center"/>
    </xf>
    <xf numFmtId="0" fontId="4" fillId="0" borderId="6" xfId="0" applyFont="1" applyBorder="1" applyAlignment="1">
      <alignment horizontal="center" vertical="center"/>
    </xf>
    <xf numFmtId="43" fontId="4" fillId="0" borderId="20" xfId="4" applyFont="1" applyBorder="1" applyAlignment="1">
      <alignment horizontal="center" vertical="center" wrapText="1"/>
    </xf>
    <xf numFmtId="43" fontId="4" fillId="0" borderId="22" xfId="4" applyFont="1" applyBorder="1" applyAlignment="1">
      <alignment horizontal="center" vertical="center" wrapText="1"/>
    </xf>
    <xf numFmtId="0" fontId="4" fillId="0" borderId="14" xfId="0" applyFont="1" applyBorder="1" applyAlignment="1">
      <alignment horizontal="justify"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1" fontId="4" fillId="0" borderId="27" xfId="0" applyNumberFormat="1" applyFont="1" applyBorder="1" applyAlignment="1">
      <alignment horizontal="center" vertical="center" wrapText="1"/>
    </xf>
    <xf numFmtId="1" fontId="4" fillId="0" borderId="51" xfId="0" applyNumberFormat="1" applyFont="1" applyBorder="1" applyAlignment="1">
      <alignment horizontal="center" vertical="center" wrapText="1"/>
    </xf>
    <xf numFmtId="0" fontId="4" fillId="0" borderId="0" xfId="0" applyFont="1" applyAlignment="1">
      <alignment horizontal="justify"/>
    </xf>
    <xf numFmtId="0" fontId="4" fillId="0" borderId="27" xfId="0" applyFont="1" applyBorder="1" applyAlignment="1">
      <alignment horizontal="justify" vertical="center"/>
    </xf>
    <xf numFmtId="0" fontId="4" fillId="0" borderId="6" xfId="0" applyFont="1" applyBorder="1" applyAlignment="1">
      <alignment horizontal="justify" vertical="center"/>
    </xf>
    <xf numFmtId="3" fontId="4" fillId="0" borderId="6" xfId="0" applyNumberFormat="1" applyFont="1" applyBorder="1" applyAlignment="1">
      <alignment horizontal="center" vertical="center"/>
    </xf>
    <xf numFmtId="3" fontId="4" fillId="0" borderId="20" xfId="0" applyNumberFormat="1" applyFont="1" applyBorder="1" applyAlignment="1">
      <alignment horizontal="center" vertical="center"/>
    </xf>
    <xf numFmtId="0" fontId="4" fillId="0" borderId="20" xfId="0" applyFont="1" applyBorder="1" applyAlignment="1">
      <alignment horizontal="justify" vertical="center"/>
    </xf>
    <xf numFmtId="0" fontId="4" fillId="0" borderId="27" xfId="0" applyFont="1" applyBorder="1" applyAlignment="1">
      <alignment horizontal="center" vertical="center" wrapText="1"/>
    </xf>
    <xf numFmtId="0" fontId="4" fillId="0" borderId="20" xfId="0" applyFont="1" applyBorder="1" applyAlignment="1">
      <alignment horizontal="left" vertical="center" wrapText="1"/>
    </xf>
    <xf numFmtId="0" fontId="4" fillId="0" borderId="27" xfId="0" applyFont="1" applyBorder="1" applyAlignment="1">
      <alignment horizontal="left" vertical="center" wrapText="1"/>
    </xf>
    <xf numFmtId="3" fontId="4" fillId="0" borderId="27" xfId="0" applyNumberFormat="1" applyFont="1" applyBorder="1" applyAlignment="1">
      <alignment horizontal="center" vertical="center"/>
    </xf>
    <xf numFmtId="0" fontId="4" fillId="6" borderId="0" xfId="0" applyFont="1" applyFill="1" applyAlignment="1">
      <alignment horizontal="center" vertical="center" wrapText="1"/>
    </xf>
    <xf numFmtId="0" fontId="8" fillId="0" borderId="23" xfId="0" applyFont="1" applyBorder="1" applyAlignment="1">
      <alignment horizontal="justify" vertical="center" wrapText="1"/>
    </xf>
    <xf numFmtId="0" fontId="4" fillId="6" borderId="6" xfId="0"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0" fontId="4" fillId="6" borderId="6" xfId="0" applyFont="1" applyFill="1" applyBorder="1" applyAlignment="1">
      <alignment horizontal="justify" vertical="center" wrapText="1"/>
    </xf>
    <xf numFmtId="0" fontId="4" fillId="6" borderId="22"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 fontId="4" fillId="6" borderId="12" xfId="0" applyNumberFormat="1" applyFont="1" applyFill="1" applyBorder="1" applyAlignment="1">
      <alignment horizontal="center" vertical="center" wrapText="1"/>
    </xf>
    <xf numFmtId="1" fontId="4" fillId="6" borderId="25" xfId="0" applyNumberFormat="1" applyFont="1" applyFill="1" applyBorder="1" applyAlignment="1">
      <alignment horizontal="center" vertical="center" wrapText="1"/>
    </xf>
    <xf numFmtId="0" fontId="4" fillId="6" borderId="20" xfId="0" applyFont="1" applyFill="1" applyBorder="1" applyAlignment="1">
      <alignment horizontal="justify" vertical="center" wrapText="1"/>
    </xf>
    <xf numFmtId="0" fontId="4" fillId="6" borderId="22" xfId="0" applyFont="1" applyFill="1" applyBorder="1" applyAlignment="1">
      <alignment horizontal="justify" vertical="center" wrapText="1"/>
    </xf>
    <xf numFmtId="1" fontId="6" fillId="6" borderId="11" xfId="0" applyNumberFormat="1" applyFont="1" applyFill="1" applyBorder="1" applyAlignment="1">
      <alignment horizontal="center" vertical="center" wrapText="1"/>
    </xf>
    <xf numFmtId="1" fontId="6" fillId="6" borderId="12" xfId="0" applyNumberFormat="1" applyFont="1" applyFill="1" applyBorder="1" applyAlignment="1">
      <alignment horizontal="center" vertical="center" wrapText="1"/>
    </xf>
    <xf numFmtId="1" fontId="6" fillId="6" borderId="0" xfId="0" applyNumberFormat="1" applyFont="1" applyFill="1" applyAlignment="1">
      <alignment horizontal="center" vertical="center" wrapText="1"/>
    </xf>
    <xf numFmtId="0" fontId="4" fillId="6" borderId="11"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3" xfId="0" applyFont="1" applyFill="1" applyBorder="1" applyAlignment="1">
      <alignment horizontal="center" vertical="center" wrapText="1"/>
    </xf>
    <xf numFmtId="1" fontId="4" fillId="6" borderId="13" xfId="0" applyNumberFormat="1" applyFont="1" applyFill="1" applyBorder="1" applyAlignment="1">
      <alignment horizontal="center" vertical="center" wrapText="1"/>
    </xf>
    <xf numFmtId="1" fontId="4" fillId="6" borderId="52" xfId="0" applyNumberFormat="1" applyFont="1" applyFill="1" applyBorder="1" applyAlignment="1">
      <alignment horizontal="center" vertical="center" wrapText="1"/>
    </xf>
    <xf numFmtId="0" fontId="4" fillId="6" borderId="11" xfId="0" applyFont="1" applyFill="1" applyBorder="1" applyAlignment="1">
      <alignment horizontal="center"/>
    </xf>
    <xf numFmtId="0" fontId="4" fillId="6" borderId="0" xfId="0" applyFont="1" applyFill="1" applyAlignment="1">
      <alignment horizontal="center"/>
    </xf>
    <xf numFmtId="0" fontId="4" fillId="6" borderId="25" xfId="0" applyFont="1" applyFill="1" applyBorder="1" applyAlignment="1">
      <alignment horizontal="center"/>
    </xf>
    <xf numFmtId="0" fontId="4" fillId="0" borderId="0" xfId="0" applyFont="1" applyAlignment="1">
      <alignment horizontal="center"/>
    </xf>
    <xf numFmtId="174" fontId="8" fillId="0" borderId="6" xfId="0" applyNumberFormat="1" applyFont="1" applyBorder="1" applyAlignment="1">
      <alignment horizontal="center" vertical="center"/>
    </xf>
    <xf numFmtId="3" fontId="4" fillId="6" borderId="6" xfId="0" applyNumberFormat="1" applyFont="1" applyFill="1" applyBorder="1" applyAlignment="1">
      <alignment horizontal="center" vertical="center" wrapText="1"/>
    </xf>
    <xf numFmtId="0" fontId="4" fillId="6" borderId="27" xfId="0" applyFont="1" applyFill="1" applyBorder="1" applyAlignment="1">
      <alignment horizontal="justify" vertical="center" wrapText="1"/>
    </xf>
    <xf numFmtId="0" fontId="6" fillId="6" borderId="6" xfId="0" applyFont="1" applyFill="1" applyBorder="1" applyAlignment="1">
      <alignment horizontal="center" vertical="center"/>
    </xf>
    <xf numFmtId="14" fontId="4" fillId="6" borderId="6" xfId="0" applyNumberFormat="1" applyFont="1" applyFill="1" applyBorder="1" applyAlignment="1">
      <alignment horizontal="center" vertical="center"/>
    </xf>
    <xf numFmtId="0" fontId="4" fillId="6" borderId="6" xfId="0" applyFont="1" applyFill="1" applyBorder="1" applyAlignment="1">
      <alignment horizontal="center" vertical="center"/>
    </xf>
    <xf numFmtId="0" fontId="4" fillId="6" borderId="20" xfId="0" applyFont="1" applyFill="1" applyBorder="1" applyAlignment="1">
      <alignment horizontal="center" vertical="center"/>
    </xf>
    <xf numFmtId="1" fontId="14" fillId="0" borderId="22" xfId="0" applyNumberFormat="1" applyFont="1" applyBorder="1" applyAlignment="1">
      <alignment horizontal="center" vertical="center"/>
    </xf>
    <xf numFmtId="0" fontId="14" fillId="0" borderId="22" xfId="0" applyFont="1" applyBorder="1" applyAlignment="1">
      <alignment horizontal="center" vertical="center"/>
    </xf>
    <xf numFmtId="14" fontId="14" fillId="0" borderId="22" xfId="0" applyNumberFormat="1" applyFont="1" applyBorder="1" applyAlignment="1">
      <alignment horizontal="center" vertical="center" wrapText="1"/>
    </xf>
    <xf numFmtId="0" fontId="14" fillId="0" borderId="22" xfId="0" applyFont="1" applyBorder="1" applyAlignment="1">
      <alignment horizontal="center" vertical="center" wrapText="1"/>
    </xf>
    <xf numFmtId="1" fontId="4" fillId="6" borderId="20" xfId="0" applyNumberFormat="1" applyFont="1" applyFill="1" applyBorder="1" applyAlignment="1">
      <alignment horizontal="center" vertical="center"/>
    </xf>
    <xf numFmtId="1" fontId="4" fillId="6" borderId="22" xfId="0" applyNumberFormat="1" applyFont="1" applyFill="1" applyBorder="1" applyAlignment="1">
      <alignment horizontal="center" vertical="center"/>
    </xf>
    <xf numFmtId="1" fontId="4" fillId="6" borderId="27" xfId="0" applyNumberFormat="1" applyFont="1" applyFill="1" applyBorder="1" applyAlignment="1">
      <alignment horizontal="center" vertical="center"/>
    </xf>
    <xf numFmtId="0" fontId="4" fillId="6" borderId="22" xfId="0" applyFont="1" applyFill="1" applyBorder="1" applyAlignment="1">
      <alignment horizontal="center" vertical="center"/>
    </xf>
    <xf numFmtId="0" fontId="4" fillId="6" borderId="25" xfId="0" applyFont="1" applyFill="1" applyBorder="1" applyAlignment="1">
      <alignment horizontal="center" vertical="center"/>
    </xf>
    <xf numFmtId="0" fontId="4" fillId="0" borderId="20"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6" borderId="0" xfId="0" applyFont="1" applyFill="1" applyAlignment="1">
      <alignment horizontal="center" vertical="center"/>
    </xf>
    <xf numFmtId="0" fontId="4" fillId="6" borderId="51" xfId="0" applyFont="1" applyFill="1" applyBorder="1" applyAlignment="1">
      <alignment vertical="center" wrapText="1"/>
    </xf>
    <xf numFmtId="0" fontId="4" fillId="6" borderId="12" xfId="0" applyFont="1" applyFill="1" applyBorder="1" applyAlignment="1">
      <alignment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9" fontId="4" fillId="6" borderId="20" xfId="3" applyFont="1" applyFill="1" applyBorder="1" applyAlignment="1">
      <alignment horizontal="center" vertical="center"/>
    </xf>
    <xf numFmtId="9" fontId="4" fillId="6" borderId="27" xfId="3" applyFont="1" applyFill="1" applyBorder="1" applyAlignment="1">
      <alignment horizontal="center" vertical="center"/>
    </xf>
    <xf numFmtId="43" fontId="4" fillId="6" borderId="22" xfId="4" applyFont="1" applyFill="1" applyBorder="1" applyAlignment="1">
      <alignment horizontal="center" vertical="center"/>
    </xf>
    <xf numFmtId="0" fontId="4" fillId="0" borderId="22" xfId="0" applyFont="1" applyBorder="1" applyAlignment="1">
      <alignment horizontal="center" vertical="center"/>
    </xf>
    <xf numFmtId="1" fontId="4" fillId="6" borderId="6" xfId="0" applyNumberFormat="1" applyFont="1" applyFill="1" applyBorder="1" applyAlignment="1">
      <alignment horizontal="center" vertical="center"/>
    </xf>
    <xf numFmtId="0" fontId="4" fillId="6" borderId="20"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4" fillId="6" borderId="27" xfId="0" applyFont="1" applyFill="1" applyBorder="1" applyAlignment="1">
      <alignment horizontal="left" vertical="center" wrapText="1"/>
    </xf>
    <xf numFmtId="9" fontId="4" fillId="6" borderId="22" xfId="3" applyFont="1" applyFill="1" applyBorder="1" applyAlignment="1">
      <alignment horizontal="center" vertical="center"/>
    </xf>
    <xf numFmtId="0" fontId="4" fillId="6" borderId="51" xfId="0" applyFont="1" applyFill="1" applyBorder="1" applyAlignment="1">
      <alignment horizontal="center" vertical="center"/>
    </xf>
    <xf numFmtId="43" fontId="4" fillId="0" borderId="27" xfId="4" applyFont="1" applyBorder="1" applyAlignment="1">
      <alignment horizontal="center" vertical="center" wrapText="1"/>
    </xf>
    <xf numFmtId="10" fontId="4" fillId="6" borderId="20" xfId="3" applyNumberFormat="1" applyFont="1" applyFill="1" applyBorder="1" applyAlignment="1">
      <alignment horizontal="center" vertical="center"/>
    </xf>
    <xf numFmtId="43" fontId="4" fillId="0" borderId="22" xfId="4" applyFont="1" applyBorder="1" applyAlignment="1">
      <alignment horizontal="center" vertical="center"/>
    </xf>
    <xf numFmtId="0" fontId="4" fillId="0" borderId="51" xfId="0" applyFont="1" applyBorder="1" applyAlignment="1">
      <alignment horizontal="left" vertical="center" wrapText="1"/>
    </xf>
    <xf numFmtId="0" fontId="4" fillId="0" borderId="6" xfId="0" applyFont="1" applyBorder="1" applyAlignment="1">
      <alignment horizontal="left" vertical="center" wrapText="1"/>
    </xf>
    <xf numFmtId="43" fontId="4" fillId="0" borderId="6" xfId="4" applyFont="1" applyBorder="1" applyAlignment="1">
      <alignment horizontal="center" vertical="center"/>
    </xf>
    <xf numFmtId="0" fontId="4" fillId="6" borderId="51" xfId="0" applyFont="1" applyFill="1" applyBorder="1" applyAlignment="1">
      <alignment horizontal="left" vertical="center"/>
    </xf>
    <xf numFmtId="0" fontId="4" fillId="6" borderId="51" xfId="0" applyFont="1" applyFill="1" applyBorder="1" applyAlignment="1">
      <alignment horizontal="left" vertical="center" wrapText="1"/>
    </xf>
    <xf numFmtId="1" fontId="4" fillId="6" borderId="27" xfId="0" applyNumberFormat="1" applyFont="1" applyFill="1" applyBorder="1" applyAlignment="1">
      <alignment horizontal="center" vertical="center" wrapText="1"/>
    </xf>
    <xf numFmtId="43" fontId="6" fillId="0" borderId="9" xfId="1" applyFont="1" applyBorder="1" applyAlignment="1">
      <alignment vertical="center"/>
    </xf>
    <xf numFmtId="43" fontId="23" fillId="13" borderId="11" xfId="1" applyFont="1" applyFill="1" applyBorder="1" applyAlignment="1">
      <alignment horizontal="center" vertical="center"/>
    </xf>
    <xf numFmtId="43" fontId="23" fillId="14" borderId="11" xfId="1" applyFont="1" applyFill="1" applyBorder="1" applyAlignment="1">
      <alignment horizontal="center" vertical="center"/>
    </xf>
    <xf numFmtId="43" fontId="23" fillId="15" borderId="11" xfId="1" applyFont="1" applyFill="1" applyBorder="1" applyAlignment="1">
      <alignment horizontal="center" vertical="center"/>
    </xf>
    <xf numFmtId="43" fontId="30" fillId="0" borderId="20" xfId="1" applyFont="1" applyFill="1" applyBorder="1" applyAlignment="1">
      <alignment horizontal="center" vertical="center" wrapText="1"/>
    </xf>
    <xf numFmtId="43" fontId="30" fillId="0" borderId="6" xfId="1" applyFont="1" applyFill="1" applyBorder="1" applyAlignment="1">
      <alignment horizontal="center" vertical="center" wrapText="1"/>
    </xf>
    <xf numFmtId="43" fontId="30" fillId="0" borderId="77" xfId="1" applyFont="1" applyFill="1" applyBorder="1" applyAlignment="1">
      <alignment horizontal="center" vertical="center" wrapText="1"/>
    </xf>
    <xf numFmtId="43" fontId="30" fillId="0" borderId="21" xfId="1" applyFont="1" applyFill="1" applyBorder="1" applyAlignment="1">
      <alignment horizontal="center" vertical="center" wrapText="1"/>
    </xf>
    <xf numFmtId="43" fontId="30" fillId="0" borderId="51" xfId="1" applyFont="1" applyBorder="1" applyAlignment="1">
      <alignment horizontal="right" vertical="center"/>
    </xf>
    <xf numFmtId="43" fontId="30" fillId="0" borderId="27" xfId="1" applyFont="1" applyFill="1" applyBorder="1" applyAlignment="1">
      <alignment horizontal="center" vertical="center" wrapText="1"/>
    </xf>
    <xf numFmtId="43" fontId="30" fillId="0" borderId="14" xfId="1" applyFont="1" applyFill="1" applyBorder="1" applyAlignment="1">
      <alignment horizontal="center" vertical="center" wrapText="1"/>
    </xf>
    <xf numFmtId="43" fontId="30" fillId="0" borderId="6" xfId="1" applyFont="1" applyFill="1" applyBorder="1" applyAlignment="1">
      <alignment horizontal="center" vertical="center"/>
    </xf>
    <xf numFmtId="43" fontId="22" fillId="0" borderId="6" xfId="1" applyFont="1" applyFill="1" applyBorder="1" applyAlignment="1">
      <alignment horizontal="center" vertical="center"/>
    </xf>
    <xf numFmtId="43" fontId="23" fillId="15" borderId="15" xfId="1" applyFont="1" applyFill="1" applyBorder="1" applyAlignment="1">
      <alignment vertical="center"/>
    </xf>
    <xf numFmtId="43" fontId="22" fillId="0" borderId="20" xfId="1" applyFont="1" applyFill="1" applyBorder="1" applyAlignment="1">
      <alignment horizontal="center" vertical="center"/>
    </xf>
    <xf numFmtId="43" fontId="22" fillId="0" borderId="51" xfId="1" applyFont="1" applyFill="1" applyBorder="1" applyAlignment="1">
      <alignment horizontal="center" vertical="center"/>
    </xf>
    <xf numFmtId="43" fontId="22" fillId="0" borderId="27" xfId="1" applyFont="1" applyFill="1" applyBorder="1" applyAlignment="1">
      <alignment vertical="center" wrapText="1"/>
    </xf>
    <xf numFmtId="43" fontId="23" fillId="14" borderId="0" xfId="1" applyFont="1" applyFill="1" applyAlignment="1">
      <alignment horizontal="justify" vertical="center"/>
    </xf>
    <xf numFmtId="43" fontId="23" fillId="15" borderId="11" xfId="1" applyFont="1" applyFill="1" applyBorder="1" applyAlignment="1">
      <alignment horizontal="justify" vertical="center"/>
    </xf>
    <xf numFmtId="43" fontId="22" fillId="0" borderId="6" xfId="1" applyFont="1" applyFill="1" applyBorder="1" applyAlignment="1">
      <alignment vertical="center" wrapText="1"/>
    </xf>
    <xf numFmtId="43" fontId="22" fillId="0" borderId="14" xfId="1" applyFont="1" applyFill="1" applyBorder="1" applyAlignment="1">
      <alignment vertical="center" wrapText="1"/>
    </xf>
    <xf numFmtId="43" fontId="22" fillId="0" borderId="14" xfId="1" applyFont="1" applyFill="1" applyBorder="1" applyAlignment="1">
      <alignment horizontal="center" vertical="center" wrapText="1"/>
    </xf>
    <xf numFmtId="43" fontId="23" fillId="15" borderId="20" xfId="1" applyFont="1" applyFill="1" applyBorder="1" applyAlignment="1">
      <alignment horizontal="center" vertical="center"/>
    </xf>
    <xf numFmtId="43" fontId="22" fillId="0" borderId="51" xfId="1" applyFont="1" applyFill="1" applyBorder="1" applyAlignment="1">
      <alignment horizontal="justify" vertical="center"/>
    </xf>
    <xf numFmtId="43" fontId="23" fillId="15" borderId="0" xfId="1" applyFont="1" applyFill="1" applyAlignment="1">
      <alignment horizontal="justify" vertical="center" wrapText="1"/>
    </xf>
    <xf numFmtId="43" fontId="22" fillId="0" borderId="27" xfId="1" applyFont="1" applyFill="1" applyBorder="1" applyAlignment="1">
      <alignment horizontal="justify" vertical="center"/>
    </xf>
    <xf numFmtId="43" fontId="22" fillId="0" borderId="6" xfId="1" applyFont="1" applyFill="1" applyBorder="1" applyAlignment="1">
      <alignment horizontal="justify" vertical="center"/>
    </xf>
    <xf numFmtId="43" fontId="22" fillId="0" borderId="20" xfId="1" applyFont="1" applyFill="1" applyBorder="1" applyAlignment="1">
      <alignment horizontal="justify" vertical="center"/>
    </xf>
    <xf numFmtId="43" fontId="23" fillId="14" borderId="0" xfId="1" applyFont="1" applyFill="1" applyBorder="1" applyAlignment="1">
      <alignment horizontal="center" vertical="center"/>
    </xf>
    <xf numFmtId="43" fontId="23" fillId="15" borderId="15" xfId="1" applyFont="1" applyFill="1" applyBorder="1" applyAlignment="1">
      <alignment horizontal="center" vertical="center"/>
    </xf>
    <xf numFmtId="43" fontId="22" fillId="0" borderId="51" xfId="1" applyFont="1" applyFill="1" applyBorder="1" applyAlignment="1">
      <alignment vertical="center"/>
    </xf>
    <xf numFmtId="43" fontId="22" fillId="0" borderId="54" xfId="1" applyFont="1" applyFill="1" applyBorder="1" applyAlignment="1">
      <alignment vertical="center"/>
    </xf>
    <xf numFmtId="43" fontId="22" fillId="0" borderId="51" xfId="1" applyFont="1" applyFill="1" applyBorder="1"/>
    <xf numFmtId="43" fontId="22" fillId="0" borderId="51" xfId="1" applyFont="1" applyFill="1" applyBorder="1" applyAlignment="1">
      <alignment horizontal="right"/>
    </xf>
    <xf numFmtId="43" fontId="22" fillId="0" borderId="13" xfId="1" applyFont="1" applyFill="1" applyBorder="1" applyAlignment="1">
      <alignment horizontal="center" vertical="center"/>
    </xf>
    <xf numFmtId="43" fontId="22" fillId="0" borderId="16" xfId="1" applyFont="1" applyFill="1" applyBorder="1" applyAlignment="1">
      <alignment horizontal="center" vertical="center"/>
    </xf>
    <xf numFmtId="43" fontId="23" fillId="25" borderId="11" xfId="1" applyFont="1" applyFill="1" applyBorder="1" applyAlignment="1">
      <alignment horizontal="center" vertical="center"/>
    </xf>
    <xf numFmtId="43" fontId="22" fillId="0" borderId="19" xfId="1" applyFont="1" applyFill="1" applyBorder="1" applyAlignment="1">
      <alignment horizontal="center" vertical="center"/>
    </xf>
    <xf numFmtId="43" fontId="22" fillId="0" borderId="58" xfId="1" applyFont="1" applyFill="1" applyBorder="1" applyAlignment="1">
      <alignment horizontal="center" vertical="center"/>
    </xf>
    <xf numFmtId="43" fontId="22" fillId="0" borderId="21" xfId="1" applyFont="1" applyFill="1" applyBorder="1" applyAlignment="1">
      <alignment horizontal="center" vertical="center"/>
    </xf>
    <xf numFmtId="43" fontId="23" fillId="25" borderId="0" xfId="1" applyFont="1" applyFill="1" applyAlignment="1">
      <alignment horizontal="center" vertical="center"/>
    </xf>
    <xf numFmtId="43" fontId="23" fillId="13" borderId="0" xfId="1" applyFont="1" applyFill="1" applyAlignment="1">
      <alignment horizontal="justify" vertical="center" wrapText="1"/>
    </xf>
    <xf numFmtId="43" fontId="23" fillId="14" borderId="11" xfId="1" applyFont="1" applyFill="1" applyBorder="1" applyAlignment="1">
      <alignment horizontal="justify" vertical="center" wrapText="1"/>
    </xf>
    <xf numFmtId="43" fontId="23" fillId="15" borderId="15" xfId="1" applyFont="1" applyFill="1" applyBorder="1" applyAlignment="1">
      <alignment horizontal="justify" vertical="center" wrapText="1"/>
    </xf>
    <xf numFmtId="43" fontId="23" fillId="0" borderId="6" xfId="1" applyFont="1" applyFill="1" applyBorder="1" applyAlignment="1">
      <alignment horizontal="center" vertical="center"/>
    </xf>
    <xf numFmtId="43" fontId="4" fillId="0" borderId="0" xfId="1" applyFont="1" applyFill="1" applyAlignment="1">
      <alignment horizontal="center" vertical="center"/>
    </xf>
    <xf numFmtId="43" fontId="4" fillId="6" borderId="0" xfId="1" applyFont="1" applyFill="1" applyAlignment="1">
      <alignment horizontal="center" vertical="center"/>
    </xf>
    <xf numFmtId="0" fontId="4" fillId="0" borderId="21" xfId="0" applyFont="1" applyBorder="1" applyAlignment="1">
      <alignment horizontal="center" vertical="center"/>
    </xf>
    <xf numFmtId="0" fontId="22" fillId="14" borderId="11" xfId="0" applyFont="1" applyFill="1" applyBorder="1" applyAlignment="1">
      <alignment horizontal="center" vertical="center"/>
    </xf>
    <xf numFmtId="3" fontId="22" fillId="6" borderId="6" xfId="13" applyNumberFormat="1" applyFont="1" applyFill="1" applyBorder="1" applyAlignment="1">
      <alignment horizontal="justify" vertical="center" wrapText="1"/>
    </xf>
    <xf numFmtId="0" fontId="30" fillId="0" borderId="51" xfId="13" applyNumberFormat="1" applyFont="1" applyFill="1" applyBorder="1" applyAlignment="1">
      <alignment horizontal="justify" vertical="center" wrapText="1"/>
    </xf>
    <xf numFmtId="178" fontId="22" fillId="6" borderId="25" xfId="13" applyFont="1" applyFill="1" applyBorder="1" applyAlignment="1">
      <alignment horizontal="center" vertical="center" wrapText="1"/>
    </xf>
    <xf numFmtId="3" fontId="22" fillId="6" borderId="27" xfId="13" applyNumberFormat="1" applyFont="1" applyFill="1" applyBorder="1" applyAlignment="1">
      <alignment horizontal="justify" vertical="center" wrapText="1"/>
    </xf>
    <xf numFmtId="0" fontId="30" fillId="0" borderId="22" xfId="0" applyFont="1" applyFill="1" applyBorder="1" applyAlignment="1">
      <alignment horizontal="justify" vertical="center" wrapText="1"/>
    </xf>
    <xf numFmtId="3" fontId="22" fillId="0" borderId="6" xfId="13" applyNumberFormat="1" applyFont="1" applyFill="1" applyBorder="1" applyAlignment="1">
      <alignment horizontal="justify" vertical="center" wrapText="1"/>
    </xf>
    <xf numFmtId="3" fontId="22" fillId="0" borderId="20" xfId="13" applyNumberFormat="1" applyFont="1" applyFill="1" applyBorder="1" applyAlignment="1">
      <alignment horizontal="justify" vertical="center" wrapText="1"/>
    </xf>
    <xf numFmtId="0" fontId="22" fillId="0" borderId="51" xfId="0" applyFont="1" applyBorder="1" applyAlignment="1">
      <alignment horizontal="justify" vertical="center"/>
    </xf>
    <xf numFmtId="3" fontId="22" fillId="0" borderId="27" xfId="13" applyNumberFormat="1" applyFont="1" applyFill="1" applyBorder="1" applyAlignment="1">
      <alignment horizontal="justify" vertical="center" wrapText="1"/>
    </xf>
    <xf numFmtId="178" fontId="22" fillId="6" borderId="0" xfId="13" applyFont="1" applyFill="1" applyBorder="1" applyAlignment="1">
      <alignment horizontal="center" vertical="center" wrapText="1"/>
    </xf>
    <xf numFmtId="178" fontId="22" fillId="6" borderId="20" xfId="13" applyFont="1" applyFill="1" applyBorder="1" applyAlignment="1">
      <alignment horizontal="justify" vertical="center" wrapText="1"/>
    </xf>
    <xf numFmtId="170" fontId="22" fillId="14" borderId="0" xfId="0" applyNumberFormat="1" applyFont="1" applyFill="1" applyAlignment="1">
      <alignment horizontal="justify" vertical="center"/>
    </xf>
    <xf numFmtId="10" fontId="22" fillId="15" borderId="51" xfId="0" applyNumberFormat="1" applyFont="1" applyFill="1" applyBorder="1" applyAlignment="1">
      <alignment horizontal="justify" vertical="center"/>
    </xf>
    <xf numFmtId="178" fontId="22" fillId="6" borderId="20" xfId="13" applyFont="1" applyFill="1" applyBorder="1" applyAlignment="1">
      <alignment horizontal="justify" vertical="center"/>
    </xf>
    <xf numFmtId="178" fontId="22" fillId="6" borderId="6" xfId="13" applyFont="1" applyFill="1" applyBorder="1" applyAlignment="1">
      <alignment horizontal="justify" vertical="center"/>
    </xf>
    <xf numFmtId="171" fontId="23" fillId="15" borderId="15" xfId="0" applyNumberFormat="1" applyFont="1" applyFill="1" applyBorder="1" applyAlignment="1">
      <alignment horizontal="justify" vertical="center"/>
    </xf>
    <xf numFmtId="178" fontId="22" fillId="6" borderId="51" xfId="13" applyFont="1" applyFill="1" applyBorder="1" applyAlignment="1">
      <alignment horizontal="justify" vertical="center" wrapText="1"/>
    </xf>
    <xf numFmtId="0" fontId="23" fillId="15" borderId="0" xfId="0" applyFont="1" applyFill="1" applyAlignment="1">
      <alignment horizontal="center" vertical="center" wrapText="1"/>
    </xf>
    <xf numFmtId="3" fontId="22" fillId="6" borderId="6" xfId="13" applyNumberFormat="1" applyFont="1" applyFill="1" applyBorder="1" applyAlignment="1">
      <alignment horizontal="justify" vertical="center"/>
    </xf>
    <xf numFmtId="3" fontId="22" fillId="0" borderId="6" xfId="13" applyNumberFormat="1" applyFont="1" applyFill="1" applyBorder="1" applyAlignment="1">
      <alignment horizontal="justify" vertical="center"/>
    </xf>
    <xf numFmtId="3" fontId="22" fillId="6" borderId="51" xfId="13" applyNumberFormat="1" applyFont="1" applyFill="1" applyBorder="1" applyAlignment="1">
      <alignment horizontal="justify" vertical="center"/>
    </xf>
    <xf numFmtId="0" fontId="22" fillId="0" borderId="51" xfId="0" applyFont="1" applyFill="1" applyBorder="1" applyAlignment="1">
      <alignment horizontal="justify" vertical="center"/>
    </xf>
    <xf numFmtId="3" fontId="22" fillId="0" borderId="51" xfId="13" applyNumberFormat="1" applyFont="1" applyFill="1" applyBorder="1" applyAlignment="1">
      <alignment horizontal="justify" vertical="center"/>
    </xf>
    <xf numFmtId="171" fontId="23" fillId="14" borderId="0" xfId="0" applyNumberFormat="1" applyFont="1" applyFill="1" applyBorder="1" applyAlignment="1">
      <alignment horizontal="justify" vertical="center"/>
    </xf>
    <xf numFmtId="0" fontId="22" fillId="6" borderId="25" xfId="13" applyNumberFormat="1" applyFont="1" applyFill="1" applyBorder="1" applyAlignment="1">
      <alignment horizontal="center" vertical="center" wrapText="1"/>
    </xf>
    <xf numFmtId="3" fontId="22" fillId="0" borderId="20" xfId="13" applyNumberFormat="1" applyFont="1" applyFill="1" applyBorder="1" applyAlignment="1">
      <alignment horizontal="justify" vertical="center"/>
    </xf>
    <xf numFmtId="3" fontId="22" fillId="0" borderId="27" xfId="13" applyNumberFormat="1" applyFont="1" applyFill="1" applyBorder="1" applyAlignment="1">
      <alignment horizontal="justify" vertical="center"/>
    </xf>
    <xf numFmtId="3" fontId="22" fillId="0" borderId="13" xfId="13" applyNumberFormat="1" applyFont="1" applyFill="1" applyBorder="1" applyAlignment="1">
      <alignment horizontal="justify" vertical="center"/>
    </xf>
    <xf numFmtId="1" fontId="22" fillId="0" borderId="83" xfId="13" applyNumberFormat="1" applyFont="1" applyFill="1" applyBorder="1" applyAlignment="1">
      <alignment horizontal="center" vertical="center"/>
    </xf>
    <xf numFmtId="43" fontId="23" fillId="14" borderId="0" xfId="1" applyFont="1" applyFill="1" applyAlignment="1">
      <alignment horizontal="justify" vertical="center" wrapText="1"/>
    </xf>
    <xf numFmtId="0" fontId="23" fillId="14" borderId="0" xfId="0" applyFont="1" applyFill="1" applyAlignment="1">
      <alignment horizontal="center" vertical="center" wrapText="1"/>
    </xf>
    <xf numFmtId="3" fontId="22" fillId="6" borderId="20" xfId="13" applyNumberFormat="1" applyFont="1" applyFill="1" applyBorder="1" applyAlignment="1">
      <alignment horizontal="justify" vertical="center"/>
    </xf>
    <xf numFmtId="3" fontId="22" fillId="6" borderId="27" xfId="13" applyNumberFormat="1" applyFont="1" applyFill="1" applyBorder="1" applyAlignment="1">
      <alignment horizontal="justify" vertical="center"/>
    </xf>
    <xf numFmtId="1" fontId="23" fillId="14" borderId="6" xfId="0" applyNumberFormat="1" applyFont="1" applyFill="1" applyBorder="1" applyAlignment="1">
      <alignment horizontal="justify" vertical="center"/>
    </xf>
    <xf numFmtId="3" fontId="22" fillId="6" borderId="20" xfId="13" applyNumberFormat="1" applyFont="1" applyFill="1" applyBorder="1" applyAlignment="1">
      <alignment horizontal="justify" vertical="center" wrapText="1"/>
    </xf>
    <xf numFmtId="0" fontId="30" fillId="0" borderId="6" xfId="0" applyFont="1" applyFill="1" applyBorder="1" applyAlignment="1">
      <alignment horizontal="justify" vertical="center" wrapText="1" readingOrder="2"/>
    </xf>
    <xf numFmtId="0" fontId="22" fillId="13" borderId="0" xfId="0" applyFont="1" applyFill="1" applyAlignment="1">
      <alignment horizontal="justify" vertical="center"/>
    </xf>
    <xf numFmtId="0" fontId="23" fillId="13" borderId="0" xfId="0" applyFont="1" applyFill="1" applyAlignment="1">
      <alignment horizontal="center" vertical="center" wrapText="1"/>
    </xf>
    <xf numFmtId="171" fontId="23" fillId="13" borderId="11" xfId="0" applyNumberFormat="1" applyFont="1" applyFill="1" applyBorder="1" applyAlignment="1">
      <alignment horizontal="justify" vertical="center"/>
    </xf>
    <xf numFmtId="0" fontId="23" fillId="14" borderId="11" xfId="0" applyFont="1" applyFill="1" applyBorder="1" applyAlignment="1">
      <alignment horizontal="center" vertical="center" wrapText="1"/>
    </xf>
    <xf numFmtId="171" fontId="23" fillId="14" borderId="11" xfId="0" applyNumberFormat="1" applyFont="1" applyFill="1" applyBorder="1" applyAlignment="1">
      <alignment horizontal="justify" vertical="center"/>
    </xf>
    <xf numFmtId="0" fontId="23" fillId="15" borderId="15" xfId="0" applyFont="1" applyFill="1" applyBorder="1" applyAlignment="1">
      <alignment horizontal="center" vertical="center" wrapText="1"/>
    </xf>
    <xf numFmtId="178" fontId="23" fillId="6" borderId="6" xfId="13" applyFont="1" applyFill="1" applyBorder="1" applyAlignment="1">
      <alignment horizontal="center" vertical="center"/>
    </xf>
    <xf numFmtId="0" fontId="4" fillId="6" borderId="9" xfId="0" applyFont="1" applyFill="1" applyBorder="1" applyAlignment="1">
      <alignment horizontal="justify" vertical="center" wrapText="1"/>
    </xf>
    <xf numFmtId="0" fontId="6" fillId="0" borderId="0" xfId="0" applyFont="1" applyBorder="1"/>
    <xf numFmtId="168" fontId="3" fillId="0" borderId="7" xfId="0" applyNumberFormat="1" applyFont="1" applyBorder="1" applyAlignment="1">
      <alignment horizontal="left" vertical="center"/>
    </xf>
    <xf numFmtId="17" fontId="3" fillId="0" borderId="7" xfId="0" applyNumberFormat="1" applyFont="1" applyBorder="1" applyAlignment="1">
      <alignment horizontal="left" vertical="center"/>
    </xf>
    <xf numFmtId="43" fontId="7" fillId="13" borderId="15" xfId="1" applyFont="1" applyFill="1" applyBorder="1" applyAlignment="1">
      <alignment horizontal="right" vertical="center" wrapText="1"/>
    </xf>
    <xf numFmtId="43" fontId="7" fillId="20" borderId="15" xfId="1" applyFont="1" applyFill="1" applyBorder="1" applyAlignment="1">
      <alignment horizontal="right" vertical="center" wrapText="1"/>
    </xf>
    <xf numFmtId="43" fontId="8" fillId="15" borderId="15" xfId="1" applyFont="1" applyFill="1" applyBorder="1" applyAlignment="1">
      <alignment horizontal="right" vertical="center" wrapText="1"/>
    </xf>
    <xf numFmtId="43" fontId="24" fillId="6" borderId="6" xfId="1" applyFont="1" applyFill="1" applyBorder="1" applyAlignment="1">
      <alignment vertical="center" wrapText="1"/>
    </xf>
    <xf numFmtId="43" fontId="24" fillId="6" borderId="16" xfId="1" applyFont="1" applyFill="1" applyBorder="1" applyAlignment="1">
      <alignment vertical="center" wrapText="1"/>
    </xf>
    <xf numFmtId="43" fontId="24" fillId="6" borderId="20" xfId="1" applyFont="1" applyFill="1" applyBorder="1" applyAlignment="1">
      <alignment horizontal="right" vertical="center" wrapText="1"/>
    </xf>
    <xf numFmtId="43" fontId="24" fillId="6" borderId="6" xfId="1" applyFont="1" applyFill="1" applyBorder="1" applyAlignment="1">
      <alignment horizontal="right" vertical="center" wrapText="1"/>
    </xf>
    <xf numFmtId="0" fontId="22" fillId="6" borderId="51" xfId="0" applyFont="1" applyFill="1" applyBorder="1" applyAlignment="1">
      <alignment horizontal="justify" vertical="center"/>
    </xf>
    <xf numFmtId="43" fontId="24" fillId="15" borderId="9" xfId="1" applyFont="1" applyFill="1" applyBorder="1" applyAlignment="1">
      <alignment horizontal="right" vertical="center" wrapText="1"/>
    </xf>
    <xf numFmtId="0" fontId="22" fillId="15" borderId="9" xfId="0" applyFont="1" applyFill="1" applyBorder="1" applyAlignment="1">
      <alignment horizontal="justify" vertical="center" wrapText="1"/>
    </xf>
    <xf numFmtId="43" fontId="24" fillId="15" borderId="15" xfId="1" applyFont="1" applyFill="1" applyBorder="1" applyAlignment="1">
      <alignment horizontal="right" vertical="center" wrapText="1"/>
    </xf>
    <xf numFmtId="1" fontId="22" fillId="15" borderId="15" xfId="0" applyNumberFormat="1" applyFont="1" applyFill="1" applyBorder="1" applyAlignment="1">
      <alignment horizontal="center" vertical="center" wrapText="1"/>
    </xf>
    <xf numFmtId="43" fontId="24" fillId="6" borderId="27" xfId="1" applyFont="1" applyFill="1" applyBorder="1" applyAlignment="1">
      <alignment horizontal="right" vertical="center" wrapText="1"/>
    </xf>
    <xf numFmtId="43" fontId="28" fillId="20" borderId="15" xfId="1" applyFont="1" applyFill="1" applyBorder="1" applyAlignment="1">
      <alignment horizontal="right" vertical="center" wrapText="1"/>
    </xf>
    <xf numFmtId="43" fontId="28" fillId="15" borderId="15" xfId="1" applyFont="1" applyFill="1" applyBorder="1" applyAlignment="1">
      <alignment horizontal="right" vertical="center" wrapText="1"/>
    </xf>
    <xf numFmtId="43" fontId="24" fillId="6" borderId="54" xfId="1" applyFont="1" applyFill="1" applyBorder="1" applyAlignment="1">
      <alignment horizontal="right" vertical="center"/>
    </xf>
    <xf numFmtId="43" fontId="24" fillId="6" borderId="51" xfId="1" applyFont="1" applyFill="1" applyBorder="1" applyAlignment="1">
      <alignment horizontal="right" vertical="center" wrapText="1"/>
    </xf>
    <xf numFmtId="43" fontId="24" fillId="6" borderId="22" xfId="1" applyFont="1" applyFill="1" applyBorder="1" applyAlignment="1">
      <alignment horizontal="right" vertical="center" wrapText="1"/>
    </xf>
    <xf numFmtId="43" fontId="24" fillId="15" borderId="15" xfId="1" applyFont="1" applyFill="1" applyBorder="1" applyAlignment="1">
      <alignment horizontal="justify" vertical="center" wrapText="1"/>
    </xf>
    <xf numFmtId="43" fontId="24" fillId="6" borderId="51" xfId="1" applyFont="1" applyFill="1" applyBorder="1" applyAlignment="1">
      <alignment vertical="center"/>
    </xf>
    <xf numFmtId="0" fontId="22" fillId="6" borderId="0" xfId="0" applyFont="1" applyFill="1" applyBorder="1" applyAlignment="1">
      <alignment vertical="center" textRotation="90"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179" fontId="22" fillId="0" borderId="31" xfId="0" applyNumberFormat="1" applyFont="1" applyBorder="1" applyAlignment="1">
      <alignment horizontal="center" vertical="center" wrapText="1"/>
    </xf>
    <xf numFmtId="0" fontId="22" fillId="0" borderId="31" xfId="0" applyFont="1" applyBorder="1" applyAlignment="1">
      <alignment horizontal="justify" vertical="center" wrapText="1"/>
    </xf>
    <xf numFmtId="0" fontId="22" fillId="0" borderId="31" xfId="0" applyFont="1" applyBorder="1" applyAlignment="1">
      <alignment vertical="center" wrapText="1"/>
    </xf>
    <xf numFmtId="0" fontId="22" fillId="0" borderId="31" xfId="0" applyFont="1" applyBorder="1"/>
    <xf numFmtId="10" fontId="22" fillId="0" borderId="31" xfId="0" applyNumberFormat="1" applyFont="1" applyBorder="1" applyAlignment="1">
      <alignment horizontal="center" vertical="center" wrapText="1"/>
    </xf>
    <xf numFmtId="4" fontId="23" fillId="0" borderId="32" xfId="0" applyNumberFormat="1" applyFont="1" applyBorder="1" applyAlignment="1">
      <alignment horizontal="right" vertical="center" wrapText="1"/>
    </xf>
    <xf numFmtId="43" fontId="28" fillId="0" borderId="32" xfId="1" applyFont="1" applyBorder="1" applyAlignment="1">
      <alignment horizontal="right" vertical="center" wrapText="1"/>
    </xf>
    <xf numFmtId="1" fontId="22" fillId="0" borderId="31" xfId="0" applyNumberFormat="1" applyFont="1" applyBorder="1" applyAlignment="1">
      <alignment horizontal="center" vertical="center" wrapText="1"/>
    </xf>
    <xf numFmtId="0" fontId="22" fillId="0" borderId="31" xfId="0" applyFont="1" applyBorder="1" applyAlignment="1">
      <alignment horizontal="center" vertical="center" textRotation="180" wrapText="1"/>
    </xf>
    <xf numFmtId="49" fontId="22" fillId="0" borderId="31" xfId="0" applyNumberFormat="1" applyFont="1" applyBorder="1" applyAlignment="1">
      <alignment horizontal="center" vertical="center" textRotation="180" wrapText="1"/>
    </xf>
    <xf numFmtId="169" fontId="22" fillId="0" borderId="31" xfId="0" applyNumberFormat="1" applyFont="1" applyBorder="1" applyAlignment="1">
      <alignment horizontal="center" vertical="center" wrapText="1"/>
    </xf>
    <xf numFmtId="3" fontId="22" fillId="0" borderId="33" xfId="0" applyNumberFormat="1" applyFont="1" applyBorder="1" applyAlignment="1">
      <alignment horizontal="left" vertical="center" wrapText="1"/>
    </xf>
    <xf numFmtId="43" fontId="24" fillId="6" borderId="0" xfId="1" applyFont="1" applyFill="1" applyAlignment="1">
      <alignment horizontal="center" vertical="center"/>
    </xf>
    <xf numFmtId="0" fontId="54" fillId="0" borderId="0" xfId="0" applyFont="1"/>
    <xf numFmtId="43" fontId="29" fillId="0" borderId="0" xfId="1" applyFont="1"/>
    <xf numFmtId="0" fontId="0" fillId="0" borderId="0" xfId="0" applyAlignment="1">
      <alignment horizontal="justify"/>
    </xf>
    <xf numFmtId="43" fontId="8" fillId="0" borderId="0" xfId="1" applyFont="1" applyAlignment="1">
      <alignment horizontal="right"/>
    </xf>
    <xf numFmtId="0" fontId="19" fillId="0" borderId="3" xfId="0" applyFont="1" applyBorder="1"/>
    <xf numFmtId="168" fontId="19" fillId="0" borderId="6" xfId="0" applyNumberFormat="1" applyFont="1" applyBorder="1" applyAlignment="1">
      <alignment horizontal="left"/>
    </xf>
    <xf numFmtId="17" fontId="19" fillId="0" borderId="6" xfId="0" applyNumberFormat="1" applyFont="1" applyBorder="1" applyAlignment="1">
      <alignment horizontal="left"/>
    </xf>
    <xf numFmtId="3" fontId="19" fillId="2" borderId="6" xfId="0" applyNumberFormat="1" applyFont="1" applyFill="1" applyBorder="1" applyAlignment="1">
      <alignment horizontal="left" vertical="center" wrapText="1"/>
    </xf>
    <xf numFmtId="0" fontId="4" fillId="0" borderId="0" xfId="0" applyFont="1" applyBorder="1" applyAlignment="1">
      <alignment wrapText="1"/>
    </xf>
    <xf numFmtId="4" fontId="4" fillId="0" borderId="0" xfId="0" applyNumberFormat="1" applyFont="1" applyAlignment="1">
      <alignment horizontal="center" vertical="center"/>
    </xf>
    <xf numFmtId="0" fontId="4" fillId="0" borderId="16" xfId="0" applyFont="1" applyBorder="1" applyAlignment="1">
      <alignment vertical="center"/>
    </xf>
    <xf numFmtId="0" fontId="4" fillId="13" borderId="16" xfId="0" applyFont="1" applyFill="1" applyBorder="1" applyAlignment="1">
      <alignment horizontal="justify" vertical="center"/>
    </xf>
    <xf numFmtId="0" fontId="4" fillId="14" borderId="13" xfId="0" applyFont="1" applyFill="1" applyBorder="1" applyAlignment="1">
      <alignment horizontal="justify" vertical="center"/>
    </xf>
    <xf numFmtId="0" fontId="4" fillId="15" borderId="16" xfId="0" applyFont="1" applyFill="1" applyBorder="1" applyAlignment="1">
      <alignment horizontal="justify" vertical="center"/>
    </xf>
    <xf numFmtId="0" fontId="6" fillId="14" borderId="58" xfId="0" applyFont="1" applyFill="1" applyBorder="1" applyAlignment="1">
      <alignment horizontal="center" vertical="center"/>
    </xf>
    <xf numFmtId="0" fontId="4" fillId="14" borderId="84" xfId="0" applyFont="1" applyFill="1" applyBorder="1" applyAlignment="1">
      <alignment horizontal="justify" vertical="center" wrapText="1"/>
    </xf>
    <xf numFmtId="0" fontId="6" fillId="15" borderId="58" xfId="0" applyFont="1" applyFill="1" applyBorder="1" applyAlignment="1">
      <alignment horizontal="center" vertical="center"/>
    </xf>
    <xf numFmtId="0" fontId="4" fillId="15" borderId="84" xfId="0" applyFont="1" applyFill="1" applyBorder="1" applyAlignment="1">
      <alignment horizontal="justify" vertical="center" wrapText="1"/>
    </xf>
    <xf numFmtId="0" fontId="4" fillId="6" borderId="59" xfId="0" applyFont="1" applyFill="1" applyBorder="1" applyAlignment="1">
      <alignment horizontal="center" vertical="center" wrapText="1"/>
    </xf>
    <xf numFmtId="1" fontId="8" fillId="6" borderId="67" xfId="0" applyNumberFormat="1" applyFont="1" applyFill="1" applyBorder="1" applyAlignment="1">
      <alignment horizontal="center" vertical="center" wrapText="1"/>
    </xf>
    <xf numFmtId="0" fontId="4" fillId="6" borderId="66" xfId="0" applyFont="1" applyFill="1" applyBorder="1" applyAlignment="1">
      <alignment horizontal="center" vertical="center" wrapText="1"/>
    </xf>
    <xf numFmtId="0" fontId="7" fillId="6" borderId="15" xfId="0" applyFont="1" applyFill="1" applyBorder="1" applyAlignment="1">
      <alignment horizontal="justify" vertical="center"/>
    </xf>
    <xf numFmtId="170" fontId="4" fillId="6" borderId="17" xfId="0" applyNumberFormat="1" applyFont="1" applyFill="1" applyBorder="1" applyAlignment="1">
      <alignment horizontal="center" vertical="center"/>
    </xf>
    <xf numFmtId="4" fontId="6" fillId="0" borderId="85" xfId="0" applyNumberFormat="1" applyFont="1" applyBorder="1" applyAlignment="1">
      <alignment horizontal="center" vertical="center"/>
    </xf>
    <xf numFmtId="0" fontId="4" fillId="6" borderId="38" xfId="0" applyFont="1" applyFill="1" applyBorder="1" applyAlignment="1">
      <alignment horizontal="justify" vertical="center"/>
    </xf>
    <xf numFmtId="0" fontId="4" fillId="6" borderId="15" xfId="0" applyFont="1" applyFill="1" applyBorder="1" applyAlignment="1">
      <alignment horizontal="justify" vertical="center"/>
    </xf>
    <xf numFmtId="1" fontId="4" fillId="6" borderId="15" xfId="0" applyNumberFormat="1" applyFont="1" applyFill="1" applyBorder="1" applyAlignment="1">
      <alignment horizontal="center" vertical="center"/>
    </xf>
    <xf numFmtId="0" fontId="4" fillId="6" borderId="15" xfId="0" applyFont="1" applyFill="1" applyBorder="1" applyAlignment="1">
      <alignment horizontal="center" vertical="center"/>
    </xf>
    <xf numFmtId="0" fontId="4" fillId="0" borderId="15" xfId="0" applyFont="1" applyBorder="1"/>
    <xf numFmtId="14" fontId="4" fillId="0" borderId="15" xfId="0" applyNumberFormat="1" applyFont="1" applyBorder="1" applyAlignment="1">
      <alignment horizontal="right" vertical="center"/>
    </xf>
    <xf numFmtId="0" fontId="4" fillId="0" borderId="16" xfId="0" applyFont="1" applyBorder="1" applyAlignment="1">
      <alignment horizontal="justify" vertical="center"/>
    </xf>
    <xf numFmtId="43" fontId="22" fillId="15" borderId="6" xfId="1" applyFont="1" applyFill="1" applyBorder="1" applyAlignment="1">
      <alignment vertical="center" wrapText="1"/>
    </xf>
    <xf numFmtId="43" fontId="22" fillId="15" borderId="0" xfId="1" applyFont="1" applyFill="1" applyAlignment="1">
      <alignment vertical="center"/>
    </xf>
    <xf numFmtId="43" fontId="22" fillId="13" borderId="11" xfId="1" applyFont="1" applyFill="1" applyBorder="1" applyAlignment="1">
      <alignment vertical="center"/>
    </xf>
    <xf numFmtId="43" fontId="22" fillId="14" borderId="15" xfId="1" applyFont="1" applyFill="1" applyBorder="1" applyAlignment="1">
      <alignment vertical="center"/>
    </xf>
    <xf numFmtId="43" fontId="22" fillId="15" borderId="15" xfId="1" applyFont="1" applyFill="1" applyBorder="1" applyAlignment="1">
      <alignment vertical="center"/>
    </xf>
    <xf numFmtId="43" fontId="23" fillId="15" borderId="0" xfId="1" applyFont="1" applyFill="1" applyBorder="1" applyAlignment="1">
      <alignment vertical="center"/>
    </xf>
    <xf numFmtId="43" fontId="22" fillId="13" borderId="9" xfId="1" applyFont="1" applyFill="1" applyBorder="1" applyAlignment="1">
      <alignment vertical="center"/>
    </xf>
    <xf numFmtId="43" fontId="22" fillId="23" borderId="15" xfId="1" applyFont="1" applyFill="1" applyBorder="1" applyAlignment="1">
      <alignment vertical="center"/>
    </xf>
    <xf numFmtId="43" fontId="23" fillId="6" borderId="6" xfId="1" applyFont="1" applyFill="1" applyBorder="1" applyAlignment="1">
      <alignment horizontal="center" vertical="center"/>
    </xf>
    <xf numFmtId="0" fontId="22" fillId="0" borderId="14" xfId="0" applyFont="1" applyBorder="1" applyAlignment="1">
      <alignment horizontal="justify" vertical="center" wrapText="1"/>
    </xf>
    <xf numFmtId="0" fontId="22" fillId="15" borderId="14" xfId="0" applyFont="1" applyFill="1" applyBorder="1" applyAlignment="1">
      <alignment horizontal="justify" vertical="center" wrapText="1"/>
    </xf>
    <xf numFmtId="0" fontId="30" fillId="0" borderId="14" xfId="0" applyFont="1" applyBorder="1" applyAlignment="1">
      <alignment horizontal="left" vertical="center" wrapText="1" readingOrder="2"/>
    </xf>
    <xf numFmtId="0" fontId="30" fillId="6" borderId="14" xfId="0" applyFont="1" applyFill="1" applyBorder="1" applyAlignment="1">
      <alignment horizontal="justify" vertical="center" wrapText="1"/>
    </xf>
    <xf numFmtId="0" fontId="30" fillId="6" borderId="21" xfId="0" applyFont="1" applyFill="1" applyBorder="1" applyAlignment="1">
      <alignment horizontal="justify" vertical="center" wrapText="1"/>
    </xf>
    <xf numFmtId="0" fontId="22" fillId="6" borderId="19" xfId="0" applyFont="1" applyFill="1" applyBorder="1" applyAlignment="1">
      <alignment horizontal="justify" vertical="center" wrapText="1"/>
    </xf>
    <xf numFmtId="0" fontId="24" fillId="0" borderId="14" xfId="0" applyFont="1" applyBorder="1" applyAlignment="1">
      <alignment horizontal="justify" vertical="center" wrapText="1"/>
    </xf>
    <xf numFmtId="0" fontId="22" fillId="0" borderId="58" xfId="0" applyFont="1" applyBorder="1" applyAlignment="1">
      <alignment vertical="center" wrapText="1"/>
    </xf>
    <xf numFmtId="0" fontId="22" fillId="6" borderId="14" xfId="0" applyFont="1" applyFill="1" applyBorder="1" applyAlignment="1">
      <alignment horizontal="justify" vertical="center"/>
    </xf>
    <xf numFmtId="0" fontId="23" fillId="6" borderId="14" xfId="0" applyFont="1" applyFill="1" applyBorder="1" applyAlignment="1">
      <alignment horizontal="justify" vertical="center"/>
    </xf>
    <xf numFmtId="1" fontId="22" fillId="6" borderId="25" xfId="0" applyNumberFormat="1" applyFont="1" applyFill="1" applyBorder="1" applyAlignment="1">
      <alignment horizontal="center" vertical="center" wrapText="1"/>
    </xf>
    <xf numFmtId="1" fontId="22" fillId="15" borderId="16" xfId="0" applyNumberFormat="1" applyFont="1" applyFill="1" applyBorder="1" applyAlignment="1">
      <alignment horizontal="center" vertical="center" wrapText="1"/>
    </xf>
    <xf numFmtId="1" fontId="22" fillId="0" borderId="16" xfId="0" applyNumberFormat="1" applyFont="1" applyBorder="1" applyAlignment="1">
      <alignment horizontal="center" vertical="center"/>
    </xf>
    <xf numFmtId="1" fontId="22" fillId="6" borderId="13" xfId="0" applyNumberFormat="1" applyFont="1" applyFill="1" applyBorder="1" applyAlignment="1">
      <alignment horizontal="center" vertical="center"/>
    </xf>
    <xf numFmtId="1" fontId="22" fillId="0" borderId="52" xfId="0" applyNumberFormat="1" applyFont="1" applyFill="1" applyBorder="1" applyAlignment="1">
      <alignment horizontal="center" vertical="center"/>
    </xf>
    <xf numFmtId="1" fontId="23" fillId="6" borderId="16" xfId="0" applyNumberFormat="1" applyFont="1" applyFill="1" applyBorder="1" applyAlignment="1">
      <alignment horizontal="center" vertical="center"/>
    </xf>
    <xf numFmtId="43" fontId="22" fillId="6" borderId="6" xfId="1" applyFont="1" applyFill="1" applyBorder="1" applyAlignment="1">
      <alignment horizontal="right" vertical="center" wrapText="1"/>
    </xf>
    <xf numFmtId="43" fontId="22" fillId="15" borderId="6" xfId="1" applyFont="1" applyFill="1" applyBorder="1" applyAlignment="1">
      <alignment horizontal="center" vertical="center" wrapText="1"/>
    </xf>
    <xf numFmtId="43" fontId="22" fillId="6" borderId="6" xfId="1" applyFont="1" applyFill="1" applyBorder="1" applyAlignment="1">
      <alignment horizontal="right" vertical="center"/>
    </xf>
    <xf numFmtId="43" fontId="22" fillId="15" borderId="6" xfId="1" applyFont="1" applyFill="1" applyBorder="1" applyAlignment="1">
      <alignment horizontal="center" vertical="center"/>
    </xf>
    <xf numFmtId="43" fontId="22" fillId="0" borderId="6" xfId="1" applyFont="1" applyFill="1" applyBorder="1" applyAlignment="1">
      <alignment horizontal="right" vertical="center"/>
    </xf>
    <xf numFmtId="43" fontId="22" fillId="0" borderId="6" xfId="1" applyFont="1" applyFill="1" applyBorder="1" applyAlignment="1">
      <alignment vertical="center"/>
    </xf>
    <xf numFmtId="43" fontId="22" fillId="6" borderId="6" xfId="1" applyFont="1" applyFill="1" applyBorder="1" applyAlignment="1">
      <alignment vertical="center"/>
    </xf>
    <xf numFmtId="43" fontId="22" fillId="13" borderId="6" xfId="1" applyFont="1" applyFill="1" applyBorder="1" applyAlignment="1">
      <alignment horizontal="center" vertical="center"/>
    </xf>
    <xf numFmtId="43" fontId="22" fillId="14" borderId="6" xfId="1" applyFont="1" applyFill="1" applyBorder="1" applyAlignment="1">
      <alignment horizontal="center" vertical="center"/>
    </xf>
    <xf numFmtId="43" fontId="22" fillId="0" borderId="6" xfId="1" applyFont="1" applyBorder="1" applyAlignment="1">
      <alignment horizontal="right" vertical="center"/>
    </xf>
    <xf numFmtId="43" fontId="22" fillId="0" borderId="6" xfId="1" applyFont="1" applyBorder="1" applyAlignment="1">
      <alignment vertical="center"/>
    </xf>
    <xf numFmtId="43" fontId="23" fillId="15" borderId="6" xfId="1" applyFont="1" applyFill="1" applyBorder="1" applyAlignment="1">
      <alignment vertical="center"/>
    </xf>
    <xf numFmtId="43" fontId="22" fillId="23" borderId="6" xfId="1" applyFont="1" applyFill="1" applyBorder="1" applyAlignment="1">
      <alignment horizontal="center" vertical="center"/>
    </xf>
    <xf numFmtId="174" fontId="6" fillId="0" borderId="32" xfId="4" applyNumberFormat="1" applyFont="1" applyBorder="1"/>
    <xf numFmtId="43" fontId="22" fillId="6" borderId="20" xfId="1" applyFont="1" applyFill="1" applyBorder="1" applyAlignment="1">
      <alignment horizontal="center" vertical="center" wrapText="1"/>
    </xf>
    <xf numFmtId="43" fontId="22" fillId="6" borderId="6" xfId="1" applyFont="1" applyFill="1" applyBorder="1" applyAlignment="1">
      <alignment horizontal="center" vertical="center" wrapText="1"/>
    </xf>
    <xf numFmtId="9" fontId="6" fillId="13" borderId="11" xfId="39" applyFont="1" applyFill="1" applyBorder="1" applyAlignment="1">
      <alignment horizontal="center" vertical="center"/>
    </xf>
    <xf numFmtId="9" fontId="6" fillId="14" borderId="11" xfId="39" applyFont="1" applyFill="1" applyBorder="1" applyAlignment="1">
      <alignment horizontal="center" vertical="center"/>
    </xf>
    <xf numFmtId="9" fontId="6" fillId="15" borderId="6" xfId="39" applyFont="1" applyFill="1" applyBorder="1" applyAlignment="1">
      <alignment horizontal="center" vertical="center"/>
    </xf>
    <xf numFmtId="9" fontId="4" fillId="6" borderId="6" xfId="39" applyFont="1" applyFill="1" applyBorder="1" applyAlignment="1">
      <alignment horizontal="center" vertical="center" wrapText="1"/>
    </xf>
    <xf numFmtId="9" fontId="6" fillId="14" borderId="6" xfId="39" applyFont="1" applyFill="1" applyBorder="1" applyAlignment="1">
      <alignment horizontal="center" vertical="center"/>
    </xf>
    <xf numFmtId="174" fontId="6" fillId="15" borderId="6" xfId="0" applyNumberFormat="1" applyFont="1" applyFill="1" applyBorder="1" applyAlignment="1">
      <alignment horizontal="center" vertical="center" wrapText="1"/>
    </xf>
    <xf numFmtId="174" fontId="8" fillId="0" borderId="14" xfId="4" applyNumberFormat="1" applyFont="1" applyFill="1" applyBorder="1" applyAlignment="1">
      <alignment horizontal="center" vertical="center"/>
    </xf>
    <xf numFmtId="174" fontId="8" fillId="0" borderId="19" xfId="4" applyNumberFormat="1" applyFont="1" applyFill="1" applyBorder="1" applyAlignment="1">
      <alignment horizontal="center" vertical="center"/>
    </xf>
    <xf numFmtId="1" fontId="4" fillId="6" borderId="54" xfId="0" applyNumberFormat="1" applyFont="1" applyFill="1" applyBorder="1" applyAlignment="1">
      <alignment horizontal="center" vertical="center" wrapText="1"/>
    </xf>
    <xf numFmtId="174" fontId="8" fillId="0" borderId="58" xfId="4" applyNumberFormat="1" applyFont="1" applyFill="1" applyBorder="1" applyAlignment="1">
      <alignment horizontal="center" vertical="center"/>
    </xf>
    <xf numFmtId="43" fontId="4" fillId="0" borderId="58" xfId="1" applyFont="1" applyFill="1" applyBorder="1" applyAlignment="1">
      <alignment vertical="center"/>
    </xf>
    <xf numFmtId="174" fontId="8" fillId="0" borderId="68" xfId="4" applyNumberFormat="1" applyFont="1" applyFill="1" applyBorder="1" applyAlignment="1">
      <alignment horizontal="center" vertical="center"/>
    </xf>
    <xf numFmtId="41" fontId="4" fillId="0" borderId="59" xfId="0" applyNumberFormat="1" applyFont="1" applyFill="1" applyBorder="1" applyAlignment="1">
      <alignment vertical="center"/>
    </xf>
    <xf numFmtId="1" fontId="4" fillId="6" borderId="55" xfId="0" applyNumberFormat="1" applyFont="1" applyFill="1" applyBorder="1" applyAlignment="1">
      <alignment horizontal="center" vertical="center" wrapText="1"/>
    </xf>
    <xf numFmtId="0" fontId="4" fillId="6" borderId="55" xfId="0" applyFont="1" applyFill="1" applyBorder="1" applyAlignment="1">
      <alignment vertical="center" wrapText="1"/>
    </xf>
    <xf numFmtId="0" fontId="6" fillId="0" borderId="33" xfId="0" applyFont="1" applyBorder="1" applyAlignment="1">
      <alignment horizontal="justify" vertical="center"/>
    </xf>
    <xf numFmtId="174" fontId="4" fillId="0" borderId="22" xfId="4" applyNumberFormat="1" applyFont="1" applyFill="1" applyBorder="1" applyAlignment="1">
      <alignment horizontal="center" vertical="center"/>
    </xf>
    <xf numFmtId="43" fontId="4" fillId="0" borderId="54" xfId="4" applyFont="1" applyFill="1" applyBorder="1" applyAlignment="1">
      <alignment horizontal="center" vertical="center"/>
    </xf>
    <xf numFmtId="174" fontId="4" fillId="0" borderId="53" xfId="4" applyNumberFormat="1" applyFont="1" applyBorder="1" applyAlignment="1">
      <alignment horizontal="center" vertical="center"/>
    </xf>
    <xf numFmtId="0" fontId="4" fillId="6" borderId="0" xfId="0" applyFont="1" applyFill="1" applyBorder="1" applyAlignment="1">
      <alignment horizontal="center" vertical="center" wrapText="1"/>
    </xf>
    <xf numFmtId="0" fontId="4" fillId="6" borderId="13" xfId="0" applyFont="1" applyFill="1" applyBorder="1" applyAlignment="1">
      <alignment horizontal="justify"/>
    </xf>
    <xf numFmtId="0" fontId="22" fillId="6" borderId="27" xfId="25" applyFont="1" applyFill="1" applyBorder="1" applyAlignment="1">
      <alignment horizontal="justify" vertical="center" wrapText="1"/>
    </xf>
    <xf numFmtId="9" fontId="22" fillId="6" borderId="20" xfId="3" applyFont="1" applyFill="1" applyBorder="1" applyAlignment="1">
      <alignment horizontal="center" vertical="center" wrapText="1"/>
    </xf>
    <xf numFmtId="9" fontId="22" fillId="6" borderId="27" xfId="3" applyFont="1" applyFill="1" applyBorder="1" applyAlignment="1">
      <alignment horizontal="center" vertical="center" wrapText="1"/>
    </xf>
    <xf numFmtId="9" fontId="22" fillId="6" borderId="6" xfId="3" applyFont="1" applyFill="1" applyBorder="1" applyAlignment="1">
      <alignment horizontal="center" vertical="center" wrapText="1"/>
    </xf>
    <xf numFmtId="0" fontId="22" fillId="6" borderId="6" xfId="25" applyFont="1" applyFill="1" applyBorder="1" applyAlignment="1">
      <alignment horizontal="left" vertical="center" wrapText="1"/>
    </xf>
    <xf numFmtId="0" fontId="22" fillId="0" borderId="20" xfId="25" applyFont="1" applyBorder="1" applyAlignment="1">
      <alignment horizontal="center" vertical="center" wrapText="1"/>
    </xf>
    <xf numFmtId="0" fontId="22" fillId="0" borderId="22" xfId="25" applyFont="1" applyBorder="1" applyAlignment="1">
      <alignment horizontal="center" vertical="center" wrapText="1"/>
    </xf>
    <xf numFmtId="0" fontId="22" fillId="0" borderId="27" xfId="25" applyFont="1" applyBorder="1" applyAlignment="1">
      <alignment horizontal="center" vertical="center" wrapText="1"/>
    </xf>
    <xf numFmtId="0" fontId="22" fillId="6" borderId="21" xfId="25" applyFont="1" applyFill="1" applyBorder="1" applyAlignment="1">
      <alignment horizontal="justify" vertical="center" wrapText="1"/>
    </xf>
    <xf numFmtId="0" fontId="22" fillId="6" borderId="20" xfId="25" applyFont="1" applyFill="1" applyBorder="1" applyAlignment="1">
      <alignment horizontal="center" vertical="center" wrapText="1"/>
    </xf>
    <xf numFmtId="0" fontId="22" fillId="6" borderId="22" xfId="25" applyFont="1" applyFill="1" applyBorder="1" applyAlignment="1">
      <alignment horizontal="center" vertical="center" wrapText="1"/>
    </xf>
    <xf numFmtId="0" fontId="22" fillId="0" borderId="22" xfId="25" applyFont="1" applyBorder="1" applyAlignment="1">
      <alignment horizontal="left" vertical="center" wrapText="1"/>
    </xf>
    <xf numFmtId="0" fontId="22" fillId="0" borderId="20" xfId="25" applyFont="1" applyBorder="1" applyAlignment="1">
      <alignment horizontal="justify" vertical="center" wrapText="1"/>
    </xf>
    <xf numFmtId="0" fontId="22" fillId="6" borderId="6" xfId="25" applyFont="1" applyFill="1" applyBorder="1" applyAlignment="1">
      <alignment horizontal="center" vertical="center" wrapText="1"/>
    </xf>
    <xf numFmtId="0" fontId="22" fillId="6" borderId="27" xfId="25" applyFont="1" applyFill="1" applyBorder="1" applyAlignment="1">
      <alignment horizontal="center" vertical="center" wrapText="1"/>
    </xf>
    <xf numFmtId="0" fontId="22" fillId="6" borderId="12" xfId="25" applyFont="1" applyFill="1" applyBorder="1" applyAlignment="1">
      <alignment horizontal="center" vertical="center" wrapText="1"/>
    </xf>
    <xf numFmtId="0" fontId="22" fillId="6" borderId="25" xfId="25" applyFont="1" applyFill="1" applyBorder="1" applyAlignment="1">
      <alignment horizontal="center" vertical="center" wrapText="1"/>
    </xf>
    <xf numFmtId="0" fontId="22" fillId="0" borderId="6" xfId="25" applyFont="1" applyBorder="1" applyAlignment="1">
      <alignment horizontal="center" vertical="center" wrapText="1"/>
    </xf>
    <xf numFmtId="0" fontId="22" fillId="6" borderId="11" xfId="25" applyFont="1" applyFill="1" applyBorder="1" applyAlignment="1">
      <alignment horizontal="center" vertical="center" wrapText="1"/>
    </xf>
    <xf numFmtId="0" fontId="22" fillId="6" borderId="9" xfId="25" applyFont="1" applyFill="1" applyBorder="1" applyAlignment="1">
      <alignment horizontal="center" vertical="center" wrapText="1"/>
    </xf>
    <xf numFmtId="1" fontId="24" fillId="0" borderId="51" xfId="25" applyNumberFormat="1" applyFont="1" applyFill="1" applyBorder="1" applyAlignment="1">
      <alignment horizontal="center" vertical="center" wrapText="1"/>
    </xf>
    <xf numFmtId="0" fontId="22" fillId="6" borderId="0" xfId="25" applyFont="1" applyFill="1" applyAlignment="1">
      <alignment horizontal="center"/>
    </xf>
    <xf numFmtId="0" fontId="22" fillId="0" borderId="20" xfId="25" applyFont="1" applyBorder="1" applyAlignment="1">
      <alignment horizontal="center" vertical="center"/>
    </xf>
    <xf numFmtId="0" fontId="22" fillId="0" borderId="51" xfId="25" applyFont="1" applyBorder="1" applyAlignment="1">
      <alignment horizontal="center" vertical="center" wrapText="1"/>
    </xf>
    <xf numFmtId="0" fontId="22" fillId="0" borderId="51" xfId="25" applyFont="1" applyBorder="1" applyAlignment="1">
      <alignment horizontal="justify" vertical="center" wrapText="1"/>
    </xf>
    <xf numFmtId="0" fontId="22" fillId="0" borderId="19" xfId="25" applyFont="1" applyBorder="1" applyAlignment="1">
      <alignment horizontal="center" vertical="center" wrapText="1"/>
    </xf>
    <xf numFmtId="43" fontId="23" fillId="14" borderId="15" xfId="1" applyFont="1" applyFill="1" applyBorder="1" applyAlignment="1">
      <alignment horizontal="left" vertical="center"/>
    </xf>
    <xf numFmtId="43" fontId="28" fillId="15" borderId="15" xfId="1" applyFont="1" applyFill="1" applyBorder="1" applyAlignment="1">
      <alignment horizontal="left" vertical="center"/>
    </xf>
    <xf numFmtId="43" fontId="22" fillId="0" borderId="51" xfId="1" applyFont="1" applyFill="1" applyBorder="1" applyAlignment="1">
      <alignment horizontal="center" vertical="center" wrapText="1"/>
    </xf>
    <xf numFmtId="43" fontId="22" fillId="6" borderId="51" xfId="1" applyFont="1" applyFill="1" applyBorder="1" applyAlignment="1">
      <alignment horizontal="center" vertical="center" wrapText="1"/>
    </xf>
    <xf numFmtId="43" fontId="28" fillId="15" borderId="51" xfId="1" applyFont="1" applyFill="1" applyBorder="1" applyAlignment="1">
      <alignment horizontal="left" vertical="center"/>
    </xf>
    <xf numFmtId="43" fontId="23" fillId="14" borderId="51" xfId="1" applyFont="1" applyFill="1" applyBorder="1" applyAlignment="1">
      <alignment vertical="center"/>
    </xf>
    <xf numFmtId="43" fontId="27" fillId="15" borderId="51" xfId="1" applyFont="1" applyFill="1" applyBorder="1" applyAlignment="1">
      <alignment horizontal="left" vertical="center"/>
    </xf>
    <xf numFmtId="43" fontId="24" fillId="6" borderId="51" xfId="1" applyFont="1" applyFill="1" applyBorder="1" applyAlignment="1">
      <alignment horizontal="center" vertical="center" wrapText="1"/>
    </xf>
    <xf numFmtId="43" fontId="27" fillId="15" borderId="51" xfId="1" applyFont="1" applyFill="1" applyBorder="1" applyAlignment="1">
      <alignment vertical="center"/>
    </xf>
    <xf numFmtId="43" fontId="22" fillId="6" borderId="51" xfId="1" applyFont="1" applyFill="1" applyBorder="1" applyAlignment="1">
      <alignment horizontal="center" vertical="center" wrapText="1" readingOrder="1"/>
    </xf>
    <xf numFmtId="43" fontId="22" fillId="6" borderId="6" xfId="1" applyFont="1" applyFill="1" applyBorder="1" applyAlignment="1">
      <alignment horizontal="center" vertical="center" wrapText="1" readingOrder="1"/>
    </xf>
    <xf numFmtId="43" fontId="27" fillId="15" borderId="15" xfId="1" applyFont="1" applyFill="1" applyBorder="1" applyAlignment="1">
      <alignment horizontal="left" vertical="center"/>
    </xf>
    <xf numFmtId="43" fontId="22" fillId="0" borderId="6" xfId="1" applyFont="1" applyFill="1" applyBorder="1" applyAlignment="1">
      <alignment horizontal="center" vertical="center" wrapText="1"/>
    </xf>
    <xf numFmtId="43" fontId="23" fillId="14" borderId="15" xfId="1" applyFont="1" applyFill="1" applyBorder="1" applyAlignment="1">
      <alignment vertical="center"/>
    </xf>
    <xf numFmtId="43" fontId="27" fillId="15" borderId="15" xfId="1" applyFont="1" applyFill="1" applyBorder="1" applyAlignment="1">
      <alignment vertical="center"/>
    </xf>
    <xf numFmtId="43" fontId="24" fillId="0" borderId="14" xfId="1" applyFont="1" applyFill="1" applyBorder="1" applyAlignment="1">
      <alignment horizontal="center" vertical="center" wrapText="1"/>
    </xf>
    <xf numFmtId="43" fontId="24" fillId="0" borderId="19" xfId="1" applyFont="1" applyFill="1" applyBorder="1" applyAlignment="1">
      <alignment horizontal="center" vertical="center" wrapText="1"/>
    </xf>
    <xf numFmtId="43" fontId="24" fillId="0" borderId="58" xfId="1" applyFont="1" applyFill="1" applyBorder="1" applyAlignment="1">
      <alignment horizontal="center" vertical="center" wrapText="1"/>
    </xf>
    <xf numFmtId="43" fontId="4" fillId="0" borderId="51" xfId="1" applyFont="1" applyFill="1" applyBorder="1" applyAlignment="1">
      <alignment horizontal="right" vertical="center" wrapText="1"/>
    </xf>
    <xf numFmtId="43" fontId="22" fillId="0" borderId="51" xfId="1" applyFont="1" applyFill="1" applyBorder="1" applyAlignment="1">
      <alignment horizontal="right" vertical="center"/>
    </xf>
    <xf numFmtId="43" fontId="23" fillId="0" borderId="27" xfId="1" applyFont="1" applyBorder="1" applyAlignment="1">
      <alignment horizontal="center" vertical="center" wrapText="1"/>
    </xf>
    <xf numFmtId="43" fontId="23" fillId="13" borderId="9" xfId="1" applyFont="1" applyFill="1" applyBorder="1" applyAlignment="1">
      <alignment horizontal="left" vertical="center" wrapText="1"/>
    </xf>
    <xf numFmtId="43" fontId="23" fillId="14" borderId="0" xfId="1" applyFont="1" applyFill="1" applyAlignment="1">
      <alignment vertical="center"/>
    </xf>
    <xf numFmtId="43" fontId="23" fillId="0" borderId="6" xfId="1" applyFont="1" applyBorder="1" applyAlignment="1">
      <alignment horizontal="center" vertical="center" wrapText="1"/>
    </xf>
    <xf numFmtId="43" fontId="23" fillId="0" borderId="0" xfId="1" applyFont="1" applyAlignment="1">
      <alignment wrapText="1"/>
    </xf>
    <xf numFmtId="43" fontId="22" fillId="0" borderId="0" xfId="1" applyFont="1" applyAlignment="1">
      <alignment wrapText="1"/>
    </xf>
    <xf numFmtId="43" fontId="22" fillId="0" borderId="0" xfId="1" applyFont="1"/>
    <xf numFmtId="0" fontId="33" fillId="0" borderId="51" xfId="0" applyFont="1" applyFill="1" applyBorder="1" applyAlignment="1">
      <alignment horizontal="justify" vertical="center" wrapText="1"/>
    </xf>
    <xf numFmtId="0" fontId="33" fillId="0" borderId="52" xfId="0" applyFont="1" applyFill="1" applyBorder="1" applyAlignment="1">
      <alignment horizontal="justify" vertical="center" wrapText="1"/>
    </xf>
    <xf numFmtId="0" fontId="33" fillId="0" borderId="54" xfId="0" applyFont="1" applyFill="1" applyBorder="1" applyAlignment="1">
      <alignment horizontal="justify" vertical="center" wrapText="1"/>
    </xf>
    <xf numFmtId="1" fontId="24" fillId="0" borderId="6" xfId="25" applyNumberFormat="1" applyFont="1" applyBorder="1" applyAlignment="1">
      <alignment horizontal="center" vertical="center" wrapText="1"/>
    </xf>
    <xf numFmtId="0" fontId="24" fillId="0" borderId="20" xfId="25" applyFont="1" applyBorder="1" applyAlignment="1">
      <alignment vertical="center" wrapText="1"/>
    </xf>
    <xf numFmtId="1" fontId="22" fillId="0" borderId="51" xfId="25" applyNumberFormat="1" applyFont="1" applyBorder="1" applyAlignment="1">
      <alignment horizontal="center" vertical="center" wrapText="1"/>
    </xf>
    <xf numFmtId="0" fontId="30" fillId="0" borderId="51" xfId="25" applyFont="1" applyBorder="1" applyAlignment="1">
      <alignment vertical="center" wrapText="1"/>
    </xf>
    <xf numFmtId="0" fontId="24" fillId="0" borderId="51" xfId="25" applyFont="1" applyBorder="1" applyAlignment="1">
      <alignment horizontal="center" vertical="center"/>
    </xf>
    <xf numFmtId="0" fontId="24" fillId="0" borderId="51" xfId="25" applyFont="1" applyBorder="1" applyAlignment="1">
      <alignment horizontal="center" vertical="center" wrapText="1"/>
    </xf>
    <xf numFmtId="1" fontId="24" fillId="0" borderId="51" xfId="25" applyNumberFormat="1" applyFont="1" applyBorder="1" applyAlignment="1">
      <alignment horizontal="center" vertical="center" wrapText="1"/>
    </xf>
    <xf numFmtId="41" fontId="24" fillId="0" borderId="51" xfId="25" applyNumberFormat="1" applyFont="1" applyBorder="1" applyAlignment="1">
      <alignment vertical="center"/>
    </xf>
    <xf numFmtId="4" fontId="30" fillId="0" borderId="51" xfId="0" applyNumberFormat="1" applyFont="1" applyBorder="1" applyAlignment="1">
      <alignment horizontal="center" vertical="center" wrapText="1"/>
    </xf>
    <xf numFmtId="1" fontId="22" fillId="0" borderId="6" xfId="25" applyNumberFormat="1" applyFont="1" applyBorder="1" applyAlignment="1">
      <alignment horizontal="center" vertical="center" wrapText="1"/>
    </xf>
    <xf numFmtId="49" fontId="22" fillId="0" borderId="14" xfId="26" applyNumberFormat="1" applyFont="1" applyBorder="1" applyAlignment="1">
      <alignment horizontal="justify" vertical="center" wrapText="1"/>
    </xf>
    <xf numFmtId="1" fontId="22" fillId="0" borderId="27" xfId="25" applyNumberFormat="1" applyFont="1" applyBorder="1" applyAlignment="1">
      <alignment horizontal="center" vertical="center" wrapText="1"/>
    </xf>
    <xf numFmtId="1" fontId="22" fillId="0" borderId="51" xfId="25" applyNumberFormat="1" applyFont="1" applyBorder="1" applyAlignment="1">
      <alignment horizontal="center" wrapText="1"/>
    </xf>
    <xf numFmtId="0" fontId="22" fillId="0" borderId="51" xfId="25" applyFont="1" applyBorder="1" applyAlignment="1">
      <alignment vertical="center" wrapText="1"/>
    </xf>
    <xf numFmtId="1" fontId="22" fillId="0" borderId="54" xfId="25" applyNumberFormat="1" applyFont="1" applyBorder="1" applyAlignment="1">
      <alignment horizontal="center" wrapText="1"/>
    </xf>
    <xf numFmtId="0" fontId="22" fillId="0" borderId="52" xfId="25" applyFont="1" applyBorder="1" applyAlignment="1">
      <alignment vertical="center" wrapText="1"/>
    </xf>
    <xf numFmtId="0" fontId="22" fillId="0" borderId="67" xfId="25" applyFont="1" applyBorder="1" applyAlignment="1">
      <alignment vertical="center" wrapText="1"/>
    </xf>
    <xf numFmtId="167" fontId="22" fillId="0" borderId="51" xfId="25" applyNumberFormat="1" applyFont="1" applyBorder="1" applyAlignment="1">
      <alignment vertical="center"/>
    </xf>
    <xf numFmtId="0" fontId="22" fillId="0" borderId="52" xfId="25" applyFont="1" applyBorder="1" applyAlignment="1">
      <alignment vertical="center"/>
    </xf>
    <xf numFmtId="0" fontId="22" fillId="0" borderId="60" xfId="25" applyFont="1" applyBorder="1" applyAlignment="1">
      <alignment vertical="center" wrapText="1"/>
    </xf>
    <xf numFmtId="1" fontId="22" fillId="0" borderId="61" xfId="25" applyNumberFormat="1" applyFont="1" applyBorder="1" applyAlignment="1">
      <alignment horizontal="center" wrapText="1"/>
    </xf>
    <xf numFmtId="1" fontId="22" fillId="0" borderId="77" xfId="25" applyNumberFormat="1" applyFont="1" applyBorder="1" applyAlignment="1">
      <alignment horizontal="center" wrapText="1"/>
    </xf>
    <xf numFmtId="1" fontId="22" fillId="0" borderId="65" xfId="25" applyNumberFormat="1" applyFont="1" applyBorder="1" applyAlignment="1">
      <alignment horizontal="center" wrapText="1"/>
    </xf>
    <xf numFmtId="0" fontId="22" fillId="0" borderId="54" xfId="25" applyFont="1" applyBorder="1" applyAlignment="1">
      <alignment vertical="center" wrapText="1"/>
    </xf>
    <xf numFmtId="1" fontId="22" fillId="0" borderId="13" xfId="25" applyNumberFormat="1" applyFont="1" applyBorder="1" applyAlignment="1">
      <alignment horizontal="center" vertical="center" wrapText="1"/>
    </xf>
    <xf numFmtId="1" fontId="22" fillId="0" borderId="16" xfId="25" applyNumberFormat="1" applyFont="1" applyBorder="1" applyAlignment="1">
      <alignment horizontal="center" vertical="center" wrapText="1"/>
    </xf>
    <xf numFmtId="1" fontId="22" fillId="0" borderId="6" xfId="25" quotePrefix="1" applyNumberFormat="1" applyFont="1" applyBorder="1" applyAlignment="1">
      <alignment vertical="center" wrapText="1"/>
    </xf>
    <xf numFmtId="0" fontId="22" fillId="0" borderId="6" xfId="25" applyFont="1" applyBorder="1" applyAlignment="1">
      <alignment vertical="center" wrapText="1"/>
    </xf>
    <xf numFmtId="1" fontId="22" fillId="0" borderId="20" xfId="25" quotePrefix="1" applyNumberFormat="1" applyFont="1" applyBorder="1" applyAlignment="1">
      <alignment horizontal="center" vertical="center" wrapText="1"/>
    </xf>
    <xf numFmtId="0" fontId="23" fillId="18" borderId="0" xfId="25" applyFont="1" applyFill="1" applyAlignment="1">
      <alignment horizontal="justify" vertical="center"/>
    </xf>
    <xf numFmtId="1" fontId="22" fillId="0" borderId="6" xfId="25" quotePrefix="1" applyNumberFormat="1" applyFont="1" applyBorder="1" applyAlignment="1">
      <alignment horizontal="center" vertical="center" wrapText="1"/>
    </xf>
    <xf numFmtId="1" fontId="22" fillId="0" borderId="20" xfId="25" quotePrefix="1" applyNumberFormat="1" applyFont="1" applyBorder="1" applyAlignment="1">
      <alignment vertical="center" wrapText="1"/>
    </xf>
    <xf numFmtId="190" fontId="33" fillId="0" borderId="51" xfId="0" applyNumberFormat="1" applyFont="1" applyBorder="1" applyAlignment="1">
      <alignment horizontal="right" vertical="center"/>
    </xf>
    <xf numFmtId="1" fontId="22" fillId="0" borderId="51" xfId="25" quotePrefix="1" applyNumberFormat="1" applyFont="1" applyBorder="1" applyAlignment="1">
      <alignment horizontal="center" vertical="center" wrapText="1"/>
    </xf>
    <xf numFmtId="4" fontId="24" fillId="0" borderId="6" xfId="0" applyNumberFormat="1" applyFont="1" applyBorder="1" applyAlignment="1">
      <alignment vertical="center"/>
    </xf>
    <xf numFmtId="4" fontId="24" fillId="0" borderId="27" xfId="0" applyNumberFormat="1" applyFont="1" applyBorder="1" applyAlignment="1">
      <alignment vertical="center"/>
    </xf>
    <xf numFmtId="4" fontId="22" fillId="0" borderId="51" xfId="25" applyNumberFormat="1" applyFont="1" applyBorder="1" applyAlignment="1">
      <alignment horizontal="right"/>
    </xf>
    <xf numFmtId="0" fontId="22" fillId="0" borderId="51" xfId="25" applyFont="1" applyBorder="1" applyAlignment="1">
      <alignment horizontal="center"/>
    </xf>
    <xf numFmtId="1" fontId="22" fillId="0" borderId="27" xfId="25" quotePrefix="1" applyNumberFormat="1" applyFont="1" applyBorder="1" applyAlignment="1">
      <alignment vertical="center" wrapText="1"/>
    </xf>
    <xf numFmtId="0" fontId="22" fillId="0" borderId="27" xfId="25" applyFont="1" applyBorder="1" applyAlignment="1">
      <alignment vertical="center" wrapText="1"/>
    </xf>
    <xf numFmtId="1" fontId="22" fillId="0" borderId="14" xfId="25" applyNumberFormat="1" applyFont="1" applyBorder="1" applyAlignment="1">
      <alignment horizontal="center" vertical="center" wrapText="1"/>
    </xf>
    <xf numFmtId="1" fontId="22" fillId="0" borderId="6" xfId="25" applyNumberFormat="1" applyFont="1" applyBorder="1" applyAlignment="1">
      <alignment horizontal="center" vertical="center"/>
    </xf>
    <xf numFmtId="174" fontId="22" fillId="0" borderId="0" xfId="25" applyNumberFormat="1" applyFont="1" applyAlignment="1">
      <alignment horizontal="justify" vertical="center"/>
    </xf>
    <xf numFmtId="0" fontId="22" fillId="0" borderId="0" xfId="25" applyFont="1" applyAlignment="1">
      <alignment horizontal="center" vertical="center"/>
    </xf>
    <xf numFmtId="0" fontId="22" fillId="0" borderId="0" xfId="25" applyFont="1" applyAlignment="1">
      <alignment horizontal="justify" vertical="center"/>
    </xf>
    <xf numFmtId="180" fontId="22" fillId="0" borderId="0" xfId="25" applyNumberFormat="1" applyFont="1" applyAlignment="1">
      <alignment horizontal="justify" vertical="center"/>
    </xf>
    <xf numFmtId="4" fontId="30" fillId="0" borderId="51" xfId="0" applyNumberFormat="1" applyFont="1" applyFill="1" applyBorder="1" applyAlignment="1">
      <alignment horizontal="center" vertical="center" wrapText="1"/>
    </xf>
    <xf numFmtId="0" fontId="22" fillId="0" borderId="0" xfId="25" applyFont="1" applyFill="1"/>
    <xf numFmtId="0" fontId="45" fillId="0" borderId="0" xfId="25" applyFont="1" applyFill="1"/>
    <xf numFmtId="0" fontId="22" fillId="0" borderId="0" xfId="0" applyFont="1" applyFill="1" applyAlignment="1">
      <alignment wrapText="1"/>
    </xf>
    <xf numFmtId="0" fontId="0" fillId="0" borderId="0" xfId="0" applyFill="1"/>
    <xf numFmtId="0" fontId="24" fillId="0" borderId="0" xfId="25" applyFont="1" applyFill="1"/>
    <xf numFmtId="0" fontId="22" fillId="0" borderId="0" xfId="25" applyFont="1" applyFill="1" applyAlignment="1">
      <alignment horizontal="left" vertical="center"/>
    </xf>
    <xf numFmtId="0" fontId="22" fillId="0" borderId="0" xfId="25" applyFont="1" applyFill="1" applyAlignment="1">
      <alignment vertical="center"/>
    </xf>
    <xf numFmtId="0" fontId="22" fillId="0" borderId="0" xfId="25" applyFont="1" applyFill="1" applyAlignment="1">
      <alignment wrapText="1"/>
    </xf>
    <xf numFmtId="193" fontId="22" fillId="0" borderId="6" xfId="0" applyNumberFormat="1" applyFont="1" applyFill="1" applyBorder="1" applyAlignment="1">
      <alignment horizontal="center" vertical="center"/>
    </xf>
    <xf numFmtId="0" fontId="30" fillId="0" borderId="51" xfId="0" applyFont="1" applyFill="1" applyBorder="1" applyAlignment="1">
      <alignment horizontal="center" vertical="center" wrapText="1"/>
    </xf>
    <xf numFmtId="0" fontId="22" fillId="0" borderId="14" xfId="0" applyFont="1" applyFill="1" applyBorder="1" applyAlignment="1">
      <alignment horizontal="center" vertical="center"/>
    </xf>
    <xf numFmtId="9" fontId="22" fillId="0" borderId="6" xfId="0" applyNumberFormat="1" applyFont="1" applyFill="1" applyBorder="1" applyAlignment="1">
      <alignment horizontal="center" vertical="center" wrapText="1"/>
    </xf>
    <xf numFmtId="0" fontId="24" fillId="6" borderId="20" xfId="0" applyFont="1" applyFill="1" applyBorder="1" applyAlignment="1">
      <alignment horizontal="justify" vertical="center" wrapText="1"/>
    </xf>
    <xf numFmtId="0" fontId="23" fillId="0" borderId="9" xfId="0" applyFont="1" applyBorder="1" applyAlignment="1">
      <alignment horizontal="center" vertical="center"/>
    </xf>
    <xf numFmtId="0" fontId="31" fillId="4"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0" borderId="20" xfId="0" applyFont="1" applyFill="1" applyBorder="1" applyAlignment="1">
      <alignment horizontal="justify" vertical="center" wrapText="1"/>
    </xf>
    <xf numFmtId="0" fontId="22" fillId="0" borderId="27" xfId="0" applyFont="1" applyFill="1" applyBorder="1" applyAlignment="1">
      <alignment horizontal="justify" vertical="center" wrapText="1"/>
    </xf>
    <xf numFmtId="0" fontId="22" fillId="6" borderId="0" xfId="0" applyFont="1" applyFill="1" applyAlignment="1">
      <alignment horizontal="center" vertical="center"/>
    </xf>
    <xf numFmtId="0" fontId="22" fillId="6" borderId="27" xfId="0" applyFont="1" applyFill="1" applyBorder="1" applyAlignment="1">
      <alignment horizontal="justify" vertical="center" wrapText="1"/>
    </xf>
    <xf numFmtId="0" fontId="22" fillId="6" borderId="6" xfId="0" applyFont="1" applyFill="1" applyBorder="1" applyAlignment="1">
      <alignment horizontal="justify" vertical="center" wrapText="1"/>
    </xf>
    <xf numFmtId="0" fontId="22" fillId="6" borderId="19" xfId="0" applyFont="1" applyFill="1" applyBorder="1" applyAlignment="1">
      <alignment horizontal="center" vertical="center" wrapText="1"/>
    </xf>
    <xf numFmtId="0" fontId="22" fillId="0" borderId="6" xfId="0" applyFont="1" applyBorder="1" applyAlignment="1">
      <alignment horizontal="center" vertical="center"/>
    </xf>
    <xf numFmtId="1" fontId="22" fillId="6" borderId="27" xfId="0" applyNumberFormat="1" applyFont="1" applyFill="1" applyBorder="1" applyAlignment="1">
      <alignment horizontal="center" vertical="center" wrapText="1"/>
    </xf>
    <xf numFmtId="0" fontId="23" fillId="6" borderId="0" xfId="0" applyFont="1" applyFill="1" applyAlignment="1">
      <alignment horizontal="center" vertical="center" wrapText="1"/>
    </xf>
    <xf numFmtId="0" fontId="22" fillId="6" borderId="23" xfId="0" applyFont="1" applyFill="1" applyBorder="1" applyAlignment="1">
      <alignment horizontal="center" vertical="center" wrapText="1"/>
    </xf>
    <xf numFmtId="14" fontId="22" fillId="0" borderId="6" xfId="0" applyNumberFormat="1" applyFont="1" applyBorder="1" applyAlignment="1">
      <alignment horizontal="center" vertical="center"/>
    </xf>
    <xf numFmtId="0" fontId="22" fillId="0" borderId="6" xfId="0" applyFont="1" applyFill="1" applyBorder="1" applyAlignment="1">
      <alignment horizontal="justify" vertical="center" wrapText="1"/>
    </xf>
    <xf numFmtId="1" fontId="22" fillId="6" borderId="27" xfId="0" applyNumberFormat="1" applyFont="1" applyFill="1" applyBorder="1" applyAlignment="1">
      <alignment horizontal="justify" vertical="center" wrapText="1"/>
    </xf>
    <xf numFmtId="0" fontId="22" fillId="0" borderId="6" xfId="0" applyFont="1" applyFill="1" applyBorder="1" applyAlignment="1">
      <alignment horizontal="center" vertical="center" wrapText="1"/>
    </xf>
    <xf numFmtId="0" fontId="22" fillId="6" borderId="0" xfId="0" applyFont="1" applyFill="1" applyAlignment="1">
      <alignment horizontal="center" vertical="center" wrapText="1"/>
    </xf>
    <xf numFmtId="0" fontId="1" fillId="6" borderId="54" xfId="0" applyFont="1" applyFill="1" applyBorder="1" applyAlignment="1">
      <alignment horizontal="justify" vertical="center" wrapText="1"/>
    </xf>
    <xf numFmtId="191" fontId="4" fillId="0" borderId="54" xfId="0" applyNumberFormat="1" applyFont="1" applyFill="1" applyBorder="1" applyAlignment="1">
      <alignment horizontal="right" vertical="center"/>
    </xf>
    <xf numFmtId="0" fontId="22" fillId="0" borderId="53" xfId="0" applyFont="1" applyBorder="1" applyAlignment="1">
      <alignment horizontal="justify" vertical="center" wrapText="1"/>
    </xf>
    <xf numFmtId="0" fontId="4" fillId="0" borderId="0" xfId="0" applyFont="1" applyFill="1" applyBorder="1"/>
    <xf numFmtId="0" fontId="4" fillId="0" borderId="0" xfId="0" applyFont="1" applyFill="1" applyBorder="1" applyAlignment="1">
      <alignment wrapText="1"/>
    </xf>
    <xf numFmtId="1" fontId="4" fillId="0" borderId="6" xfId="0" applyNumberFormat="1" applyFont="1" applyFill="1" applyBorder="1" applyAlignment="1">
      <alignment horizontal="justify" vertical="center" wrapText="1"/>
    </xf>
    <xf numFmtId="0" fontId="4" fillId="0" borderId="6" xfId="0" applyFont="1" applyFill="1" applyBorder="1" applyAlignment="1">
      <alignment horizontal="justify"/>
    </xf>
    <xf numFmtId="41" fontId="4" fillId="0" borderId="6" xfId="4" applyNumberFormat="1" applyFont="1" applyFill="1" applyBorder="1" applyAlignment="1">
      <alignment horizontal="right" vertical="center"/>
    </xf>
    <xf numFmtId="0" fontId="4" fillId="0" borderId="6" xfId="0" applyNumberFormat="1" applyFont="1" applyFill="1" applyBorder="1" applyAlignment="1">
      <alignment horizontal="center" wrapText="1"/>
    </xf>
    <xf numFmtId="41" fontId="4"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41" fontId="4" fillId="0" borderId="6" xfId="0" applyNumberFormat="1" applyFont="1" applyFill="1" applyBorder="1"/>
    <xf numFmtId="43" fontId="4" fillId="0" borderId="51" xfId="1" applyFont="1" applyBorder="1" applyAlignment="1">
      <alignment horizontal="center" vertical="center"/>
    </xf>
    <xf numFmtId="43" fontId="6" fillId="15" borderId="11" xfId="1" applyFont="1" applyFill="1" applyBorder="1" applyAlignment="1">
      <alignment horizontal="justify" vertical="center"/>
    </xf>
    <xf numFmtId="43" fontId="6" fillId="14" borderId="58" xfId="1" applyFont="1" applyFill="1" applyBorder="1" applyAlignment="1">
      <alignment horizontal="justify" vertical="center"/>
    </xf>
    <xf numFmtId="43" fontId="6" fillId="15" borderId="58" xfId="1" applyFont="1" applyFill="1" applyBorder="1" applyAlignment="1">
      <alignment horizontal="justify" vertical="center"/>
    </xf>
    <xf numFmtId="43" fontId="4" fillId="0" borderId="51" xfId="1" applyFont="1" applyFill="1" applyBorder="1" applyAlignment="1">
      <alignment horizontal="center" vertical="center"/>
    </xf>
    <xf numFmtId="43" fontId="6" fillId="15" borderId="15" xfId="1" applyFont="1" applyFill="1" applyBorder="1" applyAlignment="1">
      <alignment horizontal="justify" vertical="center"/>
    </xf>
    <xf numFmtId="43" fontId="6" fillId="0" borderId="86" xfId="1" applyFont="1" applyBorder="1" applyAlignment="1">
      <alignment horizontal="center" vertical="center"/>
    </xf>
    <xf numFmtId="43" fontId="4" fillId="0" borderId="54" xfId="1" applyFont="1" applyFill="1" applyBorder="1" applyAlignment="1">
      <alignment horizontal="center" vertical="center"/>
    </xf>
    <xf numFmtId="43" fontId="22" fillId="0" borderId="27" xfId="1" applyFont="1" applyFill="1" applyBorder="1" applyAlignment="1">
      <alignment horizontal="justify" vertical="center" wrapText="1"/>
    </xf>
    <xf numFmtId="43" fontId="0" fillId="0" borderId="0" xfId="1" applyFont="1" applyFill="1"/>
    <xf numFmtId="43" fontId="0" fillId="0" borderId="6" xfId="1" applyFont="1" applyFill="1" applyBorder="1" applyAlignment="1">
      <alignment vertical="center"/>
    </xf>
    <xf numFmtId="43" fontId="22" fillId="0" borderId="6" xfId="1" applyFont="1" applyFill="1" applyBorder="1" applyAlignment="1">
      <alignment horizontal="justify" vertical="center" wrapText="1"/>
    </xf>
    <xf numFmtId="43" fontId="23" fillId="7" borderId="15" xfId="1" applyFont="1" applyFill="1" applyBorder="1" applyAlignment="1">
      <alignment horizontal="justify" vertical="center" wrapText="1"/>
    </xf>
    <xf numFmtId="43" fontId="22" fillId="6" borderId="27" xfId="1" applyFont="1" applyFill="1" applyBorder="1" applyAlignment="1">
      <alignment horizontal="justify" vertical="center" wrapText="1"/>
    </xf>
    <xf numFmtId="43" fontId="22" fillId="6" borderId="6" xfId="1" applyFont="1" applyFill="1" applyBorder="1" applyAlignment="1">
      <alignment horizontal="justify" vertical="center" wrapText="1"/>
    </xf>
    <xf numFmtId="43" fontId="23" fillId="17" borderId="9" xfId="1" applyFont="1" applyFill="1" applyBorder="1" applyAlignment="1">
      <alignment horizontal="justify" vertical="center" wrapText="1"/>
    </xf>
    <xf numFmtId="43" fontId="23" fillId="7" borderId="11" xfId="1" applyFont="1" applyFill="1" applyBorder="1" applyAlignment="1">
      <alignment horizontal="justify" vertical="center" wrapText="1"/>
    </xf>
    <xf numFmtId="43" fontId="22" fillId="6" borderId="51" xfId="1" applyFont="1" applyFill="1" applyBorder="1" applyAlignment="1">
      <alignment vertical="center" wrapText="1"/>
    </xf>
    <xf numFmtId="43" fontId="23" fillId="6" borderId="27" xfId="1" applyFont="1" applyFill="1" applyBorder="1" applyAlignment="1">
      <alignment horizontal="center" vertical="center" wrapText="1"/>
    </xf>
    <xf numFmtId="0" fontId="23" fillId="7" borderId="15" xfId="0" applyFont="1" applyFill="1" applyBorder="1" applyAlignment="1">
      <alignment horizontal="center" vertical="center" wrapText="1"/>
    </xf>
    <xf numFmtId="0" fontId="23" fillId="17" borderId="9" xfId="0" applyFont="1" applyFill="1" applyBorder="1" applyAlignment="1">
      <alignment horizontal="center" vertical="center" wrapText="1"/>
    </xf>
    <xf numFmtId="0" fontId="23" fillId="7" borderId="11" xfId="0" applyFont="1" applyFill="1" applyBorder="1" applyAlignment="1">
      <alignment horizontal="center" vertical="center" wrapText="1"/>
    </xf>
    <xf numFmtId="43" fontId="23" fillId="21" borderId="15" xfId="1" applyFont="1" applyFill="1" applyBorder="1" applyAlignment="1">
      <alignment vertical="center"/>
    </xf>
    <xf numFmtId="43" fontId="23" fillId="17" borderId="9" xfId="1" applyFont="1" applyFill="1" applyBorder="1" applyAlignment="1">
      <alignment vertical="center"/>
    </xf>
    <xf numFmtId="43" fontId="23" fillId="7" borderId="15" xfId="1" applyFont="1" applyFill="1" applyBorder="1" applyAlignment="1">
      <alignment vertical="center"/>
    </xf>
    <xf numFmtId="43" fontId="23" fillId="7" borderId="11" xfId="1" applyFont="1" applyFill="1" applyBorder="1" applyAlignment="1">
      <alignment vertical="center"/>
    </xf>
    <xf numFmtId="43" fontId="23" fillId="6" borderId="51" xfId="1" applyFont="1" applyFill="1" applyBorder="1" applyAlignment="1">
      <alignment horizontal="center" vertical="center" wrapText="1"/>
    </xf>
    <xf numFmtId="43" fontId="28" fillId="15" borderId="6" xfId="1" applyFont="1" applyFill="1" applyBorder="1" applyAlignment="1">
      <alignment horizontal="left" vertical="center" wrapText="1"/>
    </xf>
    <xf numFmtId="43" fontId="24" fillId="0" borderId="20" xfId="1" applyFont="1" applyBorder="1" applyAlignment="1">
      <alignment horizontal="center" vertical="center" wrapText="1"/>
    </xf>
    <xf numFmtId="43" fontId="7" fillId="6" borderId="6" xfId="1" applyFont="1" applyFill="1" applyBorder="1" applyAlignment="1">
      <alignment vertical="center" wrapText="1"/>
    </xf>
    <xf numFmtId="185" fontId="24" fillId="6" borderId="19" xfId="0" applyNumberFormat="1" applyFont="1" applyFill="1" applyBorder="1" applyAlignment="1">
      <alignment horizontal="center" vertical="center" wrapText="1"/>
    </xf>
    <xf numFmtId="185" fontId="24" fillId="6" borderId="58" xfId="0" applyNumberFormat="1" applyFont="1" applyFill="1" applyBorder="1" applyAlignment="1">
      <alignment vertical="center" wrapText="1"/>
    </xf>
    <xf numFmtId="185" fontId="24" fillId="6" borderId="21" xfId="0" applyNumberFormat="1" applyFont="1" applyFill="1" applyBorder="1" applyAlignment="1">
      <alignment horizontal="center" vertical="center" wrapText="1"/>
    </xf>
    <xf numFmtId="185" fontId="24" fillId="6" borderId="14" xfId="0" applyNumberFormat="1" applyFont="1" applyFill="1" applyBorder="1" applyAlignment="1">
      <alignment horizontal="center" vertical="center" wrapText="1"/>
    </xf>
    <xf numFmtId="43" fontId="24" fillId="0" borderId="51" xfId="1" applyFont="1" applyBorder="1" applyAlignment="1">
      <alignment vertical="center" wrapText="1"/>
    </xf>
    <xf numFmtId="43" fontId="24" fillId="0" borderId="51" xfId="1" applyFont="1" applyBorder="1" applyAlignment="1">
      <alignment horizontal="center" vertical="center" wrapText="1"/>
    </xf>
    <xf numFmtId="43" fontId="28" fillId="15" borderId="27" xfId="1" applyFont="1" applyFill="1" applyBorder="1" applyAlignment="1">
      <alignment horizontal="left" vertical="center" wrapText="1"/>
    </xf>
    <xf numFmtId="43" fontId="24" fillId="0" borderId="20" xfId="1" applyFont="1" applyFill="1" applyBorder="1" applyAlignment="1">
      <alignment horizontal="center" vertical="center" wrapText="1"/>
    </xf>
    <xf numFmtId="43" fontId="24" fillId="0" borderId="51" xfId="1" applyFont="1" applyFill="1" applyBorder="1" applyAlignment="1">
      <alignment vertical="center" wrapText="1"/>
    </xf>
    <xf numFmtId="43" fontId="24" fillId="0" borderId="27" xfId="1" applyFont="1" applyFill="1" applyBorder="1" applyAlignment="1">
      <alignment horizontal="center" vertical="center" wrapText="1"/>
    </xf>
    <xf numFmtId="43" fontId="24" fillId="0" borderId="6" xfId="1" applyFont="1" applyFill="1" applyBorder="1" applyAlignment="1">
      <alignment horizontal="center" vertical="center" wrapText="1"/>
    </xf>
    <xf numFmtId="43" fontId="7" fillId="6" borderId="6" xfId="1" applyFont="1" applyFill="1" applyBorder="1" applyAlignment="1">
      <alignment horizontal="center" vertical="center" wrapText="1"/>
    </xf>
    <xf numFmtId="185" fontId="24" fillId="0" borderId="58" xfId="0" applyNumberFormat="1" applyFont="1" applyBorder="1" applyAlignment="1">
      <alignment horizontal="center" vertical="center" wrapText="1"/>
    </xf>
    <xf numFmtId="0" fontId="24" fillId="0" borderId="51" xfId="0" applyNumberFormat="1" applyFont="1" applyBorder="1" applyAlignment="1">
      <alignment horizontal="center" vertical="center" wrapText="1"/>
    </xf>
    <xf numFmtId="0" fontId="24" fillId="0" borderId="20" xfId="0" applyNumberFormat="1" applyFont="1" applyFill="1" applyBorder="1" applyAlignment="1">
      <alignment horizontal="center" vertical="center" wrapText="1"/>
    </xf>
    <xf numFmtId="0" fontId="24" fillId="0" borderId="27"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wrapText="1"/>
    </xf>
    <xf numFmtId="0" fontId="24" fillId="0" borderId="51" xfId="0" applyNumberFormat="1" applyFont="1" applyFill="1" applyBorder="1" applyAlignment="1">
      <alignment horizontal="center" vertical="center" wrapText="1"/>
    </xf>
    <xf numFmtId="43" fontId="23" fillId="0" borderId="9" xfId="1" applyFont="1" applyBorder="1" applyAlignment="1">
      <alignment vertical="center"/>
    </xf>
    <xf numFmtId="0" fontId="22" fillId="0" borderId="51" xfId="0" applyFont="1" applyFill="1" applyBorder="1" applyAlignment="1">
      <alignment vertical="center" wrapText="1"/>
    </xf>
    <xf numFmtId="43" fontId="22" fillId="6" borderId="0" xfId="1" applyFont="1" applyFill="1" applyAlignment="1">
      <alignment horizontal="center" vertical="center" wrapText="1"/>
    </xf>
    <xf numFmtId="43" fontId="22" fillId="6" borderId="0" xfId="1" applyFont="1" applyFill="1" applyAlignment="1">
      <alignment vertical="center"/>
    </xf>
    <xf numFmtId="0" fontId="11" fillId="0" borderId="0" xfId="0" applyFont="1" applyAlignment="1">
      <alignment horizontal="center"/>
    </xf>
    <xf numFmtId="0" fontId="10" fillId="0" borderId="0" xfId="0" applyFont="1" applyAlignment="1">
      <alignment horizontal="center"/>
    </xf>
    <xf numFmtId="0" fontId="8" fillId="0" borderId="6" xfId="0" applyFont="1" applyBorder="1" applyAlignment="1">
      <alignment horizontal="center" vertical="center" wrapText="1"/>
    </xf>
    <xf numFmtId="0" fontId="8" fillId="0" borderId="20" xfId="0" applyFont="1" applyBorder="1" applyAlignment="1">
      <alignment horizontal="justify" vertical="center" wrapText="1"/>
    </xf>
    <xf numFmtId="0" fontId="8" fillId="0" borderId="27"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14" xfId="0" applyFont="1" applyBorder="1" applyAlignment="1">
      <alignment horizontal="center" vertical="center" wrapText="1"/>
    </xf>
    <xf numFmtId="0" fontId="10" fillId="2" borderId="22" xfId="0" applyFont="1" applyFill="1" applyBorder="1" applyAlignment="1">
      <alignment horizontal="center" vertical="center" wrapText="1"/>
    </xf>
    <xf numFmtId="10" fontId="8" fillId="2" borderId="20" xfId="5" applyNumberFormat="1" applyFont="1" applyFill="1" applyBorder="1" applyAlignment="1">
      <alignment horizontal="center" vertical="center" wrapText="1"/>
    </xf>
    <xf numFmtId="10" fontId="8" fillId="2" borderId="27" xfId="5" applyNumberFormat="1" applyFont="1" applyFill="1" applyBorder="1" applyAlignment="1">
      <alignment horizontal="center" vertical="center" wrapText="1"/>
    </xf>
    <xf numFmtId="3" fontId="10" fillId="0" borderId="20" xfId="0" applyNumberFormat="1" applyFont="1" applyBorder="1" applyAlignment="1">
      <alignment horizontal="center" vertical="center"/>
    </xf>
    <xf numFmtId="3" fontId="10" fillId="0" borderId="22" xfId="0" applyNumberFormat="1" applyFont="1" applyBorder="1" applyAlignment="1">
      <alignment horizontal="center" vertical="center"/>
    </xf>
    <xf numFmtId="3" fontId="10" fillId="0" borderId="29" xfId="0" applyNumberFormat="1" applyFont="1" applyBorder="1" applyAlignment="1">
      <alignment horizontal="center" vertical="center"/>
    </xf>
    <xf numFmtId="0" fontId="10" fillId="2" borderId="2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0" xfId="0" applyFont="1" applyFill="1" applyBorder="1" applyAlignment="1">
      <alignment horizontal="justify" vertical="center" wrapText="1"/>
    </xf>
    <xf numFmtId="0" fontId="10" fillId="2" borderId="22" xfId="0" applyFont="1" applyFill="1" applyBorder="1" applyAlignment="1">
      <alignment horizontal="justify" vertical="center" wrapText="1"/>
    </xf>
    <xf numFmtId="0" fontId="10" fillId="2" borderId="29" xfId="0" applyFont="1" applyFill="1" applyBorder="1" applyAlignment="1">
      <alignment horizontal="justify" vertical="center" wrapText="1"/>
    </xf>
    <xf numFmtId="43" fontId="10" fillId="2" borderId="20" xfId="6" applyFont="1" applyFill="1" applyBorder="1" applyAlignment="1">
      <alignment horizontal="center" vertical="center" wrapText="1"/>
    </xf>
    <xf numFmtId="43" fontId="10" fillId="2" borderId="22" xfId="6" applyFont="1" applyFill="1" applyBorder="1" applyAlignment="1">
      <alignment horizontal="center" vertical="center" wrapText="1"/>
    </xf>
    <xf numFmtId="43" fontId="10" fillId="2" borderId="29" xfId="6" applyFont="1" applyFill="1" applyBorder="1" applyAlignment="1">
      <alignment horizontal="center" vertical="center" wrapText="1"/>
    </xf>
    <xf numFmtId="3" fontId="10" fillId="0" borderId="7" xfId="0" applyNumberFormat="1" applyFont="1" applyBorder="1" applyAlignment="1">
      <alignment horizontal="center" vertical="center" wrapText="1"/>
    </xf>
    <xf numFmtId="169" fontId="10" fillId="2" borderId="20" xfId="0" applyNumberFormat="1" applyFont="1" applyFill="1" applyBorder="1" applyAlignment="1">
      <alignment horizontal="center" vertical="center" wrapText="1"/>
    </xf>
    <xf numFmtId="169" fontId="10" fillId="2" borderId="22" xfId="0" applyNumberFormat="1" applyFont="1" applyFill="1" applyBorder="1" applyAlignment="1">
      <alignment horizontal="center" vertical="center" wrapText="1"/>
    </xf>
    <xf numFmtId="169" fontId="10" fillId="2" borderId="29" xfId="0" applyNumberFormat="1" applyFont="1" applyFill="1" applyBorder="1" applyAlignment="1">
      <alignment horizontal="center" vertical="center" wrapText="1"/>
    </xf>
    <xf numFmtId="3" fontId="10" fillId="0" borderId="6" xfId="0" applyNumberFormat="1" applyFont="1" applyBorder="1" applyAlignment="1">
      <alignment horizontal="center" vertical="center"/>
    </xf>
    <xf numFmtId="169" fontId="10" fillId="0" borderId="6" xfId="0" applyNumberFormat="1" applyFont="1" applyBorder="1" applyAlignment="1">
      <alignment horizontal="center" vertical="center" wrapText="1"/>
    </xf>
    <xf numFmtId="3" fontId="10" fillId="0" borderId="16" xfId="0" applyNumberFormat="1" applyFont="1" applyBorder="1" applyAlignment="1">
      <alignment horizontal="center" vertical="center"/>
    </xf>
    <xf numFmtId="3" fontId="7" fillId="9" borderId="14"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11" fillId="8" borderId="20" xfId="0" applyFont="1" applyFill="1" applyBorder="1" applyAlignment="1">
      <alignment horizontal="center" vertical="center" textRotation="90" wrapText="1"/>
    </xf>
    <xf numFmtId="0" fontId="11" fillId="8" borderId="22" xfId="0" applyFont="1" applyFill="1" applyBorder="1" applyAlignment="1">
      <alignment horizontal="center" vertical="center" textRotation="90" wrapText="1"/>
    </xf>
    <xf numFmtId="0" fontId="11" fillId="8" borderId="27" xfId="0" applyFont="1" applyFill="1" applyBorder="1" applyAlignment="1">
      <alignment horizontal="center" vertical="center" textRotation="90" wrapText="1"/>
    </xf>
    <xf numFmtId="1" fontId="11" fillId="8" borderId="12" xfId="0" applyNumberFormat="1" applyFont="1" applyFill="1" applyBorder="1" applyAlignment="1">
      <alignment horizontal="center" vertical="center" wrapText="1"/>
    </xf>
    <xf numFmtId="1" fontId="11" fillId="8" borderId="25" xfId="0" applyNumberFormat="1" applyFont="1" applyFill="1" applyBorder="1" applyAlignment="1">
      <alignment horizontal="center" vertical="center" wrapText="1"/>
    </xf>
    <xf numFmtId="1" fontId="11" fillId="8" borderId="13"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6" borderId="6" xfId="0" applyFont="1" applyFill="1" applyBorder="1" applyAlignment="1">
      <alignment horizontal="center" vertical="center" wrapText="1"/>
    </xf>
    <xf numFmtId="9" fontId="8" fillId="0" borderId="6" xfId="5" applyFont="1" applyBorder="1" applyAlignment="1">
      <alignment horizontal="center" vertical="center" wrapText="1"/>
    </xf>
    <xf numFmtId="43" fontId="10" fillId="0" borderId="6" xfId="6" applyFont="1" applyBorder="1" applyAlignment="1">
      <alignment horizontal="center" vertical="center" wrapText="1"/>
    </xf>
    <xf numFmtId="10" fontId="7" fillId="8" borderId="20" xfId="5" applyNumberFormat="1" applyFont="1" applyFill="1" applyBorder="1" applyAlignment="1">
      <alignment horizontal="center" vertical="center" wrapText="1"/>
    </xf>
    <xf numFmtId="10" fontId="7" fillId="8" borderId="22" xfId="5" applyNumberFormat="1" applyFont="1" applyFill="1" applyBorder="1" applyAlignment="1">
      <alignment horizontal="center" vertical="center" wrapText="1"/>
    </xf>
    <xf numFmtId="43" fontId="11" fillId="8" borderId="20" xfId="6" applyFont="1" applyFill="1" applyBorder="1" applyAlignment="1">
      <alignment horizontal="center" vertical="center" wrapText="1"/>
    </xf>
    <xf numFmtId="43" fontId="11" fillId="8" borderId="22" xfId="6"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7" fillId="9" borderId="20" xfId="0" applyFont="1" applyFill="1" applyBorder="1" applyAlignment="1">
      <alignment horizontal="center" vertical="center" textRotation="90" wrapText="1"/>
    </xf>
    <xf numFmtId="0" fontId="7" fillId="9" borderId="22" xfId="0" applyFont="1" applyFill="1" applyBorder="1" applyAlignment="1">
      <alignment horizontal="center" vertical="center" textRotation="90" wrapText="1"/>
    </xf>
    <xf numFmtId="0" fontId="7" fillId="9" borderId="27" xfId="0" applyFont="1" applyFill="1" applyBorder="1" applyAlignment="1">
      <alignment horizontal="center" vertical="center" textRotation="90" wrapText="1"/>
    </xf>
    <xf numFmtId="169" fontId="11" fillId="8" borderId="20" xfId="0" applyNumberFormat="1" applyFont="1" applyFill="1" applyBorder="1" applyAlignment="1">
      <alignment horizontal="center" vertical="center" wrapText="1"/>
    </xf>
    <xf numFmtId="169" fontId="11" fillId="8" borderId="22" xfId="0" applyNumberFormat="1" applyFont="1" applyFill="1" applyBorder="1" applyAlignment="1">
      <alignment horizontal="center" vertical="center" wrapText="1"/>
    </xf>
    <xf numFmtId="169" fontId="11" fillId="8" borderId="27" xfId="0" applyNumberFormat="1" applyFont="1" applyFill="1" applyBorder="1" applyAlignment="1">
      <alignment horizontal="center" vertical="center" wrapText="1"/>
    </xf>
    <xf numFmtId="3" fontId="11" fillId="8" borderId="20" xfId="0" applyNumberFormat="1" applyFont="1" applyFill="1" applyBorder="1" applyAlignment="1">
      <alignment horizontal="center" vertical="center" wrapText="1"/>
    </xf>
    <xf numFmtId="3" fontId="11" fillId="8" borderId="22" xfId="0" applyNumberFormat="1" applyFont="1" applyFill="1" applyBorder="1" applyAlignment="1">
      <alignment horizontal="center" vertical="center" wrapText="1"/>
    </xf>
    <xf numFmtId="49" fontId="11" fillId="8" borderId="20" xfId="0" applyNumberFormat="1" applyFont="1" applyFill="1" applyBorder="1" applyAlignment="1">
      <alignment horizontal="center" vertical="center" textRotation="90" wrapText="1"/>
    </xf>
    <xf numFmtId="49" fontId="11" fillId="8" borderId="22" xfId="0" applyNumberFormat="1" applyFont="1" applyFill="1" applyBorder="1" applyAlignment="1">
      <alignment horizontal="center" vertical="center" textRotation="90" wrapText="1"/>
    </xf>
    <xf numFmtId="49" fontId="11" fillId="8" borderId="27" xfId="0" applyNumberFormat="1" applyFont="1" applyFill="1" applyBorder="1" applyAlignment="1">
      <alignment horizontal="center" vertical="center" textRotation="90" wrapText="1"/>
    </xf>
    <xf numFmtId="9" fontId="4" fillId="0" borderId="20" xfId="3" applyFont="1" applyBorder="1" applyAlignment="1">
      <alignment horizontal="center" vertical="center"/>
    </xf>
    <xf numFmtId="9" fontId="4" fillId="0" borderId="22" xfId="3" applyFont="1" applyBorder="1" applyAlignment="1">
      <alignment horizontal="center" vertical="center"/>
    </xf>
    <xf numFmtId="9" fontId="4" fillId="0" borderId="27" xfId="3" applyFont="1" applyBorder="1" applyAlignment="1">
      <alignment horizontal="center" vertical="center"/>
    </xf>
    <xf numFmtId="1" fontId="4" fillId="0" borderId="2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0" fontId="4" fillId="0" borderId="27"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20" xfId="0" applyFont="1" applyBorder="1" applyAlignment="1">
      <alignment horizontal="justify" vertical="center" wrapText="1"/>
    </xf>
    <xf numFmtId="1" fontId="4" fillId="0" borderId="27" xfId="0" applyNumberFormat="1" applyFont="1" applyBorder="1" applyAlignment="1">
      <alignment horizontal="justify" vertical="center" wrapText="1"/>
    </xf>
    <xf numFmtId="1" fontId="4" fillId="0" borderId="6" xfId="0" applyNumberFormat="1" applyFont="1" applyBorder="1" applyAlignment="1">
      <alignment horizontal="justify" vertical="center" wrapText="1"/>
    </xf>
    <xf numFmtId="1" fontId="4" fillId="0" borderId="27" xfId="0" applyNumberFormat="1" applyFont="1" applyBorder="1" applyAlignment="1">
      <alignment horizontal="center" vertical="center"/>
    </xf>
    <xf numFmtId="1" fontId="4" fillId="0" borderId="6" xfId="0" applyNumberFormat="1" applyFont="1" applyBorder="1" applyAlignment="1">
      <alignment horizontal="center" vertical="center"/>
    </xf>
    <xf numFmtId="0" fontId="4" fillId="0" borderId="2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3" xfId="0" applyFont="1" applyBorder="1" applyAlignment="1">
      <alignment horizontal="justify" vertical="center" wrapText="1"/>
    </xf>
    <xf numFmtId="0" fontId="4" fillId="0" borderId="51" xfId="0" applyFont="1" applyBorder="1" applyAlignment="1">
      <alignment horizontal="justify" vertical="center" wrapText="1"/>
    </xf>
    <xf numFmtId="0" fontId="24" fillId="6" borderId="20" xfId="0" applyFont="1" applyFill="1" applyBorder="1" applyAlignment="1" applyProtection="1">
      <alignment horizontal="justify" vertical="center" wrapText="1"/>
      <protection locked="0"/>
    </xf>
    <xf numFmtId="0" fontId="24" fillId="6" borderId="22" xfId="0" applyFont="1" applyFill="1" applyBorder="1" applyAlignment="1" applyProtection="1">
      <alignment horizontal="justify" vertical="center" wrapText="1"/>
      <protection locked="0"/>
    </xf>
    <xf numFmtId="0" fontId="24" fillId="6" borderId="27" xfId="0" applyFont="1" applyFill="1" applyBorder="1" applyAlignment="1" applyProtection="1">
      <alignment horizontal="justify" vertical="center" wrapText="1"/>
      <protection locked="0"/>
    </xf>
    <xf numFmtId="1" fontId="24" fillId="0" borderId="20" xfId="0" applyNumberFormat="1" applyFont="1" applyBorder="1" applyAlignment="1">
      <alignment horizontal="center" vertical="center"/>
    </xf>
    <xf numFmtId="1" fontId="24" fillId="0" borderId="27" xfId="0" applyNumberFormat="1" applyFont="1" applyBorder="1" applyAlignment="1">
      <alignment horizontal="center" vertical="center"/>
    </xf>
    <xf numFmtId="0" fontId="24" fillId="0" borderId="23" xfId="0" applyFont="1" applyBorder="1" applyAlignment="1">
      <alignment horizontal="justify" vertical="center" wrapText="1"/>
    </xf>
    <xf numFmtId="0" fontId="24" fillId="0" borderId="27" xfId="0" applyFont="1" applyBorder="1" applyAlignment="1">
      <alignment horizontal="justify" vertical="center" wrapText="1"/>
    </xf>
    <xf numFmtId="0" fontId="24" fillId="0" borderId="22"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2" xfId="0" applyFont="1" applyBorder="1" applyAlignment="1">
      <alignment horizontal="justify" vertical="center" wrapText="1"/>
    </xf>
    <xf numFmtId="0" fontId="24" fillId="0" borderId="29" xfId="0" applyFont="1" applyBorder="1" applyAlignment="1">
      <alignment horizontal="justify" vertical="center" wrapText="1"/>
    </xf>
    <xf numFmtId="9" fontId="4" fillId="0" borderId="29" xfId="3" applyFont="1" applyBorder="1" applyAlignment="1">
      <alignment horizontal="center" vertical="center"/>
    </xf>
    <xf numFmtId="0" fontId="24" fillId="0" borderId="20"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0" xfId="0" applyFont="1" applyBorder="1" applyAlignment="1">
      <alignment horizontal="justify" vertical="center" wrapText="1"/>
    </xf>
    <xf numFmtId="43" fontId="4" fillId="0" borderId="20" xfId="3" applyNumberFormat="1" applyFont="1" applyBorder="1" applyAlignment="1">
      <alignment horizontal="center" vertical="center"/>
    </xf>
    <xf numFmtId="0" fontId="30" fillId="0" borderId="51" xfId="0" applyFont="1" applyBorder="1" applyAlignment="1">
      <alignment horizontal="center" vertical="center" wrapText="1"/>
    </xf>
    <xf numFmtId="0" fontId="24" fillId="0" borderId="51" xfId="0" applyFont="1" applyBorder="1" applyAlignment="1">
      <alignment horizontal="justify" vertical="center" wrapText="1"/>
    </xf>
    <xf numFmtId="0" fontId="4" fillId="0" borderId="20" xfId="0"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0" fontId="4" fillId="0" borderId="6" xfId="0" applyFont="1" applyBorder="1" applyAlignment="1">
      <alignment horizontal="justify" vertical="center"/>
    </xf>
    <xf numFmtId="0" fontId="4" fillId="0" borderId="20" xfId="0" applyFont="1" applyBorder="1" applyAlignment="1">
      <alignment horizontal="justify" vertical="center"/>
    </xf>
    <xf numFmtId="0" fontId="24" fillId="0" borderId="51" xfId="0" applyFont="1" applyBorder="1" applyAlignment="1">
      <alignment horizontal="center" vertical="center" wrapText="1"/>
    </xf>
    <xf numFmtId="0" fontId="24" fillId="0" borderId="58" xfId="0" applyFont="1" applyBorder="1" applyAlignment="1">
      <alignment horizontal="justify" vertical="center" wrapText="1"/>
    </xf>
    <xf numFmtId="1" fontId="4" fillId="0" borderId="20"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20" xfId="0" applyNumberFormat="1" applyFont="1" applyBorder="1" applyAlignment="1">
      <alignment horizontal="center" vertical="center"/>
    </xf>
    <xf numFmtId="1" fontId="4" fillId="0" borderId="16" xfId="0" applyNumberFormat="1" applyFont="1" applyBorder="1" applyAlignment="1">
      <alignment horizontal="center" vertical="center"/>
    </xf>
    <xf numFmtId="2" fontId="4" fillId="0" borderId="6" xfId="0" applyNumberFormat="1" applyFont="1" applyBorder="1" applyAlignment="1">
      <alignment vertical="center" wrapText="1"/>
    </xf>
    <xf numFmtId="2" fontId="4" fillId="0" borderId="20" xfId="0" applyNumberFormat="1" applyFont="1" applyBorder="1" applyAlignment="1">
      <alignment vertical="center" wrapText="1"/>
    </xf>
    <xf numFmtId="0" fontId="30" fillId="6" borderId="53" xfId="10" applyFont="1" applyFill="1" applyBorder="1" applyAlignment="1">
      <alignment horizontal="justify" vertical="center" wrapText="1"/>
    </xf>
    <xf numFmtId="0" fontId="30" fillId="6" borderId="51" xfId="10" applyFont="1" applyFill="1" applyBorder="1" applyAlignment="1">
      <alignment horizontal="justify" vertical="center" wrapText="1"/>
    </xf>
    <xf numFmtId="0" fontId="30" fillId="6" borderId="56" xfId="10" applyFont="1" applyFill="1" applyBorder="1" applyAlignment="1">
      <alignment horizontal="justify" vertical="center" wrapText="1"/>
    </xf>
    <xf numFmtId="0" fontId="30" fillId="6" borderId="21" xfId="10" applyFont="1" applyFill="1" applyBorder="1" applyAlignment="1">
      <alignment horizontal="justify" vertical="center" wrapText="1"/>
    </xf>
    <xf numFmtId="0" fontId="24" fillId="6" borderId="20" xfId="10" applyFont="1" applyFill="1" applyBorder="1" applyAlignment="1">
      <alignment horizontal="justify" vertical="center" wrapText="1"/>
    </xf>
    <xf numFmtId="0" fontId="24" fillId="6" borderId="27" xfId="10" applyFont="1" applyFill="1" applyBorder="1" applyAlignment="1">
      <alignment horizontal="justify" vertical="center" wrapText="1"/>
    </xf>
    <xf numFmtId="0" fontId="30" fillId="6" borderId="20" xfId="10" applyFont="1" applyFill="1" applyBorder="1" applyAlignment="1">
      <alignment horizontal="justify" vertical="center" wrapText="1"/>
    </xf>
    <xf numFmtId="0" fontId="30" fillId="6" borderId="27" xfId="10" applyFont="1" applyFill="1" applyBorder="1" applyAlignment="1">
      <alignment horizontal="justify" vertical="center" wrapText="1"/>
    </xf>
    <xf numFmtId="0" fontId="4" fillId="0" borderId="72" xfId="0" applyFont="1" applyBorder="1" applyAlignment="1">
      <alignment horizontal="justify" vertical="center" wrapText="1"/>
    </xf>
    <xf numFmtId="0" fontId="4" fillId="0" borderId="73" xfId="0" applyFont="1" applyBorder="1" applyAlignment="1">
      <alignment horizontal="justify" vertical="center" wrapText="1"/>
    </xf>
    <xf numFmtId="1" fontId="4" fillId="0" borderId="22" xfId="0" applyNumberFormat="1" applyFont="1" applyBorder="1" applyAlignment="1">
      <alignment horizontal="center" vertical="center"/>
    </xf>
    <xf numFmtId="173" fontId="4" fillId="0" borderId="6" xfId="0" applyNumberFormat="1" applyFont="1" applyBorder="1" applyAlignment="1">
      <alignment horizontal="center" vertical="center"/>
    </xf>
    <xf numFmtId="174" fontId="4" fillId="0" borderId="20" xfId="4" applyNumberFormat="1" applyFont="1" applyBorder="1" applyAlignment="1">
      <alignment horizontal="center" vertical="center"/>
    </xf>
    <xf numFmtId="174" fontId="4" fillId="0" borderId="22" xfId="4" applyNumberFormat="1" applyFont="1" applyBorder="1" applyAlignment="1">
      <alignment horizontal="center" vertical="center"/>
    </xf>
    <xf numFmtId="174" fontId="4" fillId="0" borderId="27" xfId="4" applyNumberFormat="1" applyFont="1" applyBorder="1" applyAlignment="1">
      <alignment horizontal="center" vertical="center"/>
    </xf>
    <xf numFmtId="173" fontId="4" fillId="0" borderId="20" xfId="0" applyNumberFormat="1" applyFont="1" applyBorder="1" applyAlignment="1">
      <alignment horizontal="center" vertical="center"/>
    </xf>
    <xf numFmtId="0" fontId="4" fillId="0" borderId="22" xfId="4" applyNumberFormat="1" applyFont="1" applyBorder="1" applyAlignment="1">
      <alignment horizontal="center" vertical="center"/>
    </xf>
    <xf numFmtId="0" fontId="4" fillId="0" borderId="27" xfId="4" applyNumberFormat="1" applyFont="1" applyBorder="1" applyAlignment="1">
      <alignment horizontal="center" vertical="center"/>
    </xf>
    <xf numFmtId="0" fontId="4" fillId="0" borderId="22" xfId="4" applyNumberFormat="1" applyFont="1" applyBorder="1" applyAlignment="1">
      <alignment horizontal="center" vertical="center" wrapText="1"/>
    </xf>
    <xf numFmtId="0" fontId="4" fillId="0" borderId="27" xfId="4" applyNumberFormat="1" applyFont="1" applyBorder="1" applyAlignment="1">
      <alignment horizontal="center" vertical="center" wrapText="1"/>
    </xf>
    <xf numFmtId="3" fontId="4" fillId="0" borderId="53" xfId="0" applyNumberFormat="1" applyFont="1" applyBorder="1" applyAlignment="1">
      <alignment horizontal="center" vertical="center"/>
    </xf>
    <xf numFmtId="3" fontId="4" fillId="0" borderId="51" xfId="0" applyNumberFormat="1" applyFont="1" applyBorder="1" applyAlignment="1">
      <alignment horizontal="center" vertical="center"/>
    </xf>
    <xf numFmtId="0" fontId="4" fillId="0" borderId="13"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25" xfId="4" applyNumberFormat="1" applyFont="1" applyBorder="1" applyAlignment="1">
      <alignment horizontal="center" vertical="center"/>
    </xf>
    <xf numFmtId="0" fontId="4" fillId="0" borderId="13" xfId="4" applyNumberFormat="1" applyFont="1" applyBorder="1" applyAlignment="1">
      <alignment horizontal="center" vertical="center"/>
    </xf>
    <xf numFmtId="0" fontId="4" fillId="0" borderId="14" xfId="0" applyFont="1" applyBorder="1" applyAlignment="1">
      <alignment horizontal="justify" vertical="center" wrapText="1"/>
    </xf>
    <xf numFmtId="0" fontId="24" fillId="0" borderId="51" xfId="0" applyFont="1" applyFill="1" applyBorder="1" applyAlignment="1">
      <alignment horizontal="justify" vertical="center" wrapText="1"/>
    </xf>
    <xf numFmtId="0" fontId="4" fillId="0" borderId="23" xfId="0" applyFont="1" applyBorder="1" applyAlignment="1">
      <alignment horizontal="justify" vertical="center" wrapText="1"/>
    </xf>
    <xf numFmtId="0" fontId="4" fillId="0" borderId="21" xfId="0" applyFont="1" applyBorder="1" applyAlignment="1">
      <alignment horizontal="justify" vertical="center" wrapText="1"/>
    </xf>
    <xf numFmtId="2" fontId="4" fillId="0" borderId="22" xfId="0" applyNumberFormat="1" applyFont="1" applyBorder="1" applyAlignment="1">
      <alignment vertical="center" wrapText="1"/>
    </xf>
    <xf numFmtId="2" fontId="4" fillId="0" borderId="27" xfId="0" applyNumberFormat="1" applyFont="1" applyBorder="1" applyAlignment="1">
      <alignment vertical="center" wrapText="1"/>
    </xf>
    <xf numFmtId="0" fontId="4" fillId="0" borderId="27" xfId="0" applyFont="1" applyBorder="1" applyAlignment="1">
      <alignment horizontal="justify" vertical="center"/>
    </xf>
    <xf numFmtId="9" fontId="4" fillId="0" borderId="6" xfId="3" applyFont="1" applyBorder="1" applyAlignment="1">
      <alignment horizontal="center" vertical="center"/>
    </xf>
    <xf numFmtId="171" fontId="4" fillId="0" borderId="27" xfId="0" applyNumberFormat="1" applyFont="1" applyBorder="1" applyAlignment="1">
      <alignment horizontal="center" vertical="center"/>
    </xf>
    <xf numFmtId="171" fontId="4" fillId="0" borderId="6" xfId="0" applyNumberFormat="1" applyFont="1" applyBorder="1" applyAlignment="1">
      <alignment horizontal="center" vertical="center"/>
    </xf>
    <xf numFmtId="0" fontId="4" fillId="0" borderId="19" xfId="0" applyFont="1" applyBorder="1" applyAlignment="1">
      <alignment horizontal="justify" vertical="center" wrapText="1"/>
    </xf>
    <xf numFmtId="173" fontId="4" fillId="0" borderId="6" xfId="0" applyNumberFormat="1" applyFont="1" applyFill="1" applyBorder="1" applyAlignment="1">
      <alignment horizontal="center" vertical="center"/>
    </xf>
    <xf numFmtId="1" fontId="4" fillId="0" borderId="6" xfId="0" applyNumberFormat="1" applyFont="1" applyFill="1" applyBorder="1" applyAlignment="1">
      <alignment horizontal="center" vertical="center" wrapText="1"/>
    </xf>
    <xf numFmtId="1" fontId="4" fillId="0" borderId="23" xfId="0" applyNumberFormat="1" applyFont="1" applyBorder="1" applyAlignment="1">
      <alignment horizontal="justify"/>
    </xf>
    <xf numFmtId="0" fontId="6" fillId="0" borderId="0" xfId="0" applyFont="1" applyAlignment="1">
      <alignment horizontal="justify" vertical="center" wrapText="1"/>
    </xf>
    <xf numFmtId="0" fontId="4" fillId="0" borderId="23" xfId="0" applyFont="1" applyBorder="1" applyAlignment="1">
      <alignment horizontal="justify"/>
    </xf>
    <xf numFmtId="0" fontId="4" fillId="0" borderId="0" xfId="0" applyFont="1" applyAlignment="1">
      <alignment horizontal="justify"/>
    </xf>
    <xf numFmtId="1" fontId="4" fillId="0" borderId="53" xfId="0" applyNumberFormat="1" applyFont="1" applyBorder="1" applyAlignment="1">
      <alignment horizontal="center" vertical="center" wrapText="1"/>
    </xf>
    <xf numFmtId="1" fontId="4" fillId="0" borderId="51" xfId="0" applyNumberFormat="1" applyFont="1" applyBorder="1" applyAlignment="1">
      <alignment horizontal="center" vertical="center" wrapText="1"/>
    </xf>
    <xf numFmtId="1" fontId="4" fillId="0" borderId="6" xfId="0" applyNumberFormat="1" applyFont="1" applyFill="1" applyBorder="1" applyAlignment="1">
      <alignment horizontal="center" vertical="center"/>
    </xf>
    <xf numFmtId="173" fontId="4" fillId="0" borderId="27" xfId="0" applyNumberFormat="1" applyFont="1" applyBorder="1" applyAlignment="1">
      <alignment horizontal="center" vertical="center"/>
    </xf>
    <xf numFmtId="1" fontId="4" fillId="0" borderId="53" xfId="0" applyNumberFormat="1" applyFont="1" applyBorder="1" applyAlignment="1">
      <alignment horizontal="center" vertical="center"/>
    </xf>
    <xf numFmtId="1" fontId="4" fillId="0" borderId="51" xfId="0" applyNumberFormat="1" applyFont="1" applyBorder="1" applyAlignment="1">
      <alignment horizontal="center" vertical="center"/>
    </xf>
    <xf numFmtId="0" fontId="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3" xfId="0" applyFont="1" applyBorder="1" applyAlignment="1">
      <alignment horizontal="justify" vertical="center"/>
    </xf>
    <xf numFmtId="0" fontId="4" fillId="0" borderId="51" xfId="0" applyFont="1" applyBorder="1" applyAlignment="1">
      <alignment horizontal="justify" vertical="center"/>
    </xf>
    <xf numFmtId="9" fontId="4" fillId="0" borderId="53" xfId="3" applyFont="1" applyBorder="1" applyAlignment="1">
      <alignment horizontal="center" vertical="center"/>
    </xf>
    <xf numFmtId="9" fontId="4" fillId="0" borderId="51" xfId="3" applyFont="1" applyBorder="1" applyAlignment="1">
      <alignment horizontal="center" vertical="center"/>
    </xf>
    <xf numFmtId="0" fontId="16" fillId="0" borderId="6" xfId="0" applyFont="1" applyFill="1" applyBorder="1" applyAlignment="1">
      <alignment horizontal="justify" vertical="center" wrapText="1"/>
    </xf>
    <xf numFmtId="9" fontId="16" fillId="0" borderId="6" xfId="3" applyFont="1" applyFill="1" applyBorder="1" applyAlignment="1">
      <alignment horizontal="center" vertical="center" wrapText="1"/>
    </xf>
    <xf numFmtId="43" fontId="16" fillId="0" borderId="6" xfId="4" applyFont="1" applyFill="1" applyBorder="1" applyAlignment="1">
      <alignment horizontal="center" vertical="center" wrapText="1"/>
    </xf>
    <xf numFmtId="0" fontId="4" fillId="0" borderId="6" xfId="0" applyFont="1" applyFill="1" applyBorder="1" applyAlignment="1">
      <alignment horizontal="justify" vertical="center" wrapText="1"/>
    </xf>
    <xf numFmtId="0" fontId="29" fillId="0" borderId="6" xfId="12" applyFont="1" applyFill="1" applyBorder="1" applyAlignment="1">
      <alignment horizontal="justify" vertical="center" wrapText="1"/>
    </xf>
    <xf numFmtId="0" fontId="0" fillId="0" borderId="6" xfId="12" applyFont="1" applyFill="1" applyBorder="1" applyAlignment="1">
      <alignment horizontal="justify" vertical="center" wrapText="1"/>
    </xf>
    <xf numFmtId="2" fontId="4" fillId="0" borderId="6" xfId="0" applyNumberFormat="1" applyFont="1" applyFill="1" applyBorder="1" applyAlignment="1">
      <alignment vertical="center" wrapText="1"/>
    </xf>
    <xf numFmtId="2" fontId="16" fillId="0" borderId="6"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4" fillId="0" borderId="12" xfId="0" applyFont="1" applyBorder="1" applyAlignment="1">
      <alignment horizontal="justify" vertical="center" wrapText="1"/>
    </xf>
    <xf numFmtId="1" fontId="4" fillId="0" borderId="12" xfId="0" applyNumberFormat="1" applyFont="1" applyBorder="1" applyAlignment="1">
      <alignment horizontal="center" vertical="center"/>
    </xf>
    <xf numFmtId="1" fontId="4" fillId="0" borderId="6" xfId="0" applyNumberFormat="1" applyFont="1" applyBorder="1" applyAlignment="1">
      <alignment vertical="center" wrapText="1"/>
    </xf>
    <xf numFmtId="1" fontId="4" fillId="0" borderId="20" xfId="0" applyNumberFormat="1" applyFont="1" applyBorder="1" applyAlignment="1">
      <alignment vertical="center" wrapText="1"/>
    </xf>
    <xf numFmtId="0" fontId="1" fillId="6" borderId="51" xfId="0" applyFont="1" applyFill="1" applyBorder="1" applyAlignment="1">
      <alignment horizontal="justify" vertical="center" wrapText="1"/>
    </xf>
    <xf numFmtId="0" fontId="1" fillId="0" borderId="51" xfId="0" applyFont="1" applyBorder="1" applyAlignment="1">
      <alignment horizontal="justify" vertical="center" wrapText="1"/>
    </xf>
    <xf numFmtId="0" fontId="4" fillId="0" borderId="54" xfId="0" applyFont="1" applyBorder="1" applyAlignment="1">
      <alignment horizontal="center" vertical="center" wrapText="1"/>
    </xf>
    <xf numFmtId="0" fontId="4" fillId="0" borderId="54" xfId="0" applyFont="1" applyBorder="1" applyAlignment="1">
      <alignment horizontal="justify" vertical="center" wrapText="1"/>
    </xf>
    <xf numFmtId="9" fontId="4" fillId="0" borderId="51" xfId="3" applyFont="1" applyBorder="1" applyAlignment="1">
      <alignment horizontal="center" vertical="center" wrapText="1"/>
    </xf>
    <xf numFmtId="9" fontId="4" fillId="0" borderId="54" xfId="3" applyFont="1" applyBorder="1" applyAlignment="1">
      <alignment horizontal="center" vertical="center" wrapText="1"/>
    </xf>
    <xf numFmtId="43" fontId="4" fillId="0" borderId="51" xfId="4" applyFont="1" applyBorder="1" applyAlignment="1">
      <alignment horizontal="center" vertical="center" wrapText="1"/>
    </xf>
    <xf numFmtId="43" fontId="4" fillId="0" borderId="54" xfId="4" applyFont="1" applyBorder="1" applyAlignment="1">
      <alignment horizontal="center" vertical="center" wrapText="1"/>
    </xf>
    <xf numFmtId="3" fontId="4" fillId="0" borderId="19" xfId="0" applyNumberFormat="1" applyFont="1" applyBorder="1" applyAlignment="1">
      <alignment horizontal="justify" vertical="center" wrapText="1"/>
    </xf>
    <xf numFmtId="3" fontId="4" fillId="0" borderId="23" xfId="0" applyNumberFormat="1" applyFont="1" applyBorder="1" applyAlignment="1">
      <alignment horizontal="justify" vertical="center" wrapText="1"/>
    </xf>
    <xf numFmtId="3" fontId="4" fillId="0" borderId="21" xfId="0" applyNumberFormat="1" applyFont="1" applyBorder="1" applyAlignment="1">
      <alignment horizontal="justify" vertical="center" wrapText="1"/>
    </xf>
    <xf numFmtId="1" fontId="4" fillId="0" borderId="22" xfId="0" applyNumberFormat="1" applyFont="1" applyBorder="1" applyAlignment="1">
      <alignment horizontal="center" vertical="center" wrapText="1"/>
    </xf>
    <xf numFmtId="0" fontId="4" fillId="0" borderId="22" xfId="0" applyFont="1" applyBorder="1" applyAlignment="1">
      <alignment horizontal="justify" vertical="center" wrapText="1"/>
    </xf>
    <xf numFmtId="1" fontId="4" fillId="0" borderId="20" xfId="4" applyNumberFormat="1" applyFont="1" applyBorder="1" applyAlignment="1">
      <alignment horizontal="center" vertical="center" wrapText="1"/>
    </xf>
    <xf numFmtId="1" fontId="4" fillId="0" borderId="22" xfId="4" applyNumberFormat="1" applyFont="1" applyBorder="1" applyAlignment="1">
      <alignment horizontal="center" vertical="center" wrapText="1"/>
    </xf>
    <xf numFmtId="1" fontId="4" fillId="0" borderId="27" xfId="4" applyNumberFormat="1" applyFont="1" applyBorder="1" applyAlignment="1">
      <alignment horizontal="center" vertical="center" wrapText="1"/>
    </xf>
    <xf numFmtId="0" fontId="4" fillId="0" borderId="6" xfId="4" applyNumberFormat="1" applyFont="1" applyBorder="1" applyAlignment="1">
      <alignment horizontal="center" vertical="center"/>
    </xf>
    <xf numFmtId="173" fontId="4" fillId="0" borderId="22" xfId="0" applyNumberFormat="1" applyFont="1" applyBorder="1" applyAlignment="1">
      <alignment horizontal="center" vertical="center"/>
    </xf>
    <xf numFmtId="1" fontId="4" fillId="0" borderId="6" xfId="4" applyNumberFormat="1" applyFont="1" applyBorder="1" applyAlignment="1">
      <alignment horizontal="center" vertical="center" wrapText="1"/>
    </xf>
    <xf numFmtId="1" fontId="4" fillId="0" borderId="20" xfId="4" applyNumberFormat="1" applyFont="1" applyBorder="1" applyAlignment="1">
      <alignment horizontal="center" vertical="center"/>
    </xf>
    <xf numFmtId="1" fontId="4" fillId="0" borderId="22" xfId="4" applyNumberFormat="1" applyFont="1" applyBorder="1" applyAlignment="1">
      <alignment horizontal="center" vertical="center"/>
    </xf>
    <xf numFmtId="1" fontId="4" fillId="0" borderId="25" xfId="4" applyNumberFormat="1" applyFont="1" applyBorder="1" applyAlignment="1">
      <alignment horizontal="center" vertical="center"/>
    </xf>
    <xf numFmtId="1" fontId="4" fillId="0" borderId="13" xfId="4" applyNumberFormat="1" applyFont="1" applyBorder="1" applyAlignment="1">
      <alignment horizontal="center" vertical="center"/>
    </xf>
    <xf numFmtId="0" fontId="22" fillId="0" borderId="20" xfId="0" applyFont="1" applyBorder="1" applyAlignment="1">
      <alignment horizontal="justify" vertical="center" wrapText="1"/>
    </xf>
    <xf numFmtId="0" fontId="22" fillId="0" borderId="27" xfId="0" applyFont="1" applyBorder="1" applyAlignment="1">
      <alignment horizontal="justify" vertical="center" wrapText="1"/>
    </xf>
    <xf numFmtId="0" fontId="22" fillId="0" borderId="20" xfId="0" applyFont="1" applyBorder="1" applyAlignment="1">
      <alignment horizontal="justify" vertical="center"/>
    </xf>
    <xf numFmtId="0" fontId="22" fillId="0" borderId="27" xfId="0" applyFont="1" applyBorder="1" applyAlignment="1">
      <alignment horizontal="justify" vertical="center"/>
    </xf>
    <xf numFmtId="0" fontId="22" fillId="0" borderId="51" xfId="0" applyFont="1" applyBorder="1" applyAlignment="1">
      <alignment horizontal="justify" vertical="center" wrapText="1"/>
    </xf>
    <xf numFmtId="1" fontId="4" fillId="0" borderId="14" xfId="0" applyNumberFormat="1" applyFont="1" applyBorder="1" applyAlignment="1">
      <alignment horizontal="center" vertical="center" wrapText="1"/>
    </xf>
    <xf numFmtId="9" fontId="4" fillId="0" borderId="14" xfId="3" applyFont="1" applyBorder="1" applyAlignment="1">
      <alignment horizontal="center" vertical="center"/>
    </xf>
    <xf numFmtId="43" fontId="4" fillId="0" borderId="51" xfId="4" applyFont="1" applyBorder="1" applyAlignment="1">
      <alignment horizontal="center" vertical="center"/>
    </xf>
    <xf numFmtId="0" fontId="4" fillId="0" borderId="6" xfId="0" applyFont="1" applyBorder="1" applyAlignment="1">
      <alignment horizontal="center" vertical="center"/>
    </xf>
    <xf numFmtId="1" fontId="4" fillId="0" borderId="19" xfId="4" applyNumberFormat="1" applyFont="1" applyBorder="1" applyAlignment="1">
      <alignment horizontal="center" vertical="center" wrapText="1"/>
    </xf>
    <xf numFmtId="1" fontId="4" fillId="0" borderId="23" xfId="4" applyNumberFormat="1" applyFont="1" applyBorder="1" applyAlignment="1">
      <alignment horizontal="center" vertical="center" wrapText="1"/>
    </xf>
    <xf numFmtId="1" fontId="4" fillId="0" borderId="21" xfId="4" applyNumberFormat="1" applyFont="1" applyBorder="1" applyAlignment="1">
      <alignment horizontal="center" vertical="center" wrapText="1"/>
    </xf>
    <xf numFmtId="0" fontId="4" fillId="0" borderId="25" xfId="0" applyFont="1" applyBorder="1" applyAlignment="1">
      <alignment horizontal="justify" vertical="center" wrapText="1"/>
    </xf>
    <xf numFmtId="43" fontId="4" fillId="0" borderId="20" xfId="4" applyFont="1" applyBorder="1" applyAlignment="1">
      <alignment horizontal="center" vertical="center" wrapText="1"/>
    </xf>
    <xf numFmtId="43" fontId="4" fillId="0" borderId="22" xfId="4" applyFont="1" applyBorder="1" applyAlignment="1">
      <alignment horizontal="center" vertical="center" wrapText="1"/>
    </xf>
    <xf numFmtId="0" fontId="4" fillId="0" borderId="22" xfId="0" applyFont="1" applyBorder="1" applyAlignment="1">
      <alignment horizontal="center" vertical="center" wrapText="1"/>
    </xf>
    <xf numFmtId="0" fontId="4" fillId="0" borderId="6" xfId="4" applyNumberFormat="1" applyFont="1" applyBorder="1" applyAlignment="1">
      <alignment vertical="center" wrapText="1"/>
    </xf>
    <xf numFmtId="0" fontId="4" fillId="0" borderId="6" xfId="0" applyFont="1" applyBorder="1" applyAlignment="1">
      <alignment vertical="center"/>
    </xf>
    <xf numFmtId="0" fontId="6" fillId="15" borderId="15" xfId="0" applyFont="1" applyFill="1" applyBorder="1" applyAlignment="1">
      <alignment horizontal="left" vertical="center"/>
    </xf>
    <xf numFmtId="1" fontId="4" fillId="0" borderId="51" xfId="0" applyNumberFormat="1" applyFont="1" applyBorder="1" applyAlignment="1">
      <alignment horizontal="justify" vertical="center" wrapText="1"/>
    </xf>
    <xf numFmtId="0" fontId="4" fillId="0" borderId="16" xfId="4" applyNumberFormat="1" applyFont="1" applyBorder="1" applyAlignment="1">
      <alignment horizontal="center" vertical="center"/>
    </xf>
    <xf numFmtId="0" fontId="6" fillId="13" borderId="15" xfId="0" applyFont="1" applyFill="1" applyBorder="1" applyAlignment="1">
      <alignment horizontal="left" vertical="center"/>
    </xf>
    <xf numFmtId="0" fontId="6" fillId="14" borderId="15" xfId="0" applyFont="1" applyFill="1" applyBorder="1" applyAlignment="1">
      <alignment horizontal="left" vertical="center"/>
    </xf>
    <xf numFmtId="9" fontId="4" fillId="0" borderId="14" xfId="3"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1" fontId="6" fillId="12" borderId="20" xfId="0" applyNumberFormat="1" applyFont="1" applyFill="1" applyBorder="1" applyAlignment="1">
      <alignment horizontal="center" vertical="center" wrapText="1"/>
    </xf>
    <xf numFmtId="1" fontId="6" fillId="12" borderId="22" xfId="0" applyNumberFormat="1"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6" fillId="12" borderId="25" xfId="0" applyFont="1" applyFill="1" applyBorder="1" applyAlignment="1">
      <alignment horizontal="center" vertical="center" wrapText="1"/>
    </xf>
    <xf numFmtId="0" fontId="6" fillId="12" borderId="20" xfId="0" applyFont="1" applyFill="1" applyBorder="1" applyAlignment="1">
      <alignment horizontal="center" vertical="center" wrapText="1"/>
    </xf>
    <xf numFmtId="0" fontId="6" fillId="12" borderId="22" xfId="0" applyFont="1" applyFill="1" applyBorder="1" applyAlignment="1">
      <alignment horizontal="center" vertical="center" wrapText="1"/>
    </xf>
    <xf numFmtId="3" fontId="6" fillId="12" borderId="20" xfId="0" applyNumberFormat="1" applyFont="1" applyFill="1" applyBorder="1" applyAlignment="1">
      <alignment horizontal="center" vertical="center" wrapText="1"/>
    </xf>
    <xf numFmtId="3" fontId="6" fillId="12" borderId="22" xfId="0" applyNumberFormat="1" applyFont="1" applyFill="1" applyBorder="1" applyAlignment="1">
      <alignment horizontal="center" vertical="center" wrapText="1"/>
    </xf>
    <xf numFmtId="172" fontId="6" fillId="4" borderId="19" xfId="0" applyNumberFormat="1" applyFont="1" applyFill="1" applyBorder="1" applyAlignment="1">
      <alignment horizontal="center" vertical="center" textRotation="90" wrapText="1"/>
    </xf>
    <xf numFmtId="172" fontId="6" fillId="4" borderId="23" xfId="0" applyNumberFormat="1" applyFont="1" applyFill="1" applyBorder="1" applyAlignment="1">
      <alignment horizontal="center" vertical="center" textRotation="90" wrapText="1"/>
    </xf>
    <xf numFmtId="172" fontId="6" fillId="12" borderId="19" xfId="0" applyNumberFormat="1" applyFont="1" applyFill="1" applyBorder="1" applyAlignment="1">
      <alignment horizontal="center" vertical="center" wrapText="1"/>
    </xf>
    <xf numFmtId="172" fontId="6" fillId="12" borderId="23" xfId="0" applyNumberFormat="1" applyFont="1" applyFill="1" applyBorder="1" applyAlignment="1">
      <alignment horizontal="center" vertical="center" wrapText="1"/>
    </xf>
    <xf numFmtId="3" fontId="7" fillId="4" borderId="14" xfId="0" applyNumberFormat="1" applyFont="1" applyFill="1" applyBorder="1" applyAlignment="1">
      <alignment horizontal="center" vertical="center" wrapText="1"/>
    </xf>
    <xf numFmtId="3" fontId="7" fillId="4" borderId="15" xfId="0" applyNumberFormat="1"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9" xfId="0" applyFont="1" applyFill="1" applyBorder="1" applyAlignment="1">
      <alignment horizontal="center" vertical="center" wrapText="1"/>
    </xf>
    <xf numFmtId="0" fontId="7" fillId="4" borderId="11" xfId="0" applyFont="1" applyFill="1" applyBorder="1" applyAlignment="1">
      <alignment horizontal="center" vertical="center" wrapText="1"/>
    </xf>
    <xf numFmtId="170" fontId="6" fillId="12" borderId="20" xfId="0" applyNumberFormat="1" applyFont="1" applyFill="1" applyBorder="1" applyAlignment="1">
      <alignment horizontal="center" vertical="center" wrapText="1"/>
    </xf>
    <xf numFmtId="170" fontId="6" fillId="12" borderId="22" xfId="0" applyNumberFormat="1" applyFont="1" applyFill="1" applyBorder="1" applyAlignment="1">
      <alignment horizontal="center" vertical="center" wrapText="1"/>
    </xf>
    <xf numFmtId="0" fontId="6" fillId="12" borderId="51" xfId="0" applyFont="1" applyFill="1" applyBorder="1" applyAlignment="1">
      <alignment horizontal="center" vertical="center" wrapText="1"/>
    </xf>
    <xf numFmtId="41" fontId="6" fillId="12" borderId="51" xfId="7" applyFont="1" applyFill="1" applyBorder="1" applyAlignment="1">
      <alignment horizontal="right" vertical="center" wrapText="1"/>
    </xf>
    <xf numFmtId="171" fontId="6" fillId="12" borderId="20" xfId="0" applyNumberFormat="1" applyFont="1" applyFill="1" applyBorder="1" applyAlignment="1">
      <alignment horizontal="center" vertical="center" wrapText="1"/>
    </xf>
    <xf numFmtId="171" fontId="6" fillId="12" borderId="22" xfId="0" applyNumberFormat="1" applyFont="1" applyFill="1" applyBorder="1" applyAlignment="1">
      <alignment horizontal="center" vertical="center" wrapText="1"/>
    </xf>
    <xf numFmtId="0" fontId="6" fillId="12" borderId="21" xfId="0" applyFont="1" applyFill="1" applyBorder="1" applyAlignment="1">
      <alignment horizontal="center" vertical="center" wrapText="1"/>
    </xf>
    <xf numFmtId="0" fontId="6" fillId="16" borderId="15" xfId="0" applyFont="1" applyFill="1" applyBorder="1" applyAlignment="1">
      <alignment horizontal="left" vertical="center"/>
    </xf>
    <xf numFmtId="0" fontId="6" fillId="17" borderId="15" xfId="0" applyFont="1" applyFill="1" applyBorder="1" applyAlignment="1">
      <alignment horizontal="left" vertical="center"/>
    </xf>
    <xf numFmtId="0" fontId="4" fillId="0" borderId="0" xfId="0" applyFont="1" applyAlignment="1">
      <alignment horizontal="justify" vertical="center" wrapText="1"/>
    </xf>
    <xf numFmtId="0" fontId="24" fillId="6" borderId="69" xfId="0" applyFont="1" applyFill="1" applyBorder="1" applyAlignment="1" applyProtection="1">
      <alignment horizontal="justify" vertical="center" wrapText="1"/>
      <protection locked="0"/>
    </xf>
    <xf numFmtId="0" fontId="24" fillId="6" borderId="74" xfId="0" applyFont="1" applyFill="1" applyBorder="1" applyAlignment="1" applyProtection="1">
      <alignment horizontal="justify" vertical="center" wrapText="1"/>
      <protection locked="0"/>
    </xf>
    <xf numFmtId="0" fontId="24" fillId="6" borderId="70" xfId="0" applyFont="1" applyFill="1" applyBorder="1" applyAlignment="1" applyProtection="1">
      <alignment horizontal="justify" vertical="center" wrapText="1"/>
      <protection locked="0"/>
    </xf>
    <xf numFmtId="0" fontId="24" fillId="6" borderId="29" xfId="0" applyFont="1" applyFill="1" applyBorder="1" applyAlignment="1" applyProtection="1">
      <alignment horizontal="justify" vertical="center" wrapText="1"/>
      <protection locked="0"/>
    </xf>
    <xf numFmtId="1" fontId="24" fillId="0" borderId="22" xfId="0" applyNumberFormat="1" applyFont="1" applyBorder="1" applyAlignment="1">
      <alignment horizontal="center" vertical="center"/>
    </xf>
    <xf numFmtId="1" fontId="24" fillId="0" borderId="29" xfId="0" applyNumberFormat="1" applyFont="1" applyBorder="1" applyAlignment="1">
      <alignment horizontal="center" vertical="center"/>
    </xf>
    <xf numFmtId="0" fontId="6" fillId="12" borderId="27" xfId="0" applyFont="1" applyFill="1" applyBorder="1" applyAlignment="1">
      <alignment horizontal="center" vertical="center" wrapText="1"/>
    </xf>
    <xf numFmtId="3" fontId="4" fillId="0" borderId="22" xfId="0" applyNumberFormat="1" applyFont="1" applyBorder="1" applyAlignment="1">
      <alignment horizontal="center" vertical="center"/>
    </xf>
    <xf numFmtId="3" fontId="4" fillId="0" borderId="27" xfId="0" applyNumberFormat="1" applyFont="1" applyBorder="1" applyAlignment="1">
      <alignment horizontal="center" vertical="center"/>
    </xf>
    <xf numFmtId="10" fontId="0" fillId="0" borderId="6" xfId="0" applyNumberFormat="1" applyBorder="1" applyAlignment="1">
      <alignment horizontal="center" vertical="center"/>
    </xf>
    <xf numFmtId="0" fontId="4" fillId="0" borderId="19"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21" xfId="0" applyFont="1" applyFill="1" applyBorder="1" applyAlignment="1">
      <alignment horizontal="justify" vertical="center" wrapText="1"/>
    </xf>
    <xf numFmtId="43" fontId="46" fillId="0" borderId="6" xfId="1" applyFont="1" applyBorder="1" applyAlignment="1">
      <alignment vertical="center"/>
    </xf>
    <xf numFmtId="1" fontId="6" fillId="12" borderId="12" xfId="0" applyNumberFormat="1" applyFont="1" applyFill="1" applyBorder="1" applyAlignment="1">
      <alignment horizontal="center" vertical="center" wrapText="1"/>
    </xf>
    <xf numFmtId="1" fontId="6" fillId="12" borderId="13"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1" fontId="6" fillId="12" borderId="35" xfId="0" applyNumberFormat="1" applyFont="1" applyFill="1" applyBorder="1" applyAlignment="1">
      <alignment horizontal="center" vertical="center" wrapText="1"/>
    </xf>
    <xf numFmtId="1" fontId="6" fillId="12" borderId="37" xfId="0" applyNumberFormat="1" applyFont="1" applyFill="1" applyBorder="1" applyAlignment="1">
      <alignment horizontal="center" vertical="center" wrapText="1"/>
    </xf>
    <xf numFmtId="0" fontId="7" fillId="4" borderId="19" xfId="0" applyFont="1" applyFill="1" applyBorder="1" applyAlignment="1">
      <alignment horizontal="center" vertical="center" textRotation="90" wrapText="1"/>
    </xf>
    <xf numFmtId="0" fontId="7" fillId="4" borderId="21" xfId="0" applyFont="1" applyFill="1" applyBorder="1" applyAlignment="1">
      <alignment horizontal="center" vertical="center" textRotation="90" wrapText="1"/>
    </xf>
    <xf numFmtId="172" fontId="6" fillId="12" borderId="6" xfId="0" applyNumberFormat="1" applyFont="1" applyFill="1" applyBorder="1" applyAlignment="1">
      <alignment horizontal="center" vertical="center" wrapText="1"/>
    </xf>
    <xf numFmtId="3" fontId="6" fillId="12" borderId="36" xfId="0" applyNumberFormat="1" applyFont="1" applyFill="1" applyBorder="1" applyAlignment="1">
      <alignment horizontal="center" vertical="center" wrapText="1"/>
    </xf>
    <xf numFmtId="3" fontId="6" fillId="12" borderId="24" xfId="0" applyNumberFormat="1" applyFont="1" applyFill="1" applyBorder="1" applyAlignment="1">
      <alignment horizontal="center" vertical="center" wrapText="1"/>
    </xf>
    <xf numFmtId="167" fontId="47" fillId="12" borderId="6" xfId="0" applyNumberFormat="1" applyFont="1" applyFill="1" applyBorder="1" applyAlignment="1">
      <alignment horizontal="center" vertical="center" wrapText="1"/>
    </xf>
    <xf numFmtId="170" fontId="6" fillId="12" borderId="19" xfId="0" applyNumberFormat="1" applyFont="1" applyFill="1" applyBorder="1" applyAlignment="1">
      <alignment horizontal="center" vertical="center" wrapText="1"/>
    </xf>
    <xf numFmtId="170" fontId="6" fillId="12" borderId="23"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43" fontId="0" fillId="0" borderId="6" xfId="1" applyFont="1" applyBorder="1" applyAlignment="1">
      <alignment horizontal="center" vertical="center"/>
    </xf>
    <xf numFmtId="169" fontId="4" fillId="0" borderId="20" xfId="0" applyNumberFormat="1" applyFont="1" applyBorder="1" applyAlignment="1" applyProtection="1">
      <alignment horizontal="center" vertical="center" wrapText="1"/>
      <protection locked="0"/>
    </xf>
    <xf numFmtId="169" fontId="4" fillId="0" borderId="22" xfId="0" applyNumberFormat="1" applyFont="1" applyBorder="1" applyAlignment="1" applyProtection="1">
      <alignment horizontal="center" vertical="center" wrapText="1"/>
      <protection locked="0"/>
    </xf>
    <xf numFmtId="169" fontId="4" fillId="0" borderId="27" xfId="0" applyNumberFormat="1" applyFont="1" applyBorder="1" applyAlignment="1" applyProtection="1">
      <alignment horizontal="center" vertical="center" wrapText="1"/>
      <protection locked="0"/>
    </xf>
    <xf numFmtId="3" fontId="4" fillId="0" borderId="7" xfId="0" applyNumberFormat="1" applyFont="1" applyBorder="1" applyAlignment="1">
      <alignment horizontal="center" vertical="center" wrapText="1"/>
    </xf>
    <xf numFmtId="0" fontId="4" fillId="0" borderId="14" xfId="0" applyFont="1" applyFill="1" applyBorder="1" applyAlignment="1">
      <alignment horizontal="justify" vertical="center" wrapText="1"/>
    </xf>
    <xf numFmtId="3" fontId="4" fillId="0" borderId="12" xfId="0" applyNumberFormat="1" applyFont="1" applyBorder="1" applyAlignment="1">
      <alignment horizontal="center" vertical="center"/>
    </xf>
    <xf numFmtId="3" fontId="4" fillId="0" borderId="25" xfId="0" applyNumberFormat="1" applyFont="1" applyBorder="1" applyAlignment="1">
      <alignment horizontal="center" vertical="center"/>
    </xf>
    <xf numFmtId="0" fontId="4" fillId="0" borderId="52" xfId="11" applyNumberFormat="1"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79" xfId="0" applyFont="1" applyFill="1" applyBorder="1" applyAlignment="1">
      <alignment horizontal="center" vertical="center" wrapText="1"/>
    </xf>
    <xf numFmtId="169" fontId="4" fillId="0" borderId="6" xfId="0" applyNumberFormat="1" applyFont="1" applyBorder="1" applyAlignment="1" applyProtection="1">
      <alignment horizontal="center" vertical="center" wrapText="1"/>
      <protection locked="0"/>
    </xf>
    <xf numFmtId="3" fontId="4" fillId="0" borderId="26" xfId="0" applyNumberFormat="1" applyFont="1" applyBorder="1" applyAlignment="1">
      <alignment horizontal="center" vertical="center" wrapText="1"/>
    </xf>
    <xf numFmtId="0" fontId="6" fillId="0" borderId="0" xfId="0" applyFont="1" applyBorder="1" applyAlignment="1">
      <alignment horizontal="center" vertical="center"/>
    </xf>
    <xf numFmtId="171" fontId="6" fillId="0" borderId="0" xfId="0" applyNumberFormat="1" applyFont="1" applyBorder="1" applyAlignment="1">
      <alignment horizontal="justify" vertical="center"/>
    </xf>
    <xf numFmtId="0" fontId="6" fillId="0" borderId="0" xfId="0" applyFont="1" applyBorder="1" applyAlignment="1">
      <alignment horizontal="justify"/>
    </xf>
    <xf numFmtId="3" fontId="8" fillId="6" borderId="20" xfId="0" applyNumberFormat="1" applyFont="1" applyFill="1" applyBorder="1" applyAlignment="1">
      <alignment horizontal="center" vertical="center" wrapText="1"/>
    </xf>
    <xf numFmtId="3" fontId="8" fillId="6" borderId="22" xfId="0" applyNumberFormat="1" applyFont="1" applyFill="1" applyBorder="1" applyAlignment="1">
      <alignment horizontal="center" vertical="center" wrapText="1"/>
    </xf>
    <xf numFmtId="43" fontId="0" fillId="0" borderId="20" xfId="1" applyFont="1" applyBorder="1" applyAlignment="1">
      <alignment horizontal="center" vertical="center"/>
    </xf>
    <xf numFmtId="0" fontId="4" fillId="0" borderId="0" xfId="0" applyFont="1" applyBorder="1" applyAlignment="1">
      <alignment horizontal="justify"/>
    </xf>
    <xf numFmtId="0" fontId="4" fillId="0" borderId="20" xfId="0" applyFont="1" applyBorder="1" applyAlignment="1">
      <alignment horizontal="left" vertical="center" wrapText="1"/>
    </xf>
    <xf numFmtId="0" fontId="4" fillId="0" borderId="27" xfId="0" applyFont="1" applyBorder="1" applyAlignment="1">
      <alignment horizontal="left" vertical="center" wrapText="1"/>
    </xf>
    <xf numFmtId="0" fontId="16" fillId="0" borderId="19" xfId="0" applyFont="1" applyFill="1" applyBorder="1" applyAlignment="1">
      <alignment horizontal="justify" vertical="center" wrapText="1" readingOrder="2"/>
    </xf>
    <xf numFmtId="0" fontId="16" fillId="0" borderId="21" xfId="0" applyFont="1" applyFill="1" applyBorder="1" applyAlignment="1">
      <alignment horizontal="justify" vertical="center" wrapText="1" readingOrder="2"/>
    </xf>
    <xf numFmtId="169" fontId="4" fillId="0" borderId="6" xfId="0" applyNumberFormat="1" applyFont="1" applyBorder="1" applyAlignment="1">
      <alignment horizontal="center" vertical="center" wrapText="1"/>
    </xf>
    <xf numFmtId="169" fontId="4" fillId="0" borderId="20" xfId="0" applyNumberFormat="1" applyFont="1" applyBorder="1" applyAlignment="1">
      <alignment horizontal="center" vertical="center" wrapText="1"/>
    </xf>
    <xf numFmtId="169" fontId="4" fillId="0" borderId="22" xfId="0" applyNumberFormat="1" applyFont="1" applyBorder="1" applyAlignment="1">
      <alignment horizontal="center" vertical="center" wrapText="1"/>
    </xf>
    <xf numFmtId="169" fontId="4" fillId="0" borderId="27" xfId="0" applyNumberFormat="1" applyFont="1" applyBorder="1" applyAlignment="1">
      <alignment horizontal="center" vertical="center" wrapText="1"/>
    </xf>
    <xf numFmtId="3" fontId="8" fillId="6" borderId="12" xfId="0" applyNumberFormat="1" applyFont="1" applyFill="1" applyBorder="1" applyAlignment="1">
      <alignment horizontal="center" vertical="center" wrapText="1"/>
    </xf>
    <xf numFmtId="3" fontId="8" fillId="6" borderId="25" xfId="0" applyNumberFormat="1" applyFont="1" applyFill="1" applyBorder="1" applyAlignment="1">
      <alignment horizontal="center" vertical="center" wrapText="1"/>
    </xf>
    <xf numFmtId="0" fontId="10" fillId="0" borderId="20" xfId="0" applyFont="1" applyBorder="1" applyAlignment="1">
      <alignment horizontal="justify" vertical="center" wrapText="1"/>
    </xf>
    <xf numFmtId="0" fontId="10" fillId="0" borderId="29"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23" xfId="0" applyFont="1" applyBorder="1" applyAlignment="1">
      <alignment horizontal="justify" vertical="center" wrapText="1"/>
    </xf>
    <xf numFmtId="10" fontId="0" fillId="0" borderId="20" xfId="0" applyNumberFormat="1" applyBorder="1" applyAlignment="1">
      <alignment horizontal="center" vertical="center"/>
    </xf>
    <xf numFmtId="167" fontId="4" fillId="0" borderId="30" xfId="0" applyNumberFormat="1" applyFont="1" applyBorder="1" applyAlignment="1">
      <alignment horizontal="center" vertical="center"/>
    </xf>
    <xf numFmtId="167" fontId="4" fillId="0" borderId="31" xfId="0" applyNumberFormat="1" applyFont="1" applyBorder="1" applyAlignment="1">
      <alignment horizontal="center" vertical="center"/>
    </xf>
    <xf numFmtId="167" fontId="4" fillId="0" borderId="33" xfId="0" applyNumberFormat="1" applyFont="1" applyBorder="1" applyAlignment="1">
      <alignment horizontal="center" vertical="center"/>
    </xf>
    <xf numFmtId="0" fontId="8" fillId="0" borderId="59" xfId="0" applyFont="1" applyBorder="1" applyAlignment="1">
      <alignment horizontal="justify" vertical="center" wrapText="1"/>
    </xf>
    <xf numFmtId="0" fontId="8" fillId="0" borderId="68" xfId="0" applyFont="1" applyBorder="1" applyAlignment="1">
      <alignment horizontal="justify" vertical="center" wrapText="1"/>
    </xf>
    <xf numFmtId="0" fontId="8" fillId="6" borderId="6" xfId="0" applyFont="1" applyFill="1" applyBorder="1" applyAlignment="1">
      <alignment horizontal="justify" vertical="center" wrapText="1"/>
    </xf>
    <xf numFmtId="0" fontId="8" fillId="6" borderId="19"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20" xfId="0" applyFont="1" applyFill="1" applyBorder="1" applyAlignment="1">
      <alignment horizontal="justify" vertical="center" wrapText="1"/>
    </xf>
    <xf numFmtId="0" fontId="8" fillId="6" borderId="22" xfId="0" applyFont="1" applyFill="1" applyBorder="1" applyAlignment="1">
      <alignment horizontal="justify" vertical="center" wrapText="1"/>
    </xf>
    <xf numFmtId="0" fontId="8" fillId="6" borderId="19" xfId="0" applyFont="1" applyFill="1" applyBorder="1" applyAlignment="1">
      <alignment horizontal="justify" vertical="center" wrapText="1"/>
    </xf>
    <xf numFmtId="0" fontId="8" fillId="6" borderId="23" xfId="0" applyFont="1" applyFill="1" applyBorder="1" applyAlignment="1">
      <alignment horizontal="justify" vertical="center" wrapText="1"/>
    </xf>
    <xf numFmtId="0" fontId="4" fillId="6" borderId="6" xfId="0" applyFont="1" applyFill="1" applyBorder="1" applyAlignment="1">
      <alignment horizontal="center" vertical="center" wrapText="1"/>
    </xf>
    <xf numFmtId="171" fontId="4" fillId="6" borderId="6" xfId="0" applyNumberFormat="1" applyFont="1" applyFill="1" applyBorder="1" applyAlignment="1">
      <alignment horizontal="center" vertical="center" wrapText="1"/>
    </xf>
    <xf numFmtId="9" fontId="0" fillId="0" borderId="6" xfId="0" applyNumberFormat="1" applyBorder="1" applyAlignment="1">
      <alignment horizontal="center" vertical="center"/>
    </xf>
    <xf numFmtId="0" fontId="4" fillId="6" borderId="6" xfId="0" applyFont="1" applyFill="1" applyBorder="1" applyAlignment="1">
      <alignment horizontal="justify" vertical="center" wrapText="1"/>
    </xf>
    <xf numFmtId="0" fontId="8" fillId="6" borderId="6"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20" xfId="0" applyFont="1" applyFill="1" applyBorder="1" applyAlignment="1">
      <alignment horizontal="center" vertical="center" wrapText="1"/>
    </xf>
    <xf numFmtId="3" fontId="31" fillId="4" borderId="6" xfId="0" applyNumberFormat="1" applyFont="1" applyFill="1" applyBorder="1" applyAlignment="1">
      <alignment horizontal="center" vertical="center" wrapText="1"/>
    </xf>
    <xf numFmtId="3" fontId="4" fillId="6" borderId="20" xfId="0" applyNumberFormat="1" applyFont="1" applyFill="1" applyBorder="1" applyAlignment="1">
      <alignment horizontal="left" vertical="center" wrapText="1"/>
    </xf>
    <xf numFmtId="3" fontId="4" fillId="6" borderId="27" xfId="0" applyNumberFormat="1" applyFont="1" applyFill="1" applyBorder="1" applyAlignment="1">
      <alignment horizontal="left" vertical="center" wrapText="1"/>
    </xf>
    <xf numFmtId="0" fontId="4" fillId="6" borderId="20"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3" fillId="12" borderId="20" xfId="0" applyFont="1" applyFill="1" applyBorder="1" applyAlignment="1">
      <alignment horizontal="center" vertical="center" wrapText="1"/>
    </xf>
    <xf numFmtId="0" fontId="23" fillId="12" borderId="22" xfId="0" applyFont="1" applyFill="1" applyBorder="1" applyAlignment="1">
      <alignment horizontal="center" vertical="center" wrapText="1"/>
    </xf>
    <xf numFmtId="171" fontId="4" fillId="6" borderId="20" xfId="0" applyNumberFormat="1" applyFont="1" applyFill="1" applyBorder="1" applyAlignment="1">
      <alignment horizontal="center" vertical="center" wrapText="1"/>
    </xf>
    <xf numFmtId="171" fontId="4" fillId="6" borderId="27" xfId="0" applyNumberFormat="1" applyFont="1" applyFill="1" applyBorder="1" applyAlignment="1">
      <alignment horizontal="center" vertical="center" wrapText="1"/>
    </xf>
    <xf numFmtId="1" fontId="23" fillId="12" borderId="20" xfId="0" applyNumberFormat="1" applyFont="1" applyFill="1" applyBorder="1" applyAlignment="1">
      <alignment horizontal="center" vertical="center" wrapText="1"/>
    </xf>
    <xf numFmtId="1" fontId="23" fillId="12" borderId="27" xfId="0" applyNumberFormat="1" applyFont="1" applyFill="1" applyBorder="1" applyAlignment="1">
      <alignment horizontal="center" vertical="center" wrapText="1"/>
    </xf>
    <xf numFmtId="3" fontId="25" fillId="0" borderId="6" xfId="0" applyNumberFormat="1" applyFont="1" applyBorder="1" applyAlignment="1">
      <alignment horizontal="center" vertical="center"/>
    </xf>
    <xf numFmtId="0" fontId="23" fillId="0" borderId="21" xfId="0" applyFont="1" applyBorder="1" applyAlignment="1">
      <alignment horizontal="center" vertical="center"/>
    </xf>
    <xf numFmtId="0" fontId="23" fillId="0" borderId="9" xfId="0" applyFont="1" applyBorder="1" applyAlignment="1">
      <alignment horizontal="center" vertical="center"/>
    </xf>
    <xf numFmtId="0" fontId="23" fillId="0" borderId="13" xfId="0" applyFont="1" applyBorder="1" applyAlignment="1">
      <alignment horizontal="center" vertical="center"/>
    </xf>
    <xf numFmtId="0" fontId="31" fillId="4" borderId="6" xfId="0" applyFont="1" applyFill="1" applyBorder="1" applyAlignment="1">
      <alignment horizontal="center" vertical="center" wrapText="1"/>
    </xf>
    <xf numFmtId="3" fontId="22" fillId="6" borderId="7" xfId="0" applyNumberFormat="1" applyFont="1" applyFill="1" applyBorder="1" applyAlignment="1">
      <alignment horizontal="center" vertical="center" wrapText="1"/>
    </xf>
    <xf numFmtId="14" fontId="25" fillId="0" borderId="6" xfId="0" applyNumberFormat="1" applyFont="1" applyBorder="1" applyAlignment="1">
      <alignment horizontal="center" vertical="center"/>
    </xf>
    <xf numFmtId="0" fontId="31" fillId="4" borderId="14" xfId="0" applyFont="1" applyFill="1" applyBorder="1" applyAlignment="1">
      <alignment horizontal="center" vertical="center"/>
    </xf>
    <xf numFmtId="0" fontId="31" fillId="4" borderId="15" xfId="0" applyFont="1" applyFill="1" applyBorder="1" applyAlignment="1">
      <alignment horizontal="center" vertical="center"/>
    </xf>
    <xf numFmtId="0" fontId="31" fillId="4" borderId="16" xfId="0" applyFont="1" applyFill="1" applyBorder="1" applyAlignment="1">
      <alignment horizontal="center" vertical="center"/>
    </xf>
    <xf numFmtId="172" fontId="23" fillId="12" borderId="19" xfId="0" applyNumberFormat="1" applyFont="1" applyFill="1" applyBorder="1" applyAlignment="1">
      <alignment horizontal="center" vertical="center" wrapText="1"/>
    </xf>
    <xf numFmtId="172" fontId="23" fillId="12" borderId="23" xfId="0" applyNumberFormat="1" applyFont="1" applyFill="1" applyBorder="1" applyAlignment="1">
      <alignment horizontal="center" vertical="center" wrapText="1"/>
    </xf>
    <xf numFmtId="3" fontId="4" fillId="0" borderId="20" xfId="12" applyNumberFormat="1" applyFont="1" applyBorder="1" applyAlignment="1">
      <alignment horizontal="center" vertical="center"/>
    </xf>
    <xf numFmtId="3" fontId="4" fillId="0" borderId="22" xfId="12" applyNumberFormat="1" applyFont="1" applyBorder="1" applyAlignment="1">
      <alignment horizontal="center" vertical="center"/>
    </xf>
    <xf numFmtId="173" fontId="8" fillId="0" borderId="20" xfId="0" applyNumberFormat="1" applyFont="1" applyBorder="1" applyAlignment="1">
      <alignment horizontal="center" vertical="center" wrapText="1"/>
    </xf>
    <xf numFmtId="173" fontId="8" fillId="0" borderId="2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8"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1" fontId="23" fillId="12" borderId="35" xfId="0" applyNumberFormat="1" applyFont="1" applyFill="1" applyBorder="1" applyAlignment="1">
      <alignment horizontal="center" vertical="center" wrapText="1"/>
    </xf>
    <xf numFmtId="1" fontId="23" fillId="12" borderId="37" xfId="0" applyNumberFormat="1" applyFont="1" applyFill="1" applyBorder="1" applyAlignment="1">
      <alignment horizontal="center" vertical="center" wrapText="1"/>
    </xf>
    <xf numFmtId="0" fontId="23" fillId="12" borderId="19" xfId="0" applyFont="1" applyFill="1" applyBorder="1" applyAlignment="1">
      <alignment horizontal="center" vertical="center" wrapText="1"/>
    </xf>
    <xf numFmtId="0" fontId="23" fillId="12" borderId="12" xfId="0" applyFont="1" applyFill="1" applyBorder="1" applyAlignment="1">
      <alignment horizontal="center" vertical="center" wrapText="1"/>
    </xf>
    <xf numFmtId="0" fontId="23" fillId="12" borderId="23" xfId="0" applyFont="1" applyFill="1" applyBorder="1" applyAlignment="1">
      <alignment horizontal="center" vertical="center" wrapText="1"/>
    </xf>
    <xf numFmtId="0" fontId="23" fillId="12" borderId="25" xfId="0" applyFont="1" applyFill="1" applyBorder="1" applyAlignment="1">
      <alignment horizontal="center" vertical="center" wrapText="1"/>
    </xf>
    <xf numFmtId="170" fontId="23" fillId="12" borderId="19" xfId="0" applyNumberFormat="1" applyFont="1" applyFill="1" applyBorder="1" applyAlignment="1">
      <alignment horizontal="center" vertical="center" wrapText="1"/>
    </xf>
    <xf numFmtId="170" fontId="23" fillId="12" borderId="23" xfId="0" applyNumberFormat="1" applyFont="1" applyFill="1" applyBorder="1" applyAlignment="1">
      <alignment horizontal="center" vertical="center" wrapText="1"/>
    </xf>
    <xf numFmtId="171" fontId="23" fillId="12" borderId="19" xfId="0" applyNumberFormat="1" applyFont="1" applyFill="1" applyBorder="1" applyAlignment="1">
      <alignment horizontal="center" vertical="center" wrapText="1"/>
    </xf>
    <xf numFmtId="171" fontId="23" fillId="12" borderId="23" xfId="0" applyNumberFormat="1" applyFont="1" applyFill="1" applyBorder="1" applyAlignment="1">
      <alignment horizontal="center" vertical="center" wrapText="1"/>
    </xf>
    <xf numFmtId="3" fontId="23" fillId="12" borderId="26" xfId="0" applyNumberFormat="1" applyFont="1" applyFill="1" applyBorder="1" applyAlignment="1">
      <alignment horizontal="center" vertical="center" wrapText="1"/>
    </xf>
    <xf numFmtId="3" fontId="23" fillId="12" borderId="28" xfId="0" applyNumberFormat="1" applyFont="1" applyFill="1" applyBorder="1" applyAlignment="1">
      <alignment horizontal="center" vertical="center" wrapText="1"/>
    </xf>
    <xf numFmtId="3" fontId="4" fillId="0" borderId="12" xfId="12" applyNumberFormat="1" applyFont="1" applyBorder="1" applyAlignment="1">
      <alignment horizontal="center" vertical="center"/>
    </xf>
    <xf numFmtId="3" fontId="4" fillId="0" borderId="25" xfId="12" applyNumberFormat="1" applyFont="1" applyBorder="1" applyAlignment="1">
      <alignment horizontal="center" vertical="center"/>
    </xf>
    <xf numFmtId="1" fontId="23" fillId="6" borderId="18" xfId="0" applyNumberFormat="1" applyFont="1" applyFill="1" applyBorder="1" applyAlignment="1">
      <alignment horizontal="center" vertical="center" wrapText="1"/>
    </xf>
    <xf numFmtId="1" fontId="23" fillId="6" borderId="6" xfId="0" applyNumberFormat="1" applyFont="1" applyFill="1" applyBorder="1" applyAlignment="1">
      <alignment horizontal="center" vertical="center" wrapText="1"/>
    </xf>
    <xf numFmtId="0" fontId="23" fillId="6"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0" fontId="8" fillId="6" borderId="18" xfId="0" applyFont="1" applyFill="1" applyBorder="1" applyAlignment="1">
      <alignment horizontal="center" vertical="center" wrapText="1"/>
    </xf>
    <xf numFmtId="0" fontId="7" fillId="14" borderId="15" xfId="0" applyFont="1" applyFill="1" applyBorder="1" applyAlignment="1">
      <alignment horizontal="left" vertical="center"/>
    </xf>
    <xf numFmtId="0" fontId="8" fillId="6" borderId="12" xfId="0" applyFont="1" applyFill="1" applyBorder="1" applyAlignment="1">
      <alignment horizontal="center" vertical="center" wrapText="1"/>
    </xf>
    <xf numFmtId="0" fontId="8" fillId="6" borderId="25" xfId="0" applyFont="1" applyFill="1" applyBorder="1" applyAlignment="1">
      <alignment horizontal="center" vertical="center" wrapText="1"/>
    </xf>
    <xf numFmtId="1" fontId="8" fillId="6" borderId="20" xfId="0" applyNumberFormat="1" applyFont="1" applyFill="1" applyBorder="1" applyAlignment="1">
      <alignment horizontal="center" vertical="center" wrapText="1"/>
    </xf>
    <xf numFmtId="1" fontId="8" fillId="6" borderId="22" xfId="0" applyNumberFormat="1" applyFont="1" applyFill="1" applyBorder="1" applyAlignment="1">
      <alignment horizontal="center" vertical="center" wrapText="1"/>
    </xf>
    <xf numFmtId="0" fontId="8" fillId="6" borderId="22" xfId="0" applyFont="1" applyFill="1" applyBorder="1" applyAlignment="1">
      <alignment horizontal="center" vertical="center" wrapText="1"/>
    </xf>
    <xf numFmtId="3" fontId="8" fillId="6" borderId="26" xfId="0" applyNumberFormat="1" applyFont="1" applyFill="1" applyBorder="1" applyAlignment="1">
      <alignment horizontal="center" vertical="center" wrapText="1"/>
    </xf>
    <xf numFmtId="3" fontId="8" fillId="6" borderId="28" xfId="0" applyNumberFormat="1" applyFont="1" applyFill="1" applyBorder="1" applyAlignment="1">
      <alignment horizontal="center" vertical="center" wrapText="1"/>
    </xf>
    <xf numFmtId="0" fontId="8" fillId="0" borderId="75"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3" fontId="8" fillId="0" borderId="20" xfId="0" applyNumberFormat="1" applyFont="1" applyBorder="1" applyAlignment="1">
      <alignment horizontal="center" vertical="center" wrapText="1"/>
    </xf>
    <xf numFmtId="3" fontId="8" fillId="0" borderId="22" xfId="0" applyNumberFormat="1" applyFont="1" applyBorder="1" applyAlignment="1">
      <alignment horizontal="center" vertical="center" wrapText="1"/>
    </xf>
    <xf numFmtId="3" fontId="8" fillId="0" borderId="27" xfId="0" applyNumberFormat="1" applyFont="1" applyBorder="1" applyAlignment="1">
      <alignment horizontal="center" vertical="center" wrapText="1"/>
    </xf>
    <xf numFmtId="0" fontId="8" fillId="0" borderId="14" xfId="0" applyFont="1" applyBorder="1" applyAlignment="1">
      <alignment horizontal="justify"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22" xfId="0" applyFont="1" applyBorder="1" applyAlignment="1">
      <alignment horizontal="justify" vertical="center" wrapText="1"/>
    </xf>
    <xf numFmtId="0" fontId="8" fillId="6" borderId="58" xfId="0" applyFont="1" applyFill="1" applyBorder="1" applyAlignment="1">
      <alignment horizontal="justify" vertical="center" wrapText="1"/>
    </xf>
    <xf numFmtId="0" fontId="8" fillId="0" borderId="19" xfId="0" applyFont="1" applyBorder="1" applyAlignment="1">
      <alignment horizontal="justify" vertical="center" wrapText="1"/>
    </xf>
    <xf numFmtId="1" fontId="7" fillId="6" borderId="20" xfId="0" applyNumberFormat="1" applyFont="1" applyFill="1" applyBorder="1" applyAlignment="1">
      <alignment horizontal="center" vertical="center" wrapText="1"/>
    </xf>
    <xf numFmtId="1" fontId="7" fillId="6" borderId="22" xfId="0" applyNumberFormat="1" applyFont="1" applyFill="1" applyBorder="1" applyAlignment="1">
      <alignment horizontal="center" vertical="center" wrapText="1"/>
    </xf>
    <xf numFmtId="1" fontId="7" fillId="6" borderId="27" xfId="0" applyNumberFormat="1" applyFont="1" applyFill="1" applyBorder="1" applyAlignment="1">
      <alignment horizontal="center" vertical="center" wrapText="1"/>
    </xf>
    <xf numFmtId="0" fontId="8" fillId="6" borderId="27" xfId="0" applyFont="1" applyFill="1" applyBorder="1" applyAlignment="1">
      <alignment horizontal="justify" vertical="center" wrapText="1"/>
    </xf>
    <xf numFmtId="0" fontId="8" fillId="6" borderId="27" xfId="0" applyFont="1" applyFill="1" applyBorder="1" applyAlignment="1">
      <alignment horizontal="center" vertical="center" wrapText="1"/>
    </xf>
    <xf numFmtId="3" fontId="8" fillId="0" borderId="25" xfId="0" applyNumberFormat="1" applyFont="1" applyBorder="1" applyAlignment="1">
      <alignment horizontal="center" vertical="center" wrapText="1"/>
    </xf>
    <xf numFmtId="0" fontId="23" fillId="14" borderId="14" xfId="0" applyFont="1" applyFill="1" applyBorder="1" applyAlignment="1">
      <alignment horizontal="center" vertical="center"/>
    </xf>
    <xf numFmtId="0" fontId="23" fillId="14" borderId="16" xfId="0" applyFont="1" applyFill="1" applyBorder="1" applyAlignment="1">
      <alignment horizontal="center" vertical="center"/>
    </xf>
    <xf numFmtId="1" fontId="8" fillId="0" borderId="20" xfId="0" applyNumberFormat="1" applyFont="1" applyBorder="1" applyAlignment="1">
      <alignment horizontal="center" vertical="center" wrapText="1"/>
    </xf>
    <xf numFmtId="1" fontId="8" fillId="0" borderId="22" xfId="0" applyNumberFormat="1" applyFont="1" applyBorder="1" applyAlignment="1">
      <alignment horizontal="center" vertical="center" wrapText="1"/>
    </xf>
    <xf numFmtId="1" fontId="8" fillId="0" borderId="27" xfId="0" applyNumberFormat="1" applyFont="1" applyBorder="1" applyAlignment="1">
      <alignment horizontal="center" vertical="center" wrapText="1"/>
    </xf>
    <xf numFmtId="1" fontId="8" fillId="0" borderId="26" xfId="0" applyNumberFormat="1" applyFont="1" applyBorder="1" applyAlignment="1">
      <alignment horizontal="center" vertical="center" wrapText="1"/>
    </xf>
    <xf numFmtId="1" fontId="8" fillId="0" borderId="28" xfId="0" applyNumberFormat="1" applyFont="1" applyBorder="1" applyAlignment="1">
      <alignment horizontal="center" vertical="center" wrapText="1"/>
    </xf>
    <xf numFmtId="0" fontId="7" fillId="6" borderId="20" xfId="0" applyFont="1" applyFill="1" applyBorder="1" applyAlignment="1">
      <alignment horizontal="center" vertical="center"/>
    </xf>
    <xf numFmtId="0" fontId="7" fillId="6" borderId="22" xfId="0" applyFont="1" applyFill="1" applyBorder="1" applyAlignment="1">
      <alignment horizontal="center" vertical="center"/>
    </xf>
    <xf numFmtId="0" fontId="22" fillId="0" borderId="6" xfId="0" applyFont="1" applyBorder="1" applyAlignment="1">
      <alignment vertical="center"/>
    </xf>
    <xf numFmtId="0" fontId="0" fillId="0" borderId="6" xfId="0" applyBorder="1" applyAlignment="1">
      <alignment vertical="center"/>
    </xf>
    <xf numFmtId="172" fontId="22" fillId="0" borderId="6" xfId="0" applyNumberFormat="1" applyFont="1" applyBorder="1" applyAlignment="1">
      <alignment horizontal="left" vertical="center" wrapText="1"/>
    </xf>
    <xf numFmtId="0" fontId="0" fillId="0" borderId="6" xfId="0" applyBorder="1" applyAlignment="1">
      <alignment horizontal="left" vertical="center"/>
    </xf>
    <xf numFmtId="1" fontId="6" fillId="6" borderId="14" xfId="13" applyNumberFormat="1" applyFont="1" applyFill="1" applyBorder="1" applyAlignment="1">
      <alignment horizontal="center" vertical="center" wrapText="1"/>
    </xf>
    <xf numFmtId="1" fontId="6" fillId="6" borderId="16" xfId="13" applyNumberFormat="1" applyFont="1" applyFill="1" applyBorder="1" applyAlignment="1">
      <alignment horizontal="center" vertical="center" wrapText="1"/>
    </xf>
    <xf numFmtId="0" fontId="23" fillId="0" borderId="14" xfId="0" applyFont="1" applyBorder="1" applyAlignment="1">
      <alignment horizontal="center"/>
    </xf>
    <xf numFmtId="0" fontId="23" fillId="0" borderId="15" xfId="0" applyFont="1" applyBorder="1" applyAlignment="1">
      <alignment horizontal="center"/>
    </xf>
    <xf numFmtId="0" fontId="23" fillId="0" borderId="16" xfId="0" applyFont="1" applyBorder="1" applyAlignment="1">
      <alignment horizontal="center"/>
    </xf>
    <xf numFmtId="0" fontId="39" fillId="6" borderId="14" xfId="0" applyFont="1" applyFill="1" applyBorder="1" applyAlignment="1">
      <alignment horizontal="center"/>
    </xf>
    <xf numFmtId="0" fontId="39" fillId="6" borderId="16" xfId="0" applyFont="1" applyFill="1" applyBorder="1" applyAlignment="1">
      <alignment horizontal="center"/>
    </xf>
    <xf numFmtId="49" fontId="22" fillId="0" borderId="22" xfId="13" applyNumberFormat="1" applyFont="1" applyBorder="1" applyAlignment="1">
      <alignment horizontal="center" vertical="center" wrapText="1"/>
    </xf>
    <xf numFmtId="49" fontId="22" fillId="0" borderId="27" xfId="13" applyNumberFormat="1" applyFont="1" applyBorder="1" applyAlignment="1">
      <alignment horizontal="center" vertical="center" wrapText="1"/>
    </xf>
    <xf numFmtId="178" fontId="22" fillId="6" borderId="22" xfId="13" applyFont="1" applyFill="1" applyBorder="1" applyAlignment="1">
      <alignment horizontal="justify" vertical="center" wrapText="1"/>
    </xf>
    <xf numFmtId="178" fontId="22" fillId="6" borderId="27" xfId="13" applyFont="1" applyFill="1" applyBorder="1" applyAlignment="1">
      <alignment horizontal="justify" vertical="center" wrapText="1"/>
    </xf>
    <xf numFmtId="10" fontId="22" fillId="6" borderId="22" xfId="13" applyNumberFormat="1" applyFont="1" applyFill="1" applyBorder="1" applyAlignment="1">
      <alignment horizontal="center" vertical="center"/>
    </xf>
    <xf numFmtId="10" fontId="22" fillId="6" borderId="27" xfId="13" applyNumberFormat="1" applyFont="1" applyFill="1" applyBorder="1" applyAlignment="1">
      <alignment horizontal="center" vertical="center"/>
    </xf>
    <xf numFmtId="188" fontId="22" fillId="6" borderId="22" xfId="13" applyNumberFormat="1" applyFont="1" applyFill="1" applyBorder="1" applyAlignment="1">
      <alignment horizontal="center" vertical="center"/>
    </xf>
    <xf numFmtId="188" fontId="22" fillId="6" borderId="27" xfId="13" applyNumberFormat="1" applyFont="1" applyFill="1" applyBorder="1" applyAlignment="1">
      <alignment horizontal="center" vertical="center"/>
    </xf>
    <xf numFmtId="3" fontId="22" fillId="0" borderId="6" xfId="0" applyNumberFormat="1" applyFont="1" applyBorder="1" applyAlignment="1">
      <alignment vertical="center"/>
    </xf>
    <xf numFmtId="3" fontId="0" fillId="0" borderId="6" xfId="0" applyNumberFormat="1" applyBorder="1" applyAlignment="1">
      <alignment vertical="center"/>
    </xf>
    <xf numFmtId="3" fontId="22" fillId="0" borderId="22" xfId="13" applyNumberFormat="1" applyFont="1" applyBorder="1" applyAlignment="1">
      <alignment horizontal="center" vertical="center"/>
    </xf>
    <xf numFmtId="3" fontId="22" fillId="0" borderId="27" xfId="13" applyNumberFormat="1" applyFont="1" applyBorder="1" applyAlignment="1">
      <alignment horizontal="center" vertical="center"/>
    </xf>
    <xf numFmtId="3" fontId="22" fillId="6" borderId="22" xfId="13" applyNumberFormat="1" applyFont="1" applyFill="1" applyBorder="1" applyAlignment="1">
      <alignment horizontal="center" vertical="center"/>
    </xf>
    <xf numFmtId="3" fontId="22" fillId="6" borderId="27" xfId="13" applyNumberFormat="1" applyFont="1" applyFill="1" applyBorder="1" applyAlignment="1">
      <alignment horizontal="center" vertical="center"/>
    </xf>
    <xf numFmtId="178" fontId="22" fillId="6" borderId="22" xfId="13" applyFont="1" applyFill="1" applyBorder="1" applyAlignment="1">
      <alignment horizontal="center" vertical="center"/>
    </xf>
    <xf numFmtId="178" fontId="22" fillId="6" borderId="27" xfId="13" applyFont="1" applyFill="1" applyBorder="1" applyAlignment="1">
      <alignment horizontal="center" vertical="center"/>
    </xf>
    <xf numFmtId="178" fontId="22" fillId="6" borderId="23" xfId="13" applyFont="1" applyFill="1" applyBorder="1" applyAlignment="1">
      <alignment horizontal="justify" vertical="center" wrapText="1"/>
    </xf>
    <xf numFmtId="10" fontId="22" fillId="6" borderId="6" xfId="13" applyNumberFormat="1" applyFont="1" applyFill="1" applyBorder="1" applyAlignment="1">
      <alignment horizontal="center" vertical="center"/>
    </xf>
    <xf numFmtId="188" fontId="22" fillId="6" borderId="6" xfId="13" applyNumberFormat="1" applyFont="1" applyFill="1" applyBorder="1" applyAlignment="1">
      <alignment horizontal="center" vertical="center"/>
    </xf>
    <xf numFmtId="0" fontId="22" fillId="6" borderId="6" xfId="13" applyNumberFormat="1" applyFont="1" applyFill="1" applyBorder="1" applyAlignment="1">
      <alignment horizontal="justify" vertical="center" wrapText="1"/>
    </xf>
    <xf numFmtId="0" fontId="22" fillId="0" borderId="16" xfId="0" applyFont="1" applyBorder="1" applyAlignment="1">
      <alignment horizontal="center"/>
    </xf>
    <xf numFmtId="0" fontId="22" fillId="0" borderId="6" xfId="0" applyFont="1" applyBorder="1" applyAlignment="1">
      <alignment horizontal="center"/>
    </xf>
    <xf numFmtId="3" fontId="22" fillId="6" borderId="6" xfId="13" applyNumberFormat="1" applyFont="1" applyFill="1" applyBorder="1" applyAlignment="1">
      <alignment horizontal="center" vertical="center"/>
    </xf>
    <xf numFmtId="178" fontId="22" fillId="6" borderId="6" xfId="13" applyFont="1" applyFill="1" applyBorder="1" applyAlignment="1">
      <alignment horizontal="justify" vertical="center" wrapText="1"/>
    </xf>
    <xf numFmtId="178" fontId="22" fillId="6" borderId="25" xfId="13" applyFont="1" applyFill="1" applyBorder="1" applyAlignment="1">
      <alignment horizontal="center" vertical="center"/>
    </xf>
    <xf numFmtId="0" fontId="22" fillId="6" borderId="22" xfId="13" applyNumberFormat="1" applyFont="1" applyFill="1" applyBorder="1" applyAlignment="1">
      <alignment horizontal="justify" vertical="center" wrapText="1"/>
    </xf>
    <xf numFmtId="0" fontId="22" fillId="6" borderId="27" xfId="13" applyNumberFormat="1" applyFont="1" applyFill="1" applyBorder="1" applyAlignment="1">
      <alignment horizontal="justify" vertical="center" wrapText="1"/>
    </xf>
    <xf numFmtId="0" fontId="22" fillId="6" borderId="23" xfId="13" applyNumberFormat="1" applyFont="1" applyFill="1" applyBorder="1" applyAlignment="1">
      <alignment horizontal="justify" vertical="center" wrapText="1"/>
    </xf>
    <xf numFmtId="0" fontId="22" fillId="6" borderId="21" xfId="13" applyNumberFormat="1" applyFont="1" applyFill="1" applyBorder="1" applyAlignment="1">
      <alignment horizontal="justify" vertical="center" wrapText="1"/>
    </xf>
    <xf numFmtId="187" fontId="22" fillId="6" borderId="20" xfId="13" applyNumberFormat="1" applyFont="1" applyFill="1" applyBorder="1" applyAlignment="1">
      <alignment horizontal="center" vertical="center"/>
    </xf>
    <xf numFmtId="187" fontId="22" fillId="6" borderId="22" xfId="13" applyNumberFormat="1" applyFont="1" applyFill="1" applyBorder="1" applyAlignment="1">
      <alignment horizontal="center" vertical="center"/>
    </xf>
    <xf numFmtId="187" fontId="22" fillId="6" borderId="27" xfId="13" applyNumberFormat="1" applyFont="1" applyFill="1" applyBorder="1" applyAlignment="1">
      <alignment horizontal="center" vertical="center"/>
    </xf>
    <xf numFmtId="0" fontId="30" fillId="0" borderId="20" xfId="0" applyFont="1" applyFill="1" applyBorder="1" applyAlignment="1">
      <alignment horizontal="justify" vertical="center" wrapText="1"/>
    </xf>
    <xf numFmtId="0" fontId="30" fillId="0" borderId="27" xfId="0" applyFont="1" applyFill="1" applyBorder="1" applyAlignment="1">
      <alignment horizontal="justify" vertical="center" wrapText="1"/>
    </xf>
    <xf numFmtId="3" fontId="22" fillId="6" borderId="20" xfId="13" applyNumberFormat="1" applyFont="1" applyFill="1" applyBorder="1" applyAlignment="1">
      <alignment horizontal="center" vertical="center"/>
    </xf>
    <xf numFmtId="0" fontId="22" fillId="6" borderId="14" xfId="13" applyNumberFormat="1" applyFont="1" applyFill="1" applyBorder="1" applyAlignment="1">
      <alignment horizontal="justify" vertical="center" wrapText="1"/>
    </xf>
    <xf numFmtId="178" fontId="22" fillId="6" borderId="25" xfId="13" applyFont="1" applyFill="1" applyBorder="1" applyAlignment="1">
      <alignment horizontal="center" vertical="center" wrapText="1"/>
    </xf>
    <xf numFmtId="10" fontId="22" fillId="6" borderId="20" xfId="13" applyNumberFormat="1" applyFont="1" applyFill="1" applyBorder="1" applyAlignment="1">
      <alignment horizontal="center" vertical="center"/>
    </xf>
    <xf numFmtId="42" fontId="22" fillId="6" borderId="20" xfId="13" applyNumberFormat="1" applyFont="1" applyFill="1" applyBorder="1" applyAlignment="1">
      <alignment horizontal="center" vertical="center"/>
    </xf>
    <xf numFmtId="42" fontId="22" fillId="6" borderId="22" xfId="13" applyNumberFormat="1" applyFont="1" applyFill="1" applyBorder="1" applyAlignment="1">
      <alignment horizontal="center" vertical="center"/>
    </xf>
    <xf numFmtId="42" fontId="22" fillId="6" borderId="27" xfId="13" applyNumberFormat="1" applyFont="1" applyFill="1" applyBorder="1" applyAlignment="1">
      <alignment horizontal="center" vertical="center"/>
    </xf>
    <xf numFmtId="0" fontId="0" fillId="0" borderId="6" xfId="0" applyBorder="1" applyAlignment="1">
      <alignment horizontal="left" vertical="center" wrapText="1"/>
    </xf>
    <xf numFmtId="0" fontId="22" fillId="0" borderId="20" xfId="0" applyFont="1" applyFill="1" applyBorder="1" applyAlignment="1">
      <alignment horizontal="justify" vertical="center" wrapText="1"/>
    </xf>
    <xf numFmtId="0" fontId="22" fillId="0" borderId="27" xfId="0" applyFont="1" applyFill="1" applyBorder="1" applyAlignment="1">
      <alignment horizontal="justify" vertical="center" wrapText="1"/>
    </xf>
    <xf numFmtId="0" fontId="22" fillId="0" borderId="21" xfId="0" applyFont="1" applyFill="1" applyBorder="1" applyAlignment="1">
      <alignment horizontal="justify" vertical="center" wrapText="1"/>
    </xf>
    <xf numFmtId="3" fontId="0" fillId="0" borderId="16" xfId="0" applyNumberFormat="1" applyBorder="1" applyAlignment="1">
      <alignment vertical="center"/>
    </xf>
    <xf numFmtId="1" fontId="23" fillId="6" borderId="11" xfId="13" applyNumberFormat="1" applyFont="1" applyFill="1" applyBorder="1" applyAlignment="1">
      <alignment horizontal="center" vertical="center" wrapText="1"/>
    </xf>
    <xf numFmtId="1" fontId="23" fillId="6" borderId="0" xfId="13" applyNumberFormat="1" applyFont="1" applyFill="1" applyBorder="1" applyAlignment="1">
      <alignment horizontal="center" vertical="center" wrapText="1"/>
    </xf>
    <xf numFmtId="1" fontId="23" fillId="6" borderId="9" xfId="13" applyNumberFormat="1" applyFont="1" applyFill="1" applyBorder="1" applyAlignment="1">
      <alignment horizontal="center" vertical="center" wrapText="1"/>
    </xf>
    <xf numFmtId="1" fontId="23" fillId="6" borderId="12" xfId="13" applyNumberFormat="1" applyFont="1" applyFill="1" applyBorder="1" applyAlignment="1">
      <alignment horizontal="center" vertical="center" wrapText="1"/>
    </xf>
    <xf numFmtId="1" fontId="23" fillId="6" borderId="25" xfId="13" applyNumberFormat="1" applyFont="1" applyFill="1" applyBorder="1" applyAlignment="1">
      <alignment horizontal="center" vertical="center" wrapText="1"/>
    </xf>
    <xf numFmtId="1" fontId="23" fillId="6" borderId="13" xfId="13" applyNumberFormat="1" applyFont="1" applyFill="1" applyBorder="1" applyAlignment="1">
      <alignment horizontal="center" vertical="center" wrapText="1"/>
    </xf>
    <xf numFmtId="1" fontId="23" fillId="6" borderId="20" xfId="13" applyNumberFormat="1" applyFont="1" applyFill="1" applyBorder="1" applyAlignment="1">
      <alignment horizontal="center" vertical="center" wrapText="1"/>
    </xf>
    <xf numFmtId="1" fontId="23" fillId="6" borderId="22" xfId="13" applyNumberFormat="1" applyFont="1" applyFill="1" applyBorder="1" applyAlignment="1">
      <alignment horizontal="center" vertical="center" wrapText="1"/>
    </xf>
    <xf numFmtId="1" fontId="23" fillId="6" borderId="27" xfId="13" applyNumberFormat="1" applyFont="1" applyFill="1" applyBorder="1" applyAlignment="1">
      <alignment horizontal="center" vertical="center" wrapText="1"/>
    </xf>
    <xf numFmtId="178" fontId="22" fillId="6" borderId="6" xfId="13" applyFont="1" applyFill="1" applyBorder="1" applyAlignment="1">
      <alignment horizontal="justify" vertical="center" wrapText="1" shrinkToFit="1"/>
    </xf>
    <xf numFmtId="178" fontId="22" fillId="6" borderId="20" xfId="13" applyFont="1" applyFill="1" applyBorder="1" applyAlignment="1">
      <alignment horizontal="justify" vertical="center" wrapText="1"/>
    </xf>
    <xf numFmtId="178" fontId="22" fillId="6" borderId="20" xfId="13" applyFont="1" applyFill="1" applyBorder="1" applyAlignment="1">
      <alignment horizontal="left" vertical="center" wrapText="1"/>
    </xf>
    <xf numFmtId="178" fontId="22" fillId="6" borderId="22" xfId="13" applyFont="1" applyFill="1" applyBorder="1" applyAlignment="1">
      <alignment horizontal="left" vertical="center" wrapText="1"/>
    </xf>
    <xf numFmtId="178" fontId="22" fillId="6" borderId="27" xfId="13" applyFont="1" applyFill="1" applyBorder="1" applyAlignment="1">
      <alignment horizontal="left" vertical="center" wrapText="1"/>
    </xf>
    <xf numFmtId="3" fontId="22" fillId="0" borderId="20" xfId="13" applyNumberFormat="1" applyFont="1" applyBorder="1" applyAlignment="1">
      <alignment horizontal="center" vertical="center"/>
    </xf>
    <xf numFmtId="178" fontId="22" fillId="0" borderId="20" xfId="13" applyFont="1" applyBorder="1" applyAlignment="1">
      <alignment horizontal="justify" vertical="center" wrapText="1"/>
    </xf>
    <xf numFmtId="178" fontId="22" fillId="0" borderId="27" xfId="13" applyFont="1" applyBorder="1" applyAlignment="1">
      <alignment horizontal="justify" vertical="center" wrapText="1"/>
    </xf>
    <xf numFmtId="178" fontId="24" fillId="0" borderId="20" xfId="13" applyFont="1" applyBorder="1" applyAlignment="1">
      <alignment horizontal="left" vertical="center" wrapText="1"/>
    </xf>
    <xf numFmtId="178" fontId="24" fillId="0" borderId="27" xfId="13" applyFont="1" applyBorder="1" applyAlignment="1">
      <alignment horizontal="left" vertical="center" wrapText="1"/>
    </xf>
    <xf numFmtId="10" fontId="22" fillId="0" borderId="51" xfId="13" applyNumberFormat="1" applyFont="1" applyBorder="1" applyAlignment="1">
      <alignment horizontal="center" vertical="center"/>
    </xf>
    <xf numFmtId="188" fontId="22" fillId="6" borderId="12" xfId="13" applyNumberFormat="1" applyFont="1" applyFill="1" applyBorder="1" applyAlignment="1">
      <alignment horizontal="center" vertical="center"/>
    </xf>
    <xf numFmtId="188" fontId="22" fillId="6" borderId="25" xfId="13" applyNumberFormat="1" applyFont="1" applyFill="1" applyBorder="1" applyAlignment="1">
      <alignment horizontal="center" vertical="center"/>
    </xf>
    <xf numFmtId="188" fontId="22" fillId="6" borderId="13" xfId="13" applyNumberFormat="1" applyFont="1" applyFill="1" applyBorder="1" applyAlignment="1">
      <alignment horizontal="center" vertical="center"/>
    </xf>
    <xf numFmtId="0" fontId="30" fillId="0" borderId="51" xfId="13" applyNumberFormat="1" applyFont="1" applyFill="1" applyBorder="1" applyAlignment="1">
      <alignment horizontal="justify" vertical="center" wrapText="1"/>
    </xf>
    <xf numFmtId="3" fontId="22" fillId="0" borderId="6" xfId="13" applyNumberFormat="1" applyFont="1" applyBorder="1" applyAlignment="1">
      <alignment horizontal="center" vertical="center"/>
    </xf>
    <xf numFmtId="178" fontId="22" fillId="0" borderId="6" xfId="13" applyFont="1" applyBorder="1" applyAlignment="1">
      <alignment horizontal="justify" vertical="center" wrapText="1"/>
    </xf>
    <xf numFmtId="178" fontId="22" fillId="0" borderId="22" xfId="13" applyFont="1" applyBorder="1" applyAlignment="1">
      <alignment horizontal="justify" vertical="center" wrapText="1"/>
    </xf>
    <xf numFmtId="178" fontId="22" fillId="0" borderId="20" xfId="13" applyFont="1" applyBorder="1" applyAlignment="1">
      <alignment horizontal="center" vertical="center" wrapText="1"/>
    </xf>
    <xf numFmtId="178" fontId="22" fillId="0" borderId="22" xfId="13" applyFont="1" applyBorder="1" applyAlignment="1">
      <alignment horizontal="center" vertical="center" wrapText="1"/>
    </xf>
    <xf numFmtId="178" fontId="22" fillId="0" borderId="27" xfId="13" applyFont="1" applyBorder="1" applyAlignment="1">
      <alignment horizontal="center" vertical="center" wrapText="1"/>
    </xf>
    <xf numFmtId="10" fontId="22" fillId="0" borderId="54" xfId="13" applyNumberFormat="1" applyFont="1" applyBorder="1" applyAlignment="1">
      <alignment horizontal="center" vertical="center"/>
    </xf>
    <xf numFmtId="10" fontId="22" fillId="0" borderId="55" xfId="13" applyNumberFormat="1" applyFont="1" applyBorder="1" applyAlignment="1">
      <alignment horizontal="center" vertical="center"/>
    </xf>
    <xf numFmtId="10" fontId="22" fillId="0" borderId="53" xfId="13" applyNumberFormat="1" applyFont="1" applyBorder="1" applyAlignment="1">
      <alignment horizontal="center" vertical="center"/>
    </xf>
    <xf numFmtId="42" fontId="22" fillId="0" borderId="12" xfId="13" applyNumberFormat="1" applyFont="1" applyBorder="1" applyAlignment="1">
      <alignment horizontal="center" vertical="center"/>
    </xf>
    <xf numFmtId="42" fontId="22" fillId="0" borderId="25" xfId="13" applyNumberFormat="1" applyFont="1" applyBorder="1" applyAlignment="1">
      <alignment horizontal="center" vertical="center"/>
    </xf>
    <xf numFmtId="42" fontId="22" fillId="0" borderId="13" xfId="13" applyNumberFormat="1" applyFont="1" applyBorder="1" applyAlignment="1">
      <alignment horizontal="center" vertical="center"/>
    </xf>
    <xf numFmtId="0" fontId="30" fillId="0" borderId="20" xfId="13" applyNumberFormat="1" applyFont="1" applyFill="1" applyBorder="1" applyAlignment="1">
      <alignment horizontal="justify" vertical="center" wrapText="1"/>
    </xf>
    <xf numFmtId="0" fontId="30" fillId="0" borderId="27" xfId="13" applyNumberFormat="1" applyFont="1" applyFill="1" applyBorder="1" applyAlignment="1">
      <alignment horizontal="justify" vertical="center" wrapText="1"/>
    </xf>
    <xf numFmtId="3" fontId="22" fillId="0" borderId="51" xfId="13" applyNumberFormat="1" applyFont="1" applyBorder="1" applyAlignment="1">
      <alignment horizontal="center" vertical="center"/>
    </xf>
    <xf numFmtId="178" fontId="22" fillId="0" borderId="52" xfId="13" applyFont="1" applyBorder="1" applyAlignment="1">
      <alignment horizontal="justify" vertical="center" wrapText="1"/>
    </xf>
    <xf numFmtId="9" fontId="22" fillId="0" borderId="16" xfId="13" applyNumberFormat="1" applyFont="1" applyBorder="1" applyAlignment="1">
      <alignment horizontal="justify" vertical="center" wrapText="1"/>
    </xf>
    <xf numFmtId="0" fontId="30" fillId="0" borderId="22" xfId="13" applyNumberFormat="1" applyFont="1" applyFill="1" applyBorder="1" applyAlignment="1">
      <alignment horizontal="justify" vertical="center" wrapText="1"/>
    </xf>
    <xf numFmtId="0" fontId="30" fillId="0" borderId="21" xfId="13" applyNumberFormat="1" applyFont="1" applyFill="1" applyBorder="1" applyAlignment="1">
      <alignment horizontal="justify" vertical="center" wrapText="1"/>
    </xf>
    <xf numFmtId="0" fontId="30" fillId="0" borderId="19" xfId="13" applyNumberFormat="1" applyFont="1" applyFill="1" applyBorder="1" applyAlignment="1">
      <alignment horizontal="justify" vertical="center" wrapText="1"/>
    </xf>
    <xf numFmtId="0" fontId="30" fillId="0" borderId="23" xfId="13" applyNumberFormat="1" applyFont="1" applyFill="1" applyBorder="1" applyAlignment="1">
      <alignment horizontal="justify" vertical="center" wrapText="1"/>
    </xf>
    <xf numFmtId="0" fontId="22" fillId="0" borderId="6" xfId="0" applyFont="1" applyBorder="1" applyAlignment="1">
      <alignment horizontal="left" vertical="center" wrapText="1"/>
    </xf>
    <xf numFmtId="3" fontId="22" fillId="0" borderId="20" xfId="0" applyNumberFormat="1" applyFont="1" applyBorder="1" applyAlignment="1">
      <alignment vertical="center"/>
    </xf>
    <xf numFmtId="3" fontId="22" fillId="0" borderId="22" xfId="0" applyNumberFormat="1" applyFont="1" applyBorder="1" applyAlignment="1">
      <alignment vertical="center"/>
    </xf>
    <xf numFmtId="3" fontId="22" fillId="0" borderId="25" xfId="0" applyNumberFormat="1" applyFont="1" applyBorder="1" applyAlignment="1">
      <alignment vertical="center"/>
    </xf>
    <xf numFmtId="3" fontId="22" fillId="0" borderId="27" xfId="0" applyNumberFormat="1" applyFont="1" applyBorder="1" applyAlignment="1">
      <alignment vertical="center"/>
    </xf>
    <xf numFmtId="4" fontId="22" fillId="0" borderId="20" xfId="13" applyNumberFormat="1" applyFont="1" applyBorder="1" applyAlignment="1">
      <alignment horizontal="center" vertical="center"/>
    </xf>
    <xf numFmtId="4" fontId="22" fillId="0" borderId="22" xfId="13" applyNumberFormat="1" applyFont="1" applyBorder="1" applyAlignment="1">
      <alignment horizontal="center" vertical="center"/>
    </xf>
    <xf numFmtId="1" fontId="23" fillId="6" borderId="16" xfId="13" applyNumberFormat="1" applyFont="1" applyFill="1" applyBorder="1" applyAlignment="1">
      <alignment horizontal="center" vertical="center" wrapText="1"/>
    </xf>
    <xf numFmtId="1" fontId="23" fillId="6" borderId="6" xfId="13" applyNumberFormat="1" applyFont="1" applyFill="1" applyBorder="1" applyAlignment="1">
      <alignment horizontal="center" vertical="center" wrapText="1"/>
    </xf>
    <xf numFmtId="178" fontId="22" fillId="6" borderId="20" xfId="13" applyFont="1" applyFill="1" applyBorder="1" applyAlignment="1">
      <alignment horizontal="center" vertical="center" wrapText="1"/>
    </xf>
    <xf numFmtId="178" fontId="22" fillId="6" borderId="27" xfId="13" applyFont="1" applyFill="1" applyBorder="1" applyAlignment="1">
      <alignment horizontal="center" vertical="center" wrapText="1"/>
    </xf>
    <xf numFmtId="10" fontId="22" fillId="6" borderId="51" xfId="13" applyNumberFormat="1" applyFont="1" applyFill="1" applyBorder="1" applyAlignment="1">
      <alignment horizontal="center" vertical="center"/>
    </xf>
    <xf numFmtId="42" fontId="22" fillId="6" borderId="12" xfId="13" applyNumberFormat="1" applyFont="1" applyFill="1" applyBorder="1" applyAlignment="1">
      <alignment horizontal="center" vertical="center"/>
    </xf>
    <xf numFmtId="42" fontId="22" fillId="6" borderId="25" xfId="13" applyNumberFormat="1" applyFont="1" applyFill="1" applyBorder="1" applyAlignment="1">
      <alignment horizontal="center" vertical="center"/>
    </xf>
    <xf numFmtId="42" fontId="22" fillId="6" borderId="13" xfId="13" applyNumberFormat="1"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19" xfId="0" applyFont="1" applyFill="1" applyBorder="1" applyAlignment="1">
      <alignment horizontal="justify" vertical="center" wrapText="1"/>
    </xf>
    <xf numFmtId="0" fontId="30" fillId="0" borderId="19" xfId="0" applyFont="1" applyFill="1" applyBorder="1" applyAlignment="1">
      <alignment horizontal="justify" vertical="center" wrapText="1"/>
    </xf>
    <xf numFmtId="0" fontId="30" fillId="0" borderId="21" xfId="0" applyFont="1" applyFill="1" applyBorder="1" applyAlignment="1">
      <alignment horizontal="justify" vertical="center" wrapText="1"/>
    </xf>
    <xf numFmtId="1" fontId="24" fillId="6" borderId="6" xfId="9" applyNumberFormat="1" applyFont="1" applyFill="1" applyBorder="1" applyAlignment="1">
      <alignment horizontal="center" vertical="center" wrapText="1"/>
    </xf>
    <xf numFmtId="3" fontId="22" fillId="0" borderId="19" xfId="0" applyNumberFormat="1" applyFont="1" applyBorder="1" applyAlignment="1">
      <alignment vertical="center"/>
    </xf>
    <xf numFmtId="3" fontId="0" fillId="0" borderId="23" xfId="0" applyNumberFormat="1" applyBorder="1" applyAlignment="1">
      <alignment vertical="center"/>
    </xf>
    <xf numFmtId="3" fontId="22" fillId="0" borderId="11" xfId="0" applyNumberFormat="1" applyFont="1" applyBorder="1" applyAlignment="1">
      <alignment horizontal="center" vertical="center"/>
    </xf>
    <xf numFmtId="3" fontId="0" fillId="0" borderId="0" xfId="0" applyNumberFormat="1" applyAlignment="1">
      <alignment horizontal="center" vertical="center"/>
    </xf>
    <xf numFmtId="49" fontId="22" fillId="0" borderId="20" xfId="13" applyNumberFormat="1" applyFont="1" applyBorder="1" applyAlignment="1">
      <alignment horizontal="center" vertical="center" wrapText="1"/>
    </xf>
    <xf numFmtId="178" fontId="22" fillId="6" borderId="19" xfId="13" applyFont="1" applyFill="1" applyBorder="1" applyAlignment="1">
      <alignment horizontal="justify" vertical="center" wrapText="1"/>
    </xf>
    <xf numFmtId="10" fontId="22" fillId="6" borderId="51" xfId="13" applyNumberFormat="1" applyFont="1" applyFill="1" applyBorder="1" applyAlignment="1">
      <alignment horizontal="center" vertical="center" wrapText="1"/>
    </xf>
    <xf numFmtId="3" fontId="22" fillId="6" borderId="6" xfId="13"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justify" vertical="center" wrapText="1"/>
    </xf>
    <xf numFmtId="1" fontId="22" fillId="0" borderId="6" xfId="13" applyNumberFormat="1" applyFont="1" applyBorder="1" applyAlignment="1">
      <alignment horizontal="center" vertical="center"/>
    </xf>
    <xf numFmtId="0" fontId="0" fillId="0" borderId="6" xfId="0" applyBorder="1" applyAlignment="1">
      <alignment horizontal="center" vertical="center"/>
    </xf>
    <xf numFmtId="49" fontId="22" fillId="0" borderId="25" xfId="13" applyNumberFormat="1" applyFont="1" applyBorder="1" applyAlignment="1">
      <alignment horizontal="center" vertical="center" wrapText="1"/>
    </xf>
    <xf numFmtId="49" fontId="22" fillId="0" borderId="13" xfId="13" applyNumberFormat="1" applyFont="1" applyBorder="1" applyAlignment="1">
      <alignment horizontal="center" vertical="center" wrapText="1"/>
    </xf>
    <xf numFmtId="178" fontId="22" fillId="6" borderId="21" xfId="13" applyFont="1" applyFill="1" applyBorder="1" applyAlignment="1">
      <alignment horizontal="justify" vertical="center" wrapText="1"/>
    </xf>
    <xf numFmtId="188" fontId="22" fillId="6" borderId="12" xfId="13" applyNumberFormat="1" applyFont="1" applyFill="1" applyBorder="1" applyAlignment="1">
      <alignment horizontal="center" vertical="center" wrapText="1"/>
    </xf>
    <xf numFmtId="188" fontId="22" fillId="6" borderId="25" xfId="13" applyNumberFormat="1" applyFont="1" applyFill="1" applyBorder="1" applyAlignment="1">
      <alignment horizontal="center" vertical="center" wrapText="1"/>
    </xf>
    <xf numFmtId="188" fontId="22" fillId="6" borderId="13" xfId="13" applyNumberFormat="1" applyFont="1" applyFill="1" applyBorder="1" applyAlignment="1">
      <alignment horizontal="center" vertical="center" wrapText="1"/>
    </xf>
    <xf numFmtId="1" fontId="22" fillId="6" borderId="6" xfId="13" applyNumberFormat="1" applyFont="1" applyFill="1" applyBorder="1" applyAlignment="1">
      <alignment horizontal="center" vertical="center"/>
    </xf>
    <xf numFmtId="3" fontId="0" fillId="0" borderId="21" xfId="0" applyNumberFormat="1" applyBorder="1" applyAlignment="1">
      <alignment vertical="center"/>
    </xf>
    <xf numFmtId="3" fontId="0" fillId="0" borderId="0" xfId="0" applyNumberFormat="1" applyAlignment="1">
      <alignment vertical="center"/>
    </xf>
    <xf numFmtId="3" fontId="0" fillId="0" borderId="9" xfId="0" applyNumberFormat="1" applyBorder="1" applyAlignment="1">
      <alignment vertical="center"/>
    </xf>
    <xf numFmtId="178" fontId="22" fillId="6" borderId="13" xfId="13" applyFont="1" applyFill="1" applyBorder="1" applyAlignment="1">
      <alignment horizontal="center" vertical="center" wrapText="1"/>
    </xf>
    <xf numFmtId="3" fontId="22" fillId="0" borderId="19" xfId="0" applyNumberFormat="1" applyFont="1" applyBorder="1" applyAlignment="1">
      <alignment vertical="center" wrapText="1"/>
    </xf>
    <xf numFmtId="3" fontId="22" fillId="0" borderId="23" xfId="0" applyNumberFormat="1" applyFont="1" applyBorder="1" applyAlignment="1">
      <alignment vertical="center" wrapText="1"/>
    </xf>
    <xf numFmtId="3" fontId="0" fillId="0" borderId="23" xfId="0" applyNumberFormat="1" applyBorder="1" applyAlignment="1">
      <alignment vertical="center" wrapText="1"/>
    </xf>
    <xf numFmtId="3" fontId="0" fillId="0" borderId="21" xfId="0" applyNumberFormat="1" applyBorder="1" applyAlignment="1">
      <alignment vertical="center" wrapText="1"/>
    </xf>
    <xf numFmtId="3" fontId="22" fillId="0" borderId="6" xfId="0" applyNumberFormat="1" applyFont="1" applyBorder="1" applyAlignment="1">
      <alignment vertical="center" wrapText="1"/>
    </xf>
    <xf numFmtId="3" fontId="0" fillId="0" borderId="6" xfId="0" applyNumberFormat="1" applyBorder="1" applyAlignment="1">
      <alignment vertical="center" wrapText="1"/>
    </xf>
    <xf numFmtId="172" fontId="22" fillId="0" borderId="20" xfId="0" applyNumberFormat="1" applyFont="1" applyBorder="1" applyAlignment="1">
      <alignment horizontal="left" vertical="center" wrapText="1"/>
    </xf>
    <xf numFmtId="172" fontId="22" fillId="0" borderId="22" xfId="0" applyNumberFormat="1" applyFont="1" applyBorder="1" applyAlignment="1">
      <alignment horizontal="left" vertical="center" wrapText="1"/>
    </xf>
    <xf numFmtId="0" fontId="0" fillId="0" borderId="22" xfId="0" applyBorder="1" applyAlignment="1">
      <alignment horizontal="left" vertical="center"/>
    </xf>
    <xf numFmtId="0" fontId="0" fillId="0" borderId="27" xfId="0" applyBorder="1" applyAlignment="1">
      <alignment horizontal="left" vertical="center"/>
    </xf>
    <xf numFmtId="3" fontId="22" fillId="6" borderId="20" xfId="0" applyNumberFormat="1" applyFont="1" applyFill="1" applyBorder="1" applyAlignment="1">
      <alignment vertical="center" wrapText="1"/>
    </xf>
    <xf numFmtId="3" fontId="22" fillId="6" borderId="22" xfId="0" applyNumberFormat="1" applyFont="1" applyFill="1" applyBorder="1" applyAlignment="1">
      <alignment vertical="center" wrapText="1"/>
    </xf>
    <xf numFmtId="3" fontId="22" fillId="6" borderId="27" xfId="0" applyNumberFormat="1" applyFont="1" applyFill="1" applyBorder="1" applyAlignment="1">
      <alignment vertical="center" wrapText="1"/>
    </xf>
    <xf numFmtId="3" fontId="22" fillId="0" borderId="20" xfId="0" applyNumberFormat="1" applyFont="1" applyBorder="1" applyAlignment="1">
      <alignment vertical="center" wrapText="1"/>
    </xf>
    <xf numFmtId="3" fontId="22" fillId="0" borderId="22" xfId="0" applyNumberFormat="1" applyFont="1" applyBorder="1" applyAlignment="1">
      <alignment vertical="center" wrapText="1"/>
    </xf>
    <xf numFmtId="3" fontId="22" fillId="0" borderId="27" xfId="0" applyNumberFormat="1" applyFont="1" applyBorder="1" applyAlignment="1">
      <alignment vertical="center" wrapText="1"/>
    </xf>
    <xf numFmtId="3" fontId="22" fillId="6" borderId="12" xfId="0" applyNumberFormat="1" applyFont="1" applyFill="1" applyBorder="1" applyAlignment="1">
      <alignment vertical="center" wrapText="1"/>
    </xf>
    <xf numFmtId="3" fontId="22" fillId="6" borderId="25" xfId="0" applyNumberFormat="1" applyFont="1" applyFill="1" applyBorder="1" applyAlignment="1">
      <alignment vertical="center" wrapText="1"/>
    </xf>
    <xf numFmtId="3" fontId="22" fillId="6" borderId="13" xfId="0" applyNumberFormat="1" applyFont="1" applyFill="1" applyBorder="1" applyAlignment="1">
      <alignment vertical="center" wrapText="1"/>
    </xf>
    <xf numFmtId="1" fontId="24" fillId="6" borderId="20" xfId="9" applyNumberFormat="1" applyFont="1" applyFill="1" applyBorder="1" applyAlignment="1">
      <alignment horizontal="center" vertical="center" wrapText="1"/>
    </xf>
    <xf numFmtId="1" fontId="24" fillId="6" borderId="22" xfId="9" applyNumberFormat="1" applyFont="1" applyFill="1" applyBorder="1" applyAlignment="1">
      <alignment horizontal="center" vertical="center" wrapText="1"/>
    </xf>
    <xf numFmtId="1" fontId="24" fillId="6" borderId="27" xfId="9" applyNumberFormat="1" applyFont="1" applyFill="1" applyBorder="1" applyAlignment="1">
      <alignment horizontal="center" vertical="center" wrapText="1"/>
    </xf>
    <xf numFmtId="1" fontId="22" fillId="6" borderId="20" xfId="13" applyNumberFormat="1" applyFont="1" applyFill="1" applyBorder="1" applyAlignment="1">
      <alignment horizontal="center" vertical="center"/>
    </xf>
    <xf numFmtId="1" fontId="22" fillId="6" borderId="22" xfId="13" applyNumberFormat="1" applyFont="1" applyFill="1" applyBorder="1" applyAlignment="1">
      <alignment horizontal="center" vertical="center"/>
    </xf>
    <xf numFmtId="1" fontId="22" fillId="6" borderId="27" xfId="13" applyNumberFormat="1" applyFont="1" applyFill="1" applyBorder="1" applyAlignment="1">
      <alignment horizontal="center" vertical="center"/>
    </xf>
    <xf numFmtId="178" fontId="22" fillId="6" borderId="12" xfId="13" applyFont="1" applyFill="1" applyBorder="1" applyAlignment="1">
      <alignment horizontal="center" vertical="center" wrapText="1"/>
    </xf>
    <xf numFmtId="49" fontId="22" fillId="0" borderId="12" xfId="13" applyNumberFormat="1" applyFont="1" applyBorder="1" applyAlignment="1">
      <alignment horizontal="center" vertical="center" wrapText="1"/>
    </xf>
    <xf numFmtId="10" fontId="24" fillId="6" borderId="51" xfId="13" applyNumberFormat="1" applyFont="1" applyFill="1" applyBorder="1" applyAlignment="1">
      <alignment horizontal="center" vertical="center" wrapText="1"/>
    </xf>
    <xf numFmtId="175" fontId="22" fillId="6" borderId="12" xfId="13" applyNumberFormat="1" applyFont="1" applyFill="1" applyBorder="1" applyAlignment="1">
      <alignment horizontal="center" vertical="center" wrapText="1"/>
    </xf>
    <xf numFmtId="175" fontId="22" fillId="6" borderId="25" xfId="13" applyNumberFormat="1" applyFont="1" applyFill="1" applyBorder="1" applyAlignment="1">
      <alignment horizontal="center" vertical="center" wrapText="1"/>
    </xf>
    <xf numFmtId="175" fontId="22" fillId="6" borderId="13" xfId="13" applyNumberFormat="1" applyFont="1" applyFill="1" applyBorder="1" applyAlignment="1">
      <alignment horizontal="center" vertical="center" wrapText="1"/>
    </xf>
    <xf numFmtId="0" fontId="22" fillId="0" borderId="6" xfId="0" applyFont="1" applyBorder="1" applyAlignment="1">
      <alignment vertical="center" wrapText="1"/>
    </xf>
    <xf numFmtId="0" fontId="0" fillId="0" borderId="6" xfId="0" applyBorder="1" applyAlignment="1">
      <alignment vertical="center" wrapText="1"/>
    </xf>
    <xf numFmtId="187" fontId="22" fillId="6" borderId="6" xfId="13" applyNumberFormat="1" applyFont="1" applyFill="1" applyBorder="1" applyAlignment="1">
      <alignment horizontal="center" vertical="center"/>
    </xf>
    <xf numFmtId="3" fontId="22" fillId="0" borderId="20" xfId="0" applyNumberFormat="1" applyFont="1" applyBorder="1" applyAlignment="1">
      <alignment horizontal="center" vertical="center"/>
    </xf>
    <xf numFmtId="3" fontId="22" fillId="0" borderId="22" xfId="0" applyNumberFormat="1" applyFont="1" applyBorder="1" applyAlignment="1">
      <alignment horizontal="center" vertical="center"/>
    </xf>
    <xf numFmtId="3" fontId="0" fillId="0" borderId="22" xfId="0" applyNumberFormat="1" applyBorder="1" applyAlignment="1">
      <alignment horizontal="center" vertical="center"/>
    </xf>
    <xf numFmtId="3" fontId="0" fillId="0" borderId="27" xfId="0" applyNumberFormat="1" applyBorder="1" applyAlignment="1">
      <alignment horizontal="center" vertical="center"/>
    </xf>
    <xf numFmtId="3" fontId="22" fillId="0" borderId="6" xfId="0" applyNumberFormat="1" applyFont="1" applyBorder="1" applyAlignment="1">
      <alignment horizontal="center" vertical="center"/>
    </xf>
    <xf numFmtId="3" fontId="0" fillId="0" borderId="6" xfId="0" applyNumberFormat="1" applyBorder="1" applyAlignment="1">
      <alignment horizontal="center" vertical="center"/>
    </xf>
    <xf numFmtId="3" fontId="32" fillId="0" borderId="6" xfId="0" applyNumberFormat="1" applyFont="1" applyBorder="1" applyAlignment="1">
      <alignment horizontal="center" vertical="center"/>
    </xf>
    <xf numFmtId="3" fontId="32" fillId="0" borderId="6" xfId="0" applyNumberFormat="1" applyFont="1" applyBorder="1" applyAlignment="1">
      <alignment horizontal="center" vertical="center" wrapText="1"/>
    </xf>
    <xf numFmtId="0" fontId="22" fillId="0" borderId="22" xfId="0" applyFont="1" applyFill="1" applyBorder="1" applyAlignment="1">
      <alignment horizontal="justify" vertical="center" wrapText="1"/>
    </xf>
    <xf numFmtId="3" fontId="22" fillId="0" borderId="27" xfId="0" applyNumberFormat="1" applyFont="1" applyBorder="1" applyAlignment="1">
      <alignment horizontal="center" vertical="center"/>
    </xf>
    <xf numFmtId="14" fontId="22" fillId="0" borderId="20" xfId="0" applyNumberFormat="1" applyFont="1" applyBorder="1" applyAlignment="1">
      <alignment horizontal="center" vertical="center"/>
    </xf>
    <xf numFmtId="14" fontId="22" fillId="0" borderId="27" xfId="0" applyNumberFormat="1" applyFont="1" applyBorder="1" applyAlignment="1">
      <alignment horizontal="center" vertical="center"/>
    </xf>
    <xf numFmtId="1" fontId="6" fillId="0" borderId="1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3" xfId="0"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1" fontId="6" fillId="0" borderId="25"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3" fontId="22" fillId="6" borderId="20" xfId="13" applyNumberFormat="1" applyFont="1" applyFill="1" applyBorder="1" applyAlignment="1">
      <alignment horizontal="center" vertical="center" wrapText="1"/>
    </xf>
    <xf numFmtId="3" fontId="22" fillId="6" borderId="27" xfId="13" applyNumberFormat="1" applyFont="1" applyFill="1" applyBorder="1" applyAlignment="1">
      <alignment horizontal="center" vertical="center" wrapText="1"/>
    </xf>
    <xf numFmtId="0" fontId="30" fillId="0" borderId="22" xfId="0" applyFont="1" applyFill="1" applyBorder="1" applyAlignment="1">
      <alignment horizontal="justify" vertical="center" wrapText="1"/>
    </xf>
    <xf numFmtId="3" fontId="32" fillId="0" borderId="12" xfId="0" applyNumberFormat="1" applyFont="1" applyBorder="1" applyAlignment="1">
      <alignment horizontal="center" vertical="center"/>
    </xf>
    <xf numFmtId="3" fontId="32" fillId="0" borderId="25" xfId="0" applyNumberFormat="1" applyFont="1" applyBorder="1" applyAlignment="1">
      <alignment horizontal="center" vertical="center"/>
    </xf>
    <xf numFmtId="3" fontId="32" fillId="0" borderId="13" xfId="0" applyNumberFormat="1" applyFont="1" applyBorder="1" applyAlignment="1">
      <alignment horizontal="center" vertical="center"/>
    </xf>
    <xf numFmtId="3" fontId="32" fillId="0" borderId="20" xfId="0" applyNumberFormat="1" applyFont="1" applyBorder="1" applyAlignment="1">
      <alignment horizontal="center" vertical="center"/>
    </xf>
    <xf numFmtId="3" fontId="32" fillId="0" borderId="22" xfId="0" applyNumberFormat="1" applyFont="1" applyBorder="1" applyAlignment="1">
      <alignment horizontal="center" vertical="center"/>
    </xf>
    <xf numFmtId="3" fontId="32" fillId="0" borderId="27" xfId="0" applyNumberFormat="1" applyFont="1" applyBorder="1" applyAlignment="1">
      <alignment horizontal="center" vertical="center"/>
    </xf>
    <xf numFmtId="0" fontId="30" fillId="0" borderId="51" xfId="0" applyFont="1" applyFill="1" applyBorder="1" applyAlignment="1">
      <alignment horizontal="justify" vertical="center" wrapText="1"/>
    </xf>
    <xf numFmtId="178" fontId="22" fillId="0" borderId="20" xfId="13" applyFont="1" applyBorder="1" applyAlignment="1">
      <alignment horizontal="left" vertical="center" wrapText="1"/>
    </xf>
    <xf numFmtId="178" fontId="22" fillId="0" borderId="27" xfId="13" applyFont="1" applyBorder="1" applyAlignment="1">
      <alignment horizontal="left" vertical="center" wrapText="1"/>
    </xf>
    <xf numFmtId="0" fontId="6" fillId="12" borderId="6" xfId="0" applyFont="1" applyFill="1" applyBorder="1" applyAlignment="1">
      <alignment horizontal="center" vertical="center" wrapText="1"/>
    </xf>
    <xf numFmtId="43" fontId="6" fillId="12" borderId="20" xfId="1" applyFont="1" applyFill="1" applyBorder="1" applyAlignment="1">
      <alignment horizontal="center" vertical="center" wrapText="1"/>
    </xf>
    <xf numFmtId="43" fontId="6" fillId="12" borderId="22" xfId="1" applyFont="1" applyFill="1" applyBorder="1" applyAlignment="1">
      <alignment horizontal="center" vertical="center" wrapText="1"/>
    </xf>
    <xf numFmtId="1" fontId="6" fillId="12" borderId="6" xfId="0" applyNumberFormat="1" applyFont="1" applyFill="1" applyBorder="1" applyAlignment="1">
      <alignment horizontal="center" vertical="center" wrapText="1"/>
    </xf>
    <xf numFmtId="3" fontId="18" fillId="4" borderId="6" xfId="0" applyNumberFormat="1" applyFont="1" applyFill="1" applyBorder="1" applyAlignment="1">
      <alignment horizontal="center" vertical="center" wrapText="1"/>
    </xf>
    <xf numFmtId="10" fontId="6" fillId="12" borderId="6" xfId="0" applyNumberFormat="1" applyFont="1" applyFill="1" applyBorder="1" applyAlignment="1">
      <alignment horizontal="center" vertical="center" wrapText="1"/>
    </xf>
    <xf numFmtId="171" fontId="6" fillId="12" borderId="6" xfId="0" applyNumberFormat="1" applyFont="1" applyFill="1" applyBorder="1" applyAlignment="1">
      <alignment horizontal="center" vertical="center" wrapText="1"/>
    </xf>
    <xf numFmtId="0" fontId="22" fillId="0" borderId="20" xfId="13" applyNumberFormat="1" applyFont="1" applyFill="1" applyBorder="1" applyAlignment="1">
      <alignment horizontal="justify" vertical="center" wrapText="1"/>
    </xf>
    <xf numFmtId="0" fontId="22" fillId="0" borderId="27" xfId="13" applyNumberFormat="1" applyFont="1" applyFill="1" applyBorder="1" applyAlignment="1">
      <alignment horizontal="justify" vertical="center" wrapText="1"/>
    </xf>
    <xf numFmtId="1" fontId="6" fillId="12" borderId="18" xfId="0" applyNumberFormat="1"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20" xfId="0" applyFont="1" applyFill="1" applyBorder="1" applyAlignment="1">
      <alignment horizontal="center" vertical="center" textRotation="90" wrapText="1"/>
    </xf>
    <xf numFmtId="0" fontId="18" fillId="4" borderId="27" xfId="0" applyFont="1" applyFill="1" applyBorder="1" applyAlignment="1">
      <alignment horizontal="center" vertical="center" textRotation="90" wrapText="1"/>
    </xf>
    <xf numFmtId="172" fontId="6" fillId="12" borderId="21" xfId="0" applyNumberFormat="1" applyFont="1" applyFill="1" applyBorder="1" applyAlignment="1">
      <alignment horizontal="center" vertical="center" wrapText="1"/>
    </xf>
    <xf numFmtId="3" fontId="6" fillId="12" borderId="7" xfId="0" applyNumberFormat="1" applyFont="1" applyFill="1" applyBorder="1" applyAlignment="1">
      <alignment horizontal="center" vertical="center" wrapText="1"/>
    </xf>
    <xf numFmtId="0" fontId="18" fillId="4" borderId="6"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33" xfId="0" applyFont="1" applyBorder="1" applyAlignment="1">
      <alignment horizontal="center" vertical="center" wrapText="1"/>
    </xf>
    <xf numFmtId="0" fontId="22" fillId="6" borderId="0" xfId="0" applyFont="1" applyFill="1" applyAlignment="1">
      <alignment horizontal="center" vertical="center"/>
    </xf>
    <xf numFmtId="3" fontId="22" fillId="6" borderId="20" xfId="0" applyNumberFormat="1" applyFont="1" applyFill="1" applyBorder="1" applyAlignment="1">
      <alignment horizontal="center" vertical="center" wrapText="1"/>
    </xf>
    <xf numFmtId="3" fontId="22" fillId="6" borderId="22" xfId="0" applyNumberFormat="1" applyFont="1" applyFill="1" applyBorder="1" applyAlignment="1">
      <alignment horizontal="center" vertical="center" wrapText="1"/>
    </xf>
    <xf numFmtId="169" fontId="22" fillId="6" borderId="20" xfId="0" applyNumberFormat="1" applyFont="1" applyFill="1" applyBorder="1" applyAlignment="1">
      <alignment horizontal="center" vertical="center" wrapText="1"/>
    </xf>
    <xf numFmtId="169" fontId="22" fillId="6" borderId="22" xfId="0" applyNumberFormat="1" applyFont="1" applyFill="1" applyBorder="1" applyAlignment="1">
      <alignment horizontal="center" vertical="center" wrapText="1"/>
    </xf>
    <xf numFmtId="3" fontId="22" fillId="6" borderId="20" xfId="0" applyNumberFormat="1" applyFont="1" applyFill="1" applyBorder="1" applyAlignment="1">
      <alignment horizontal="left" vertical="center" wrapText="1"/>
    </xf>
    <xf numFmtId="3" fontId="22" fillId="6" borderId="22" xfId="0" applyNumberFormat="1" applyFont="1" applyFill="1" applyBorder="1" applyAlignment="1">
      <alignment horizontal="left" vertical="center" wrapText="1"/>
    </xf>
    <xf numFmtId="0" fontId="22" fillId="6" borderId="20" xfId="0" applyFont="1" applyFill="1" applyBorder="1" applyAlignment="1">
      <alignment horizontal="left" vertical="center" wrapText="1"/>
    </xf>
    <xf numFmtId="0" fontId="22" fillId="6" borderId="21" xfId="0" applyFont="1" applyFill="1" applyBorder="1" applyAlignment="1">
      <alignment horizontal="left" vertical="center" wrapText="1"/>
    </xf>
    <xf numFmtId="179" fontId="22" fillId="6" borderId="20" xfId="0" applyNumberFormat="1" applyFont="1" applyFill="1" applyBorder="1" applyAlignment="1">
      <alignment horizontal="center" vertical="center" wrapText="1"/>
    </xf>
    <xf numFmtId="179" fontId="22" fillId="6" borderId="22" xfId="0" applyNumberFormat="1" applyFont="1" applyFill="1" applyBorder="1" applyAlignment="1">
      <alignment horizontal="center" vertical="center" wrapText="1"/>
    </xf>
    <xf numFmtId="179" fontId="24" fillId="6" borderId="20" xfId="0" applyNumberFormat="1" applyFont="1" applyFill="1" applyBorder="1" applyAlignment="1">
      <alignment horizontal="center" vertical="center" wrapText="1"/>
    </xf>
    <xf numFmtId="179" fontId="24" fillId="6" borderId="22" xfId="0" applyNumberFormat="1" applyFont="1" applyFill="1" applyBorder="1" applyAlignment="1">
      <alignment horizontal="center" vertical="center" wrapText="1"/>
    </xf>
    <xf numFmtId="9" fontId="22" fillId="6" borderId="20" xfId="38" applyFont="1" applyFill="1" applyBorder="1" applyAlignment="1">
      <alignment horizontal="center" vertical="center" wrapText="1"/>
    </xf>
    <xf numFmtId="9" fontId="22" fillId="6" borderId="22" xfId="38" applyFont="1" applyFill="1" applyBorder="1" applyAlignment="1">
      <alignment horizontal="center" vertical="center" wrapText="1"/>
    </xf>
    <xf numFmtId="0" fontId="22" fillId="0" borderId="22" xfId="0" applyFont="1" applyBorder="1" applyAlignment="1">
      <alignment horizontal="justify" vertical="center" wrapText="1"/>
    </xf>
    <xf numFmtId="0" fontId="22" fillId="6" borderId="20"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25" xfId="0" applyFont="1" applyFill="1" applyBorder="1" applyAlignment="1">
      <alignment horizontal="center" vertical="center" wrapText="1"/>
    </xf>
    <xf numFmtId="3" fontId="22" fillId="6" borderId="27" xfId="0" applyNumberFormat="1" applyFont="1" applyFill="1" applyBorder="1" applyAlignment="1">
      <alignment horizontal="left" vertical="center" wrapText="1"/>
    </xf>
    <xf numFmtId="0" fontId="22" fillId="6" borderId="20" xfId="0" applyFont="1" applyFill="1" applyBorder="1" applyAlignment="1">
      <alignment horizontal="justify" vertical="center" wrapText="1"/>
    </xf>
    <xf numFmtId="0" fontId="22" fillId="6" borderId="27" xfId="0" applyFont="1" applyFill="1" applyBorder="1" applyAlignment="1">
      <alignment horizontal="justify" vertical="center" wrapText="1"/>
    </xf>
    <xf numFmtId="3" fontId="22" fillId="6" borderId="27" xfId="0" applyNumberFormat="1" applyFont="1" applyFill="1" applyBorder="1" applyAlignment="1">
      <alignment horizontal="center" vertical="center" wrapText="1"/>
    </xf>
    <xf numFmtId="169" fontId="22" fillId="6" borderId="27" xfId="0" applyNumberFormat="1" applyFont="1" applyFill="1" applyBorder="1" applyAlignment="1">
      <alignment horizontal="center" vertical="center" wrapText="1"/>
    </xf>
    <xf numFmtId="0" fontId="22" fillId="6" borderId="22" xfId="0" applyFont="1" applyFill="1" applyBorder="1" applyAlignment="1">
      <alignment horizontal="justify" vertical="center" wrapText="1"/>
    </xf>
    <xf numFmtId="9" fontId="22" fillId="6" borderId="27" xfId="38" applyFont="1" applyFill="1" applyBorder="1" applyAlignment="1">
      <alignment horizontal="center" vertical="center" wrapText="1"/>
    </xf>
    <xf numFmtId="4" fontId="22" fillId="6" borderId="20" xfId="0" applyNumberFormat="1" applyFont="1" applyFill="1" applyBorder="1" applyAlignment="1">
      <alignment horizontal="right" vertical="center" wrapText="1"/>
    </xf>
    <xf numFmtId="4" fontId="22" fillId="6" borderId="22" xfId="0" applyNumberFormat="1" applyFont="1" applyFill="1" applyBorder="1" applyAlignment="1">
      <alignment horizontal="right" vertical="center" wrapText="1"/>
    </xf>
    <xf numFmtId="4" fontId="22" fillId="6" borderId="27" xfId="0" applyNumberFormat="1" applyFont="1" applyFill="1" applyBorder="1" applyAlignment="1">
      <alignment horizontal="right" vertical="center" wrapText="1"/>
    </xf>
    <xf numFmtId="179" fontId="24" fillId="6" borderId="27" xfId="0" applyNumberFormat="1"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0" borderId="6" xfId="0" applyFont="1" applyBorder="1" applyAlignment="1">
      <alignment horizontal="justify" vertical="center" wrapText="1"/>
    </xf>
    <xf numFmtId="0" fontId="22" fillId="6" borderId="21" xfId="0" applyFont="1" applyFill="1" applyBorder="1" applyAlignment="1">
      <alignment horizontal="justify" vertical="center" wrapText="1"/>
    </xf>
    <xf numFmtId="0" fontId="23" fillId="20" borderId="14" xfId="0" applyFont="1" applyFill="1" applyBorder="1" applyAlignment="1">
      <alignment horizontal="left" vertical="center" wrapText="1"/>
    </xf>
    <xf numFmtId="0" fontId="23" fillId="20" borderId="15" xfId="0" applyFont="1" applyFill="1" applyBorder="1" applyAlignment="1">
      <alignment horizontal="left" vertical="center" wrapText="1"/>
    </xf>
    <xf numFmtId="0" fontId="23" fillId="15" borderId="14" xfId="0" applyFont="1" applyFill="1" applyBorder="1" applyAlignment="1">
      <alignment horizontal="left" vertical="center" wrapText="1"/>
    </xf>
    <xf numFmtId="0" fontId="23" fillId="15" borderId="15" xfId="0" applyFont="1" applyFill="1" applyBorder="1" applyAlignment="1">
      <alignment horizontal="left" vertical="center" wrapText="1"/>
    </xf>
    <xf numFmtId="0" fontId="22" fillId="6" borderId="23" xfId="0" applyFont="1" applyFill="1" applyBorder="1" applyAlignment="1">
      <alignment horizontal="center" vertical="center" textRotation="90" wrapText="1"/>
    </xf>
    <xf numFmtId="0" fontId="22" fillId="6" borderId="25" xfId="0" applyFont="1" applyFill="1" applyBorder="1" applyAlignment="1">
      <alignment horizontal="center" vertical="center" textRotation="90" wrapText="1"/>
    </xf>
    <xf numFmtId="0" fontId="22" fillId="6" borderId="19" xfId="0" applyFont="1" applyFill="1" applyBorder="1" applyAlignment="1">
      <alignment horizontal="center" vertical="center" textRotation="90" wrapText="1"/>
    </xf>
    <xf numFmtId="0" fontId="22" fillId="6" borderId="12" xfId="0" applyFont="1" applyFill="1" applyBorder="1" applyAlignment="1">
      <alignment horizontal="center" vertical="center" textRotation="90" wrapText="1"/>
    </xf>
    <xf numFmtId="0" fontId="22" fillId="6" borderId="21" xfId="0" applyFont="1" applyFill="1" applyBorder="1" applyAlignment="1">
      <alignment horizontal="center" vertical="center" textRotation="90" wrapText="1"/>
    </xf>
    <xf numFmtId="0" fontId="22" fillId="6" borderId="13" xfId="0" applyFont="1" applyFill="1" applyBorder="1" applyAlignment="1">
      <alignment horizontal="center" vertical="center" textRotation="90" wrapText="1"/>
    </xf>
    <xf numFmtId="179" fontId="22" fillId="6" borderId="27" xfId="0" applyNumberFormat="1" applyFont="1" applyFill="1" applyBorder="1" applyAlignment="1">
      <alignment horizontal="center" vertical="center" wrapText="1"/>
    </xf>
    <xf numFmtId="0" fontId="22" fillId="6" borderId="27" xfId="0" applyFont="1" applyFill="1" applyBorder="1" applyAlignment="1">
      <alignment horizontal="left" vertical="center" wrapText="1"/>
    </xf>
    <xf numFmtId="0" fontId="22" fillId="6" borderId="6" xfId="0" applyFont="1" applyFill="1" applyBorder="1" applyAlignment="1">
      <alignment horizontal="justify" vertical="center" wrapText="1"/>
    </xf>
    <xf numFmtId="43" fontId="24" fillId="6" borderId="6" xfId="1" applyFont="1" applyFill="1" applyBorder="1" applyAlignment="1">
      <alignment horizontal="right" vertical="center" wrapText="1"/>
    </xf>
    <xf numFmtId="1" fontId="22" fillId="6" borderId="6" xfId="0" applyNumberFormat="1" applyFont="1" applyFill="1" applyBorder="1" applyAlignment="1">
      <alignment horizontal="center" vertical="center" wrapText="1"/>
    </xf>
    <xf numFmtId="9" fontId="22" fillId="6" borderId="20" xfId="0" applyNumberFormat="1" applyFont="1" applyFill="1" applyBorder="1" applyAlignment="1">
      <alignment horizontal="center" vertical="center" wrapText="1"/>
    </xf>
    <xf numFmtId="9" fontId="22" fillId="6" borderId="22" xfId="0" applyNumberFormat="1" applyFont="1" applyFill="1" applyBorder="1" applyAlignment="1">
      <alignment horizontal="center" vertical="center" wrapText="1"/>
    </xf>
    <xf numFmtId="9" fontId="22" fillId="6" borderId="27" xfId="0" applyNumberFormat="1" applyFont="1" applyFill="1" applyBorder="1" applyAlignment="1">
      <alignment horizontal="center" vertical="center" wrapText="1"/>
    </xf>
    <xf numFmtId="0" fontId="22" fillId="6" borderId="19" xfId="0" applyFont="1" applyFill="1" applyBorder="1" applyAlignment="1">
      <alignment horizontal="left" vertical="center" wrapText="1"/>
    </xf>
    <xf numFmtId="0" fontId="22" fillId="0" borderId="19" xfId="0" applyFont="1" applyBorder="1" applyAlignment="1">
      <alignment horizontal="justify" vertical="center" wrapText="1"/>
    </xf>
    <xf numFmtId="0" fontId="22" fillId="6" borderId="13" xfId="0" applyFont="1" applyFill="1" applyBorder="1" applyAlignment="1">
      <alignment horizontal="center" vertical="center" wrapText="1"/>
    </xf>
    <xf numFmtId="0" fontId="6" fillId="13" borderId="14" xfId="0" applyFont="1" applyFill="1" applyBorder="1" applyAlignment="1">
      <alignment horizontal="left" vertical="center" wrapText="1"/>
    </xf>
    <xf numFmtId="0" fontId="6" fillId="13" borderId="15" xfId="0" applyFont="1" applyFill="1" applyBorder="1" applyAlignment="1">
      <alignment horizontal="left" vertical="center" wrapText="1"/>
    </xf>
    <xf numFmtId="0" fontId="6" fillId="13" borderId="15"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20" borderId="14" xfId="0" applyFont="1" applyFill="1" applyBorder="1" applyAlignment="1">
      <alignment horizontal="left" vertical="center" wrapText="1"/>
    </xf>
    <xf numFmtId="0" fontId="6" fillId="20" borderId="15" xfId="0" applyFont="1" applyFill="1" applyBorder="1" applyAlignment="1">
      <alignment horizontal="left" vertical="center" wrapText="1"/>
    </xf>
    <xf numFmtId="0" fontId="6" fillId="20" borderId="15" xfId="0" applyFont="1" applyFill="1" applyBorder="1" applyAlignment="1">
      <alignment horizontal="center" vertical="center" wrapText="1"/>
    </xf>
    <xf numFmtId="0" fontId="6" fillId="20" borderId="17" xfId="0" applyFont="1" applyFill="1" applyBorder="1" applyAlignment="1">
      <alignment horizontal="center" vertical="center" wrapText="1"/>
    </xf>
    <xf numFmtId="0" fontId="6" fillId="15" borderId="14" xfId="0" applyFont="1" applyFill="1" applyBorder="1" applyAlignment="1">
      <alignment horizontal="left" vertical="center" wrapText="1"/>
    </xf>
    <xf numFmtId="0" fontId="6" fillId="15" borderId="15" xfId="0" applyFont="1" applyFill="1" applyBorder="1" applyAlignment="1">
      <alignment horizontal="left" vertical="center" wrapText="1"/>
    </xf>
    <xf numFmtId="0" fontId="4" fillId="15" borderId="15" xfId="0" applyFont="1" applyFill="1" applyBorder="1" applyAlignment="1">
      <alignment horizontal="center" vertical="center" wrapText="1"/>
    </xf>
    <xf numFmtId="0" fontId="4" fillId="15" borderId="17" xfId="0" applyFont="1" applyFill="1" applyBorder="1" applyAlignment="1">
      <alignment horizontal="center" vertical="center" wrapText="1"/>
    </xf>
    <xf numFmtId="169" fontId="6" fillId="12" borderId="19" xfId="0" applyNumberFormat="1" applyFont="1" applyFill="1" applyBorder="1" applyAlignment="1">
      <alignment horizontal="center" vertical="center" wrapText="1"/>
    </xf>
    <xf numFmtId="169" fontId="6" fillId="12" borderId="21" xfId="0" applyNumberFormat="1" applyFont="1" applyFill="1" applyBorder="1" applyAlignment="1">
      <alignment horizontal="center" vertical="center" wrapText="1"/>
    </xf>
    <xf numFmtId="43" fontId="7" fillId="12" borderId="11" xfId="1" applyFont="1" applyFill="1" applyBorder="1" applyAlignment="1">
      <alignment horizontal="center" vertical="center" wrapText="1"/>
    </xf>
    <xf numFmtId="43" fontId="7" fillId="12" borderId="9" xfId="1" applyFont="1" applyFill="1" applyBorder="1" applyAlignment="1">
      <alignment horizontal="center" vertical="center" wrapText="1"/>
    </xf>
    <xf numFmtId="170" fontId="6" fillId="12" borderId="6" xfId="0" applyNumberFormat="1" applyFont="1" applyFill="1" applyBorder="1" applyAlignment="1">
      <alignment horizontal="center" vertical="center" wrapText="1"/>
    </xf>
    <xf numFmtId="2" fontId="6" fillId="12" borderId="6" xfId="0" applyNumberFormat="1"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12" borderId="11" xfId="0" applyFont="1" applyFill="1" applyBorder="1" applyAlignment="1">
      <alignment horizontal="center" vertical="center" wrapText="1"/>
    </xf>
    <xf numFmtId="0" fontId="6" fillId="12" borderId="0" xfId="0" applyFont="1" applyFill="1" applyAlignment="1">
      <alignment horizontal="center" vertical="center" wrapText="1"/>
    </xf>
    <xf numFmtId="1" fontId="4" fillId="0" borderId="14" xfId="0" applyNumberFormat="1" applyFont="1" applyBorder="1" applyAlignment="1">
      <alignment horizontal="center"/>
    </xf>
    <xf numFmtId="1" fontId="4" fillId="0" borderId="15" xfId="0" applyNumberFormat="1" applyFont="1" applyBorder="1" applyAlignment="1">
      <alignment horizontal="center"/>
    </xf>
    <xf numFmtId="0" fontId="6" fillId="0" borderId="0" xfId="0" applyFont="1" applyAlignment="1">
      <alignment horizontal="left"/>
    </xf>
    <xf numFmtId="1" fontId="4" fillId="6" borderId="20" xfId="0" applyNumberFormat="1" applyFont="1" applyFill="1" applyBorder="1" applyAlignment="1">
      <alignment horizontal="center" vertical="center" wrapText="1"/>
    </xf>
    <xf numFmtId="1" fontId="4" fillId="6" borderId="12" xfId="0" applyNumberFormat="1" applyFont="1" applyFill="1" applyBorder="1" applyAlignment="1">
      <alignment horizontal="center" vertical="center" wrapText="1"/>
    </xf>
    <xf numFmtId="1" fontId="4" fillId="6" borderId="25" xfId="0" applyNumberFormat="1" applyFont="1" applyFill="1" applyBorder="1" applyAlignment="1">
      <alignment horizontal="center" vertical="center" wrapText="1"/>
    </xf>
    <xf numFmtId="0" fontId="0" fillId="0" borderId="20" xfId="0" applyBorder="1" applyAlignment="1">
      <alignment vertical="center"/>
    </xf>
    <xf numFmtId="14" fontId="4" fillId="6" borderId="12" xfId="0" applyNumberFormat="1" applyFont="1" applyFill="1" applyBorder="1" applyAlignment="1">
      <alignment horizontal="center" vertical="center" wrapText="1"/>
    </xf>
    <xf numFmtId="14" fontId="4" fillId="6" borderId="25" xfId="0" applyNumberFormat="1" applyFont="1" applyFill="1" applyBorder="1" applyAlignment="1">
      <alignment horizontal="center" vertical="center" wrapText="1"/>
    </xf>
    <xf numFmtId="14" fontId="4" fillId="6" borderId="20"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3" fontId="10" fillId="6" borderId="20" xfId="0" applyNumberFormat="1" applyFont="1" applyFill="1" applyBorder="1" applyAlignment="1">
      <alignment horizontal="justify" vertical="center" wrapText="1"/>
    </xf>
    <xf numFmtId="3" fontId="10" fillId="6" borderId="22" xfId="0" applyNumberFormat="1" applyFont="1" applyFill="1" applyBorder="1" applyAlignment="1">
      <alignment horizontal="justify" vertical="center" wrapText="1"/>
    </xf>
    <xf numFmtId="3" fontId="4" fillId="6" borderId="22" xfId="0" applyNumberFormat="1" applyFont="1" applyFill="1" applyBorder="1" applyAlignment="1">
      <alignment horizontal="justify" vertical="center" wrapText="1"/>
    </xf>
    <xf numFmtId="0" fontId="4" fillId="0" borderId="58" xfId="0" applyFont="1" applyFill="1" applyBorder="1" applyAlignment="1">
      <alignment horizontal="justify" vertical="center" wrapText="1"/>
    </xf>
    <xf numFmtId="0" fontId="4" fillId="6" borderId="20" xfId="0" applyFont="1" applyFill="1" applyBorder="1" applyAlignment="1">
      <alignment horizontal="justify" vertical="center" wrapText="1"/>
    </xf>
    <xf numFmtId="0" fontId="4" fillId="6" borderId="22" xfId="0" applyFont="1" applyFill="1" applyBorder="1" applyAlignment="1">
      <alignment horizontal="justify" vertical="center" wrapText="1"/>
    </xf>
    <xf numFmtId="9" fontId="4" fillId="6" borderId="20" xfId="0" applyNumberFormat="1" applyFont="1" applyFill="1" applyBorder="1" applyAlignment="1">
      <alignment horizontal="center" vertical="center" wrapText="1"/>
    </xf>
    <xf numFmtId="9" fontId="4" fillId="6" borderId="22" xfId="0" applyNumberFormat="1" applyFont="1" applyFill="1" applyBorder="1" applyAlignment="1">
      <alignment horizontal="center" vertical="center" wrapText="1"/>
    </xf>
    <xf numFmtId="4" fontId="4" fillId="0" borderId="0" xfId="0" applyNumberFormat="1" applyFont="1" applyAlignment="1">
      <alignment horizontal="center" vertical="center"/>
    </xf>
    <xf numFmtId="3" fontId="4" fillId="6" borderId="19" xfId="0" applyNumberFormat="1" applyFont="1" applyFill="1" applyBorder="1" applyAlignment="1">
      <alignment horizontal="justify" vertical="center" wrapText="1"/>
    </xf>
    <xf numFmtId="3" fontId="4" fillId="6" borderId="23" xfId="0" applyNumberFormat="1" applyFont="1" applyFill="1" applyBorder="1" applyAlignment="1">
      <alignment horizontal="justify" vertical="center" wrapText="1"/>
    </xf>
    <xf numFmtId="0" fontId="4" fillId="0" borderId="19"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23" xfId="0" applyFont="1" applyBorder="1" applyAlignment="1">
      <alignment horizontal="center"/>
    </xf>
    <xf numFmtId="0" fontId="4" fillId="0" borderId="0" xfId="0" applyFont="1" applyAlignment="1">
      <alignment horizontal="center"/>
    </xf>
    <xf numFmtId="0" fontId="4" fillId="0" borderId="25" xfId="0" applyFont="1" applyBorder="1" applyAlignment="1">
      <alignment horizontal="center"/>
    </xf>
    <xf numFmtId="3" fontId="4" fillId="6" borderId="20" xfId="0" applyNumberFormat="1" applyFont="1" applyFill="1" applyBorder="1" applyAlignment="1">
      <alignment horizontal="justify" vertical="center" wrapText="1"/>
    </xf>
    <xf numFmtId="1" fontId="6" fillId="6" borderId="12" xfId="0" applyNumberFormat="1" applyFont="1" applyFill="1" applyBorder="1" applyAlignment="1">
      <alignment horizontal="center" vertical="center" wrapText="1"/>
    </xf>
    <xf numFmtId="1" fontId="6" fillId="6" borderId="25" xfId="0" applyNumberFormat="1"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25" xfId="0" applyFont="1" applyFill="1" applyBorder="1" applyAlignment="1">
      <alignment horizontal="center" vertical="center" wrapText="1"/>
    </xf>
    <xf numFmtId="10" fontId="4" fillId="6" borderId="51" xfId="0" applyNumberFormat="1" applyFont="1" applyFill="1" applyBorder="1" applyAlignment="1">
      <alignment horizontal="center" vertical="center" wrapText="1"/>
    </xf>
    <xf numFmtId="0" fontId="4" fillId="6" borderId="19" xfId="0" applyFont="1" applyFill="1" applyBorder="1" applyAlignment="1">
      <alignment horizontal="center"/>
    </xf>
    <xf numFmtId="0" fontId="4" fillId="6" borderId="11" xfId="0" applyFont="1" applyFill="1" applyBorder="1" applyAlignment="1">
      <alignment horizontal="center"/>
    </xf>
    <xf numFmtId="0" fontId="4" fillId="6" borderId="12" xfId="0" applyFont="1" applyFill="1" applyBorder="1" applyAlignment="1">
      <alignment horizontal="center"/>
    </xf>
    <xf numFmtId="0" fontId="4" fillId="6" borderId="23" xfId="0" applyFont="1" applyFill="1" applyBorder="1" applyAlignment="1">
      <alignment horizontal="center"/>
    </xf>
    <xf numFmtId="0" fontId="4" fillId="6" borderId="0" xfId="0" applyFont="1" applyFill="1" applyAlignment="1">
      <alignment horizontal="center"/>
    </xf>
    <xf numFmtId="0" fontId="4" fillId="6" borderId="25" xfId="0" applyFont="1" applyFill="1" applyBorder="1" applyAlignment="1">
      <alignment horizontal="center"/>
    </xf>
    <xf numFmtId="3" fontId="4" fillId="6" borderId="14" xfId="0" applyNumberFormat="1" applyFont="1" applyFill="1" applyBorder="1" applyAlignment="1">
      <alignment horizontal="justify" vertical="center" wrapText="1"/>
    </xf>
    <xf numFmtId="3" fontId="4" fillId="6" borderId="6" xfId="0" applyNumberFormat="1" applyFont="1" applyFill="1" applyBorder="1" applyAlignment="1">
      <alignment horizontal="justify" vertical="center" wrapText="1"/>
    </xf>
    <xf numFmtId="1" fontId="21" fillId="6" borderId="6" xfId="0" applyNumberFormat="1" applyFont="1" applyFill="1" applyBorder="1" applyAlignment="1">
      <alignment horizontal="center" vertical="center" wrapText="1"/>
    </xf>
    <xf numFmtId="1" fontId="4" fillId="6" borderId="13" xfId="0" applyNumberFormat="1" applyFont="1" applyFill="1" applyBorder="1" applyAlignment="1">
      <alignment horizontal="center" vertical="center" wrapText="1"/>
    </xf>
    <xf numFmtId="0" fontId="4" fillId="6" borderId="21"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25" xfId="0" applyFont="1" applyFill="1" applyBorder="1" applyAlignment="1">
      <alignment horizontal="center" vertical="center" wrapText="1"/>
    </xf>
    <xf numFmtId="0" fontId="4" fillId="6" borderId="23" xfId="0" applyFont="1" applyFill="1" applyBorder="1" applyAlignment="1">
      <alignment horizontal="justify" vertical="center" wrapText="1"/>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4" fillId="6" borderId="19" xfId="0" applyFont="1" applyFill="1" applyBorder="1" applyAlignment="1">
      <alignment horizontal="justify" vertical="center" wrapText="1"/>
    </xf>
    <xf numFmtId="14" fontId="4" fillId="6" borderId="13" xfId="0" applyNumberFormat="1" applyFont="1" applyFill="1" applyBorder="1" applyAlignment="1">
      <alignment horizontal="center" vertical="center" wrapText="1"/>
    </xf>
    <xf numFmtId="14" fontId="4" fillId="6" borderId="27" xfId="0" applyNumberFormat="1" applyFont="1" applyFill="1" applyBorder="1" applyAlignment="1">
      <alignment horizontal="center" vertical="center" wrapText="1"/>
    </xf>
    <xf numFmtId="43" fontId="4" fillId="0" borderId="51" xfId="1" applyFont="1" applyBorder="1" applyAlignment="1">
      <alignment horizontal="center" vertical="center"/>
    </xf>
    <xf numFmtId="1" fontId="4" fillId="6" borderId="52" xfId="0" applyNumberFormat="1" applyFont="1" applyFill="1" applyBorder="1" applyAlignment="1">
      <alignment horizontal="center" vertical="center" wrapText="1"/>
    </xf>
    <xf numFmtId="0" fontId="4" fillId="6" borderId="58" xfId="0" applyFont="1" applyFill="1" applyBorder="1" applyAlignment="1">
      <alignment horizontal="center" vertical="center" wrapText="1"/>
    </xf>
    <xf numFmtId="1" fontId="6" fillId="6" borderId="20" xfId="0" applyNumberFormat="1" applyFont="1" applyFill="1" applyBorder="1" applyAlignment="1">
      <alignment horizontal="center" vertical="center" wrapText="1"/>
    </xf>
    <xf numFmtId="1" fontId="6" fillId="6" borderId="22" xfId="0" applyNumberFormat="1" applyFont="1" applyFill="1" applyBorder="1" applyAlignment="1">
      <alignment horizontal="center" vertical="center" wrapText="1"/>
    </xf>
    <xf numFmtId="1" fontId="6" fillId="6" borderId="27" xfId="0" applyNumberFormat="1" applyFont="1" applyFill="1" applyBorder="1" applyAlignment="1">
      <alignment horizontal="center" vertical="center" wrapText="1"/>
    </xf>
    <xf numFmtId="4" fontId="4" fillId="0" borderId="6" xfId="0" applyNumberFormat="1" applyFont="1" applyBorder="1" applyAlignment="1">
      <alignment horizontal="center" vertical="center"/>
    </xf>
    <xf numFmtId="0" fontId="4" fillId="6" borderId="14" xfId="0" applyFont="1" applyFill="1" applyBorder="1" applyAlignment="1">
      <alignment horizontal="justify" vertical="center" wrapText="1"/>
    </xf>
    <xf numFmtId="3" fontId="4" fillId="6" borderId="27" xfId="0" applyNumberFormat="1" applyFont="1" applyFill="1" applyBorder="1" applyAlignment="1">
      <alignment horizontal="justify" vertical="center" wrapText="1"/>
    </xf>
    <xf numFmtId="0" fontId="4" fillId="6" borderId="21" xfId="0" applyFont="1" applyFill="1" applyBorder="1" applyAlignment="1">
      <alignment horizontal="justify" vertical="center" wrapText="1"/>
    </xf>
    <xf numFmtId="2" fontId="4" fillId="6" borderId="20" xfId="0" applyNumberFormat="1" applyFont="1" applyFill="1" applyBorder="1" applyAlignment="1">
      <alignment horizontal="center" vertical="center" wrapText="1"/>
    </xf>
    <xf numFmtId="2" fontId="4" fillId="6" borderId="22" xfId="0" applyNumberFormat="1" applyFont="1" applyFill="1" applyBorder="1" applyAlignment="1">
      <alignment horizontal="center" vertical="center" wrapText="1"/>
    </xf>
    <xf numFmtId="1" fontId="4" fillId="6" borderId="78" xfId="0" applyNumberFormat="1" applyFont="1" applyFill="1" applyBorder="1" applyAlignment="1">
      <alignment horizontal="center" vertical="center" wrapText="1"/>
    </xf>
    <xf numFmtId="0" fontId="4" fillId="6" borderId="76" xfId="0" applyFont="1" applyFill="1" applyBorder="1" applyAlignment="1">
      <alignment horizontal="center" vertical="center" wrapText="1"/>
    </xf>
    <xf numFmtId="3" fontId="4" fillId="6" borderId="20" xfId="0" applyNumberFormat="1" applyFont="1" applyFill="1" applyBorder="1" applyAlignment="1">
      <alignment horizontal="center" vertical="center" wrapText="1"/>
    </xf>
    <xf numFmtId="3" fontId="4" fillId="6" borderId="22" xfId="0" applyNumberFormat="1" applyFont="1" applyFill="1" applyBorder="1" applyAlignment="1">
      <alignment horizontal="center" vertical="center" wrapText="1"/>
    </xf>
    <xf numFmtId="1" fontId="6" fillId="6" borderId="10" xfId="0" applyNumberFormat="1" applyFont="1" applyFill="1" applyBorder="1" applyAlignment="1">
      <alignment horizontal="center" vertical="center" wrapText="1"/>
    </xf>
    <xf numFmtId="1" fontId="6" fillId="6" borderId="11" xfId="0" applyNumberFormat="1" applyFont="1" applyFill="1" applyBorder="1" applyAlignment="1">
      <alignment horizontal="center" vertical="center" wrapText="1"/>
    </xf>
    <xf numFmtId="1" fontId="6" fillId="6" borderId="5" xfId="0" applyNumberFormat="1" applyFont="1" applyFill="1" applyBorder="1" applyAlignment="1">
      <alignment horizontal="center" vertical="center" wrapText="1"/>
    </xf>
    <xf numFmtId="1" fontId="6" fillId="6" borderId="0" xfId="0" applyNumberFormat="1" applyFont="1" applyFill="1" applyAlignment="1">
      <alignment horizontal="center" vertical="center" wrapText="1"/>
    </xf>
    <xf numFmtId="0" fontId="4" fillId="6" borderId="11"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3" xfId="0" applyFont="1" applyFill="1" applyBorder="1" applyAlignment="1">
      <alignment horizontal="center" vertical="center" wrapText="1"/>
    </xf>
    <xf numFmtId="171" fontId="6" fillId="12" borderId="19" xfId="0" applyNumberFormat="1" applyFont="1" applyFill="1" applyBorder="1" applyAlignment="1">
      <alignment horizontal="center" vertical="center" wrapText="1"/>
    </xf>
    <xf numFmtId="171" fontId="6" fillId="12" borderId="23" xfId="0" applyNumberFormat="1" applyFont="1" applyFill="1" applyBorder="1" applyAlignment="1">
      <alignment horizontal="center" vertical="center" wrapText="1"/>
    </xf>
    <xf numFmtId="1" fontId="6" fillId="12" borderId="27"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4" fontId="6" fillId="12" borderId="19" xfId="0" applyNumberFormat="1" applyFont="1" applyFill="1" applyBorder="1" applyAlignment="1">
      <alignment horizontal="center" vertical="center" wrapText="1"/>
    </xf>
    <xf numFmtId="4" fontId="6" fillId="12" borderId="23" xfId="0" applyNumberFormat="1" applyFont="1" applyFill="1" applyBorder="1" applyAlignment="1">
      <alignment horizontal="center" vertical="center" wrapText="1"/>
    </xf>
    <xf numFmtId="0" fontId="31" fillId="4" borderId="20" xfId="0" applyFont="1" applyFill="1" applyBorder="1" applyAlignment="1">
      <alignment horizontal="center" vertical="center" textRotation="90" wrapText="1"/>
    </xf>
    <xf numFmtId="0" fontId="31" fillId="4" borderId="27" xfId="0" applyFont="1" applyFill="1" applyBorder="1" applyAlignment="1">
      <alignment horizontal="center" vertical="center" textRotation="90" wrapText="1"/>
    </xf>
    <xf numFmtId="1" fontId="23" fillId="0" borderId="14" xfId="0" applyNumberFormat="1" applyFont="1" applyBorder="1" applyAlignment="1">
      <alignment horizontal="center" vertical="center"/>
    </xf>
    <xf numFmtId="1" fontId="23" fillId="0" borderId="16" xfId="0" applyNumberFormat="1" applyFont="1" applyBorder="1" applyAlignment="1">
      <alignment horizontal="center" vertical="center"/>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23" fillId="12" borderId="27" xfId="0" applyFont="1" applyFill="1" applyBorder="1" applyAlignment="1">
      <alignment horizontal="center" vertical="center" wrapText="1"/>
    </xf>
    <xf numFmtId="10" fontId="22" fillId="6" borderId="6" xfId="0" applyNumberFormat="1" applyFont="1" applyFill="1" applyBorder="1" applyAlignment="1">
      <alignment horizontal="center" vertical="center"/>
    </xf>
    <xf numFmtId="0" fontId="24" fillId="6" borderId="20" xfId="0" applyFont="1" applyFill="1" applyBorder="1" applyAlignment="1">
      <alignment horizontal="justify" vertical="center" wrapText="1"/>
    </xf>
    <xf numFmtId="0" fontId="24" fillId="6" borderId="22" xfId="0" applyFont="1" applyFill="1" applyBorder="1" applyAlignment="1">
      <alignment horizontal="justify" vertical="center" wrapText="1"/>
    </xf>
    <xf numFmtId="0" fontId="24" fillId="6" borderId="27" xfId="0" applyFont="1" applyFill="1" applyBorder="1" applyAlignment="1">
      <alignment horizontal="justify" vertical="center" wrapText="1"/>
    </xf>
    <xf numFmtId="0" fontId="22" fillId="0" borderId="20" xfId="0" applyFont="1" applyBorder="1" applyAlignment="1">
      <alignment horizontal="center" vertical="center" textRotation="3"/>
    </xf>
    <xf numFmtId="0" fontId="22" fillId="0" borderId="22" xfId="0" applyFont="1" applyBorder="1" applyAlignment="1">
      <alignment horizontal="center" vertical="center" textRotation="3"/>
    </xf>
    <xf numFmtId="0" fontId="22" fillId="0" borderId="27" xfId="0" applyFont="1" applyBorder="1" applyAlignment="1">
      <alignment horizontal="center" vertical="center" textRotation="3"/>
    </xf>
    <xf numFmtId="0" fontId="22" fillId="0" borderId="20" xfId="0" applyFont="1" applyBorder="1" applyAlignment="1">
      <alignment horizontal="center" vertical="center"/>
    </xf>
    <xf numFmtId="0" fontId="22" fillId="0" borderId="22" xfId="0" applyFont="1" applyBorder="1" applyAlignment="1">
      <alignment horizontal="center" vertical="center"/>
    </xf>
    <xf numFmtId="0" fontId="22" fillId="0" borderId="27" xfId="0" applyFont="1" applyBorder="1" applyAlignment="1">
      <alignment horizontal="center" vertical="center"/>
    </xf>
    <xf numFmtId="0" fontId="22" fillId="6" borderId="20" xfId="0" applyFont="1" applyFill="1" applyBorder="1" applyAlignment="1">
      <alignment horizontal="center" vertical="center"/>
    </xf>
    <xf numFmtId="0" fontId="22" fillId="6" borderId="22" xfId="0" applyFont="1" applyFill="1" applyBorder="1" applyAlignment="1">
      <alignment horizontal="center" vertical="center"/>
    </xf>
    <xf numFmtId="0" fontId="22" fillId="6" borderId="27" xfId="0" applyFont="1" applyFill="1" applyBorder="1" applyAlignment="1">
      <alignment horizontal="center" vertical="center"/>
    </xf>
    <xf numFmtId="10" fontId="22" fillId="6" borderId="20" xfId="0" applyNumberFormat="1" applyFont="1" applyFill="1" applyBorder="1" applyAlignment="1">
      <alignment horizontal="center" vertical="center"/>
    </xf>
    <xf numFmtId="10" fontId="22" fillId="6" borderId="22" xfId="0" applyNumberFormat="1" applyFont="1" applyFill="1" applyBorder="1" applyAlignment="1">
      <alignment horizontal="center" vertical="center"/>
    </xf>
    <xf numFmtId="10" fontId="22" fillId="6" borderId="27" xfId="0" applyNumberFormat="1" applyFont="1" applyFill="1" applyBorder="1" applyAlignment="1">
      <alignment horizontal="center" vertical="center"/>
    </xf>
    <xf numFmtId="43" fontId="22" fillId="6" borderId="20" xfId="1" applyFont="1" applyFill="1" applyBorder="1" applyAlignment="1">
      <alignment horizontal="center" vertical="center"/>
    </xf>
    <xf numFmtId="43" fontId="22" fillId="6" borderId="22" xfId="1" applyFont="1" applyFill="1" applyBorder="1" applyAlignment="1">
      <alignment horizontal="center" vertical="center"/>
    </xf>
    <xf numFmtId="43" fontId="22" fillId="6" borderId="27" xfId="1" applyFont="1" applyFill="1" applyBorder="1" applyAlignment="1">
      <alignment horizontal="center" vertical="center"/>
    </xf>
    <xf numFmtId="10" fontId="22" fillId="0" borderId="20" xfId="0" applyNumberFormat="1" applyFont="1" applyBorder="1" applyAlignment="1">
      <alignment horizontal="center" vertical="center"/>
    </xf>
    <xf numFmtId="10" fontId="22" fillId="0" borderId="27" xfId="0" applyNumberFormat="1" applyFont="1" applyBorder="1" applyAlignment="1">
      <alignment horizontal="center" vertical="center"/>
    </xf>
    <xf numFmtId="43" fontId="22" fillId="0" borderId="20" xfId="1" applyFont="1" applyBorder="1" applyAlignment="1">
      <alignment horizontal="center" vertical="center"/>
    </xf>
    <xf numFmtId="43" fontId="22" fillId="0" borderId="22" xfId="1" applyFont="1" applyBorder="1" applyAlignment="1">
      <alignment horizontal="center" vertical="center"/>
    </xf>
    <xf numFmtId="43" fontId="22" fillId="0" borderId="27" xfId="1" applyFont="1" applyBorder="1" applyAlignment="1">
      <alignment horizontal="center" vertical="center"/>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0" xfId="0" applyFont="1" applyFill="1" applyBorder="1" applyAlignment="1">
      <alignment horizontal="center" vertical="center" textRotation="3"/>
    </xf>
    <xf numFmtId="0" fontId="22" fillId="0" borderId="27" xfId="0" applyFont="1" applyFill="1" applyBorder="1" applyAlignment="1">
      <alignment horizontal="center" vertical="center" textRotation="3"/>
    </xf>
    <xf numFmtId="0" fontId="22" fillId="0" borderId="22" xfId="0" applyFont="1" applyFill="1" applyBorder="1" applyAlignment="1">
      <alignment horizontal="center" vertical="center" textRotation="3"/>
    </xf>
    <xf numFmtId="43" fontId="22" fillId="0" borderId="6" xfId="1" applyFont="1" applyBorder="1" applyAlignment="1">
      <alignment horizontal="center" vertical="center"/>
    </xf>
    <xf numFmtId="0" fontId="24" fillId="0" borderId="21" xfId="0" applyFont="1" applyBorder="1" applyAlignment="1">
      <alignment horizontal="justify" vertical="center" wrapText="1"/>
    </xf>
    <xf numFmtId="172" fontId="22" fillId="0" borderId="20" xfId="0" applyNumberFormat="1" applyFont="1" applyBorder="1" applyAlignment="1">
      <alignment horizontal="center" vertical="center"/>
    </xf>
    <xf numFmtId="172" fontId="22" fillId="0" borderId="22" xfId="0" applyNumberFormat="1" applyFont="1" applyBorder="1" applyAlignment="1">
      <alignment horizontal="center" vertical="center"/>
    </xf>
    <xf numFmtId="172" fontId="22" fillId="0" borderId="27" xfId="0" applyNumberFormat="1" applyFont="1" applyBorder="1" applyAlignment="1">
      <alignment horizontal="center" vertical="center"/>
    </xf>
    <xf numFmtId="0" fontId="22" fillId="0" borderId="6" xfId="0" applyFont="1" applyBorder="1" applyAlignment="1">
      <alignment horizontal="center" vertical="center"/>
    </xf>
    <xf numFmtId="0" fontId="22" fillId="0" borderId="20" xfId="0" applyFont="1" applyBorder="1" applyAlignment="1">
      <alignment horizontal="left" vertical="center" wrapText="1"/>
    </xf>
    <xf numFmtId="0" fontId="22" fillId="0" borderId="22" xfId="0" applyFont="1" applyBorder="1" applyAlignment="1">
      <alignment horizontal="left" vertical="center" wrapText="1"/>
    </xf>
    <xf numFmtId="0" fontId="22" fillId="0" borderId="27" xfId="0" applyFont="1" applyBorder="1" applyAlignment="1">
      <alignment horizontal="left" vertical="center" wrapText="1"/>
    </xf>
    <xf numFmtId="172" fontId="22" fillId="6" borderId="20" xfId="0" applyNumberFormat="1" applyFont="1" applyFill="1" applyBorder="1" applyAlignment="1">
      <alignment horizontal="center" vertical="center" wrapText="1"/>
    </xf>
    <xf numFmtId="172" fontId="22" fillId="6" borderId="22" xfId="0" applyNumberFormat="1" applyFont="1" applyFill="1" applyBorder="1" applyAlignment="1">
      <alignment horizontal="center" vertical="center" wrapText="1"/>
    </xf>
    <xf numFmtId="172" fontId="22" fillId="6" borderId="27" xfId="0" applyNumberFormat="1" applyFont="1" applyFill="1" applyBorder="1" applyAlignment="1">
      <alignment horizontal="center" vertical="center" wrapText="1"/>
    </xf>
    <xf numFmtId="10" fontId="22" fillId="0" borderId="6" xfId="0" applyNumberFormat="1" applyFont="1" applyBorder="1" applyAlignment="1">
      <alignment horizontal="center" vertical="center"/>
    </xf>
    <xf numFmtId="0" fontId="22" fillId="0" borderId="21" xfId="0" applyFont="1" applyBorder="1" applyAlignment="1">
      <alignment horizontal="justify" vertical="center" wrapText="1"/>
    </xf>
    <xf numFmtId="0" fontId="22" fillId="0" borderId="19" xfId="0" applyFont="1" applyBorder="1" applyAlignment="1">
      <alignment horizontal="left" vertical="center" wrapText="1"/>
    </xf>
    <xf numFmtId="0" fontId="22" fillId="0" borderId="21" xfId="0" applyFont="1" applyBorder="1" applyAlignment="1">
      <alignment horizontal="left" vertical="center" wrapText="1"/>
    </xf>
    <xf numFmtId="0" fontId="22" fillId="6" borderId="22" xfId="0" applyFont="1" applyFill="1" applyBorder="1" applyAlignment="1">
      <alignment horizontal="left" vertical="center" wrapText="1"/>
    </xf>
    <xf numFmtId="0" fontId="23" fillId="15" borderId="16" xfId="0" applyFont="1" applyFill="1" applyBorder="1" applyAlignment="1">
      <alignment horizontal="left" vertical="center" wrapText="1"/>
    </xf>
    <xf numFmtId="43" fontId="22" fillId="6" borderId="20" xfId="1" applyFont="1" applyFill="1" applyBorder="1" applyAlignment="1">
      <alignment horizontal="center" vertical="center" wrapText="1"/>
    </xf>
    <xf numFmtId="43" fontId="22" fillId="6" borderId="27" xfId="1" applyFont="1" applyFill="1" applyBorder="1" applyAlignment="1">
      <alignment horizontal="center" vertical="center" wrapText="1"/>
    </xf>
    <xf numFmtId="0" fontId="32" fillId="0" borderId="20" xfId="0" applyFont="1" applyBorder="1" applyAlignment="1">
      <alignment horizontal="justify" vertical="center" wrapText="1"/>
    </xf>
    <xf numFmtId="0" fontId="32" fillId="0" borderId="27" xfId="0" applyFont="1" applyBorder="1" applyAlignment="1">
      <alignment horizontal="justify" vertical="center" wrapText="1"/>
    </xf>
    <xf numFmtId="0" fontId="23" fillId="0" borderId="19" xfId="0" applyFont="1" applyBorder="1" applyAlignment="1">
      <alignment horizontal="center" vertical="center"/>
    </xf>
    <xf numFmtId="0" fontId="23" fillId="0" borderId="12" xfId="0" applyFont="1" applyBorder="1" applyAlignment="1">
      <alignment horizontal="center" vertical="center"/>
    </xf>
    <xf numFmtId="0" fontId="23" fillId="0" borderId="23" xfId="0" applyFont="1" applyBorder="1" applyAlignment="1">
      <alignment horizontal="center" vertical="center"/>
    </xf>
    <xf numFmtId="0" fontId="23" fillId="0" borderId="25" xfId="0" applyFont="1" applyBorder="1" applyAlignment="1">
      <alignment horizontal="center" vertical="center"/>
    </xf>
    <xf numFmtId="3" fontId="24" fillId="0" borderId="20" xfId="0" applyNumberFormat="1" applyFont="1" applyBorder="1" applyAlignment="1">
      <alignment horizontal="center" vertical="center" wrapText="1"/>
    </xf>
    <xf numFmtId="3" fontId="24" fillId="0" borderId="22" xfId="0" applyNumberFormat="1" applyFont="1" applyBorder="1" applyAlignment="1">
      <alignment horizontal="center" vertical="center" wrapText="1"/>
    </xf>
    <xf numFmtId="3" fontId="24" fillId="0" borderId="27" xfId="0" applyNumberFormat="1" applyFont="1" applyBorder="1" applyAlignment="1">
      <alignment horizontal="center" vertical="center" wrapText="1"/>
    </xf>
    <xf numFmtId="1" fontId="22" fillId="6" borderId="20" xfId="0" applyNumberFormat="1" applyFont="1" applyFill="1" applyBorder="1" applyAlignment="1">
      <alignment horizontal="center" vertical="center" wrapText="1"/>
    </xf>
    <xf numFmtId="171" fontId="23" fillId="12" borderId="20" xfId="0" applyNumberFormat="1" applyFont="1" applyFill="1" applyBorder="1" applyAlignment="1">
      <alignment horizontal="center" vertical="center" wrapText="1"/>
    </xf>
    <xf numFmtId="171" fontId="23" fillId="12" borderId="22" xfId="0" applyNumberFormat="1" applyFont="1" applyFill="1" applyBorder="1" applyAlignment="1">
      <alignment horizontal="center" vertical="center" wrapText="1"/>
    </xf>
    <xf numFmtId="1" fontId="23" fillId="12" borderId="12" xfId="0" applyNumberFormat="1" applyFont="1" applyFill="1" applyBorder="1" applyAlignment="1">
      <alignment horizontal="center" vertical="center" wrapText="1"/>
    </xf>
    <xf numFmtId="1" fontId="23" fillId="12" borderId="25" xfId="0" applyNumberFormat="1" applyFont="1" applyFill="1" applyBorder="1" applyAlignment="1">
      <alignment horizontal="center" vertical="center" wrapText="1"/>
    </xf>
    <xf numFmtId="0" fontId="23" fillId="12" borderId="21" xfId="0" applyFont="1" applyFill="1" applyBorder="1" applyAlignment="1">
      <alignment horizontal="center" vertical="center" wrapText="1"/>
    </xf>
    <xf numFmtId="0" fontId="23" fillId="12" borderId="6" xfId="0" applyFont="1" applyFill="1" applyBorder="1" applyAlignment="1">
      <alignment horizontal="center" vertical="center" wrapText="1"/>
    </xf>
    <xf numFmtId="10" fontId="23" fillId="12" borderId="19" xfId="0" applyNumberFormat="1" applyFont="1" applyFill="1" applyBorder="1" applyAlignment="1">
      <alignment horizontal="center" vertical="center" wrapText="1"/>
    </xf>
    <xf numFmtId="10" fontId="23" fillId="12" borderId="23" xfId="0" applyNumberFormat="1" applyFont="1" applyFill="1" applyBorder="1" applyAlignment="1">
      <alignment horizontal="center" vertical="center" wrapText="1"/>
    </xf>
    <xf numFmtId="0" fontId="23" fillId="12" borderId="19" xfId="0" applyFont="1" applyFill="1" applyBorder="1" applyAlignment="1">
      <alignment horizontal="justify" vertical="center" wrapText="1"/>
    </xf>
    <xf numFmtId="0" fontId="23" fillId="12" borderId="23" xfId="0" applyFont="1" applyFill="1" applyBorder="1" applyAlignment="1">
      <alignment horizontal="justify" vertical="center" wrapText="1"/>
    </xf>
    <xf numFmtId="3" fontId="22" fillId="6" borderId="6" xfId="0" applyNumberFormat="1" applyFont="1" applyFill="1" applyBorder="1" applyAlignment="1">
      <alignment horizontal="center" vertical="center" wrapText="1"/>
    </xf>
    <xf numFmtId="1" fontId="22" fillId="6" borderId="27" xfId="0" applyNumberFormat="1" applyFont="1" applyFill="1" applyBorder="1" applyAlignment="1">
      <alignment horizontal="center" vertical="center" wrapText="1"/>
    </xf>
    <xf numFmtId="0" fontId="22" fillId="6" borderId="23" xfId="0" applyFont="1" applyFill="1" applyBorder="1" applyAlignment="1">
      <alignment horizontal="left" vertical="center" wrapText="1"/>
    </xf>
    <xf numFmtId="0" fontId="22" fillId="6" borderId="58" xfId="0" applyFont="1" applyFill="1" applyBorder="1" applyAlignment="1">
      <alignment horizontal="center" vertical="center" wrapText="1"/>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7" xfId="0" applyFont="1" applyBorder="1" applyAlignment="1">
      <alignment horizontal="center" vertical="center" wrapText="1"/>
    </xf>
    <xf numFmtId="0" fontId="22" fillId="6" borderId="19" xfId="0"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2" fillId="0" borderId="12" xfId="0" applyFont="1" applyFill="1" applyBorder="1" applyAlignment="1">
      <alignment horizontal="center" vertical="center" textRotation="3"/>
    </xf>
    <xf numFmtId="0" fontId="22" fillId="0" borderId="25" xfId="0" applyFont="1" applyFill="1" applyBorder="1" applyAlignment="1">
      <alignment horizontal="center" vertical="center" textRotation="3"/>
    </xf>
    <xf numFmtId="0" fontId="22" fillId="0" borderId="13" xfId="0" applyFont="1" applyFill="1" applyBorder="1" applyAlignment="1">
      <alignment horizontal="center" vertical="center" textRotation="3"/>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2" fillId="0" borderId="20" xfId="0" applyFont="1" applyBorder="1" applyAlignment="1">
      <alignment horizontal="center" vertical="center" textRotation="4"/>
    </xf>
    <xf numFmtId="0" fontId="22" fillId="0" borderId="22" xfId="0" applyFont="1" applyBorder="1" applyAlignment="1">
      <alignment horizontal="center" vertical="center" textRotation="4"/>
    </xf>
    <xf numFmtId="0" fontId="22" fillId="6" borderId="23" xfId="0" applyFont="1" applyFill="1" applyBorder="1" applyAlignment="1">
      <alignment horizontal="justify" vertical="center" wrapText="1"/>
    </xf>
    <xf numFmtId="3" fontId="23" fillId="12" borderId="20" xfId="0" applyNumberFormat="1" applyFont="1" applyFill="1" applyBorder="1" applyAlignment="1">
      <alignment horizontal="center" vertical="center" wrapText="1"/>
    </xf>
    <xf numFmtId="3" fontId="23" fillId="12" borderId="22" xfId="0" applyNumberFormat="1" applyFont="1" applyFill="1" applyBorder="1" applyAlignment="1">
      <alignment horizontal="center" vertical="center" wrapText="1"/>
    </xf>
    <xf numFmtId="1" fontId="23" fillId="13" borderId="15" xfId="0" applyNumberFormat="1" applyFont="1" applyFill="1" applyBorder="1" applyAlignment="1">
      <alignment horizontal="left" vertical="center" wrapText="1"/>
    </xf>
    <xf numFmtId="1" fontId="23" fillId="13" borderId="11" xfId="0" applyNumberFormat="1" applyFont="1" applyFill="1" applyBorder="1" applyAlignment="1">
      <alignment horizontal="left" vertical="center" wrapText="1"/>
    </xf>
    <xf numFmtId="0" fontId="23" fillId="6" borderId="11"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25"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2" fillId="6" borderId="23" xfId="0" applyFont="1" applyFill="1" applyBorder="1" applyAlignment="1">
      <alignment horizontal="center" vertical="center" wrapText="1"/>
    </xf>
    <xf numFmtId="10" fontId="22" fillId="6" borderId="20" xfId="0" applyNumberFormat="1" applyFont="1" applyFill="1" applyBorder="1" applyAlignment="1">
      <alignment horizontal="center" vertical="center" wrapText="1"/>
    </xf>
    <xf numFmtId="10" fontId="22" fillId="6" borderId="27" xfId="0" applyNumberFormat="1" applyFont="1" applyFill="1" applyBorder="1" applyAlignment="1">
      <alignment horizontal="center" vertical="center" wrapText="1"/>
    </xf>
    <xf numFmtId="43" fontId="22" fillId="6" borderId="6" xfId="1" applyFont="1" applyFill="1" applyBorder="1" applyAlignment="1">
      <alignment horizontal="center" vertical="center" wrapText="1"/>
    </xf>
    <xf numFmtId="1" fontId="22" fillId="6" borderId="6" xfId="0" applyNumberFormat="1" applyFont="1" applyFill="1" applyBorder="1" applyAlignment="1">
      <alignment horizontal="center" vertical="center" wrapText="1" readingOrder="2"/>
    </xf>
    <xf numFmtId="1" fontId="22" fillId="6" borderId="20" xfId="0" applyNumberFormat="1" applyFont="1" applyFill="1" applyBorder="1" applyAlignment="1">
      <alignment horizontal="center" vertical="center" wrapText="1" readingOrder="2"/>
    </xf>
    <xf numFmtId="172" fontId="22" fillId="6" borderId="6" xfId="0" applyNumberFormat="1" applyFont="1" applyFill="1" applyBorder="1" applyAlignment="1">
      <alignment horizontal="center" vertical="center" wrapText="1"/>
    </xf>
    <xf numFmtId="0" fontId="22" fillId="0" borderId="16" xfId="0" applyFont="1" applyBorder="1" applyAlignment="1">
      <alignment horizontal="center" vertical="center"/>
    </xf>
    <xf numFmtId="0" fontId="22" fillId="0" borderId="20" xfId="0" applyFont="1" applyBorder="1" applyAlignment="1">
      <alignment horizontal="center" vertical="center" textRotation="92"/>
    </xf>
    <xf numFmtId="0" fontId="22" fillId="0" borderId="27" xfId="0" applyFont="1" applyBorder="1" applyAlignment="1">
      <alignment horizontal="center" vertical="center" textRotation="92"/>
    </xf>
    <xf numFmtId="1" fontId="22" fillId="6" borderId="27" xfId="0" applyNumberFormat="1" applyFont="1" applyFill="1" applyBorder="1" applyAlignment="1">
      <alignment horizontal="center" vertical="center" wrapText="1" readingOrder="2"/>
    </xf>
    <xf numFmtId="1" fontId="22" fillId="0" borderId="6" xfId="0" applyNumberFormat="1" applyFont="1" applyBorder="1" applyAlignment="1">
      <alignment horizontal="center" vertical="center"/>
    </xf>
    <xf numFmtId="1" fontId="22" fillId="0" borderId="11" xfId="0" applyNumberFormat="1" applyFont="1" applyBorder="1" applyAlignment="1">
      <alignment horizontal="center" vertical="center"/>
    </xf>
    <xf numFmtId="1" fontId="22" fillId="0" borderId="12" xfId="0" applyNumberFormat="1" applyFont="1" applyBorder="1" applyAlignment="1">
      <alignment horizontal="center" vertical="center"/>
    </xf>
    <xf numFmtId="1" fontId="22" fillId="0" borderId="0" xfId="0" applyNumberFormat="1" applyFont="1" applyAlignment="1">
      <alignment horizontal="center" vertical="center"/>
    </xf>
    <xf numFmtId="1" fontId="22" fillId="0" borderId="25" xfId="0" applyNumberFormat="1" applyFont="1" applyBorder="1" applyAlignment="1">
      <alignment horizontal="center" vertical="center"/>
    </xf>
    <xf numFmtId="1" fontId="22" fillId="0" borderId="9" xfId="0" applyNumberFormat="1" applyFont="1" applyBorder="1" applyAlignment="1">
      <alignment horizontal="center" vertical="center"/>
    </xf>
    <xf numFmtId="1" fontId="22" fillId="0" borderId="13" xfId="0" applyNumberFormat="1" applyFont="1" applyBorder="1" applyAlignment="1">
      <alignment horizontal="center" vertical="center"/>
    </xf>
    <xf numFmtId="0" fontId="22" fillId="0" borderId="19" xfId="0" applyFont="1" applyBorder="1" applyAlignment="1">
      <alignment horizontal="center" vertical="center"/>
    </xf>
    <xf numFmtId="0" fontId="22" fillId="0" borderId="12" xfId="0" applyFont="1" applyBorder="1" applyAlignment="1">
      <alignment horizontal="center" vertical="center"/>
    </xf>
    <xf numFmtId="0" fontId="22" fillId="0" borderId="21" xfId="0" applyFont="1" applyBorder="1" applyAlignment="1">
      <alignment horizontal="center" vertical="center"/>
    </xf>
    <xf numFmtId="0" fontId="22" fillId="0" borderId="13" xfId="0" applyFont="1" applyBorder="1" applyAlignment="1">
      <alignment horizontal="center" vertical="center"/>
    </xf>
    <xf numFmtId="0" fontId="23" fillId="6" borderId="0" xfId="0" applyFont="1" applyFill="1" applyAlignment="1">
      <alignment horizontal="center" vertical="center"/>
    </xf>
    <xf numFmtId="43" fontId="22" fillId="6" borderId="6" xfId="1" applyFont="1" applyFill="1" applyBorder="1" applyAlignment="1">
      <alignment horizontal="right" vertical="center"/>
    </xf>
    <xf numFmtId="1" fontId="22" fillId="6" borderId="52" xfId="0" applyNumberFormat="1" applyFont="1" applyFill="1" applyBorder="1" applyAlignment="1">
      <alignment horizontal="center" vertical="center"/>
    </xf>
    <xf numFmtId="0" fontId="22" fillId="6" borderId="51" xfId="0" applyFont="1" applyFill="1" applyBorder="1" applyAlignment="1">
      <alignment horizontal="center" vertical="center" wrapText="1"/>
    </xf>
    <xf numFmtId="0" fontId="22" fillId="0" borderId="12" xfId="0" applyFont="1" applyBorder="1" applyAlignment="1">
      <alignment horizontal="center" vertical="center" textRotation="4"/>
    </xf>
    <xf numFmtId="0" fontId="22" fillId="0" borderId="25" xfId="0" applyFont="1" applyBorder="1" applyAlignment="1">
      <alignment horizontal="center" vertical="center" textRotation="4"/>
    </xf>
    <xf numFmtId="0" fontId="6" fillId="0" borderId="19" xfId="0" applyFont="1" applyBorder="1" applyAlignment="1">
      <alignment horizontal="center" vertical="center"/>
    </xf>
    <xf numFmtId="3" fontId="6" fillId="12" borderId="6" xfId="0" applyNumberFormat="1"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5" xfId="0" applyFont="1" applyFill="1" applyBorder="1" applyAlignment="1">
      <alignment horizontal="center" vertical="center" wrapText="1"/>
    </xf>
    <xf numFmtId="1" fontId="6" fillId="6" borderId="19" xfId="0" applyNumberFormat="1" applyFont="1" applyFill="1" applyBorder="1" applyAlignment="1">
      <alignment horizontal="center" vertical="top"/>
    </xf>
    <xf numFmtId="1" fontId="6" fillId="6" borderId="23" xfId="0" applyNumberFormat="1" applyFont="1" applyFill="1" applyBorder="1" applyAlignment="1">
      <alignment horizontal="center" vertical="top"/>
    </xf>
    <xf numFmtId="1" fontId="6" fillId="6" borderId="21" xfId="0" applyNumberFormat="1" applyFont="1" applyFill="1" applyBorder="1" applyAlignment="1">
      <alignment horizontal="center" vertical="top"/>
    </xf>
    <xf numFmtId="1" fontId="6" fillId="6" borderId="14" xfId="0" applyNumberFormat="1" applyFont="1" applyFill="1" applyBorder="1" applyAlignment="1">
      <alignment horizontal="center" vertical="center" wrapText="1"/>
    </xf>
    <xf numFmtId="1" fontId="6" fillId="6" borderId="16" xfId="0" applyNumberFormat="1" applyFont="1" applyFill="1" applyBorder="1" applyAlignment="1">
      <alignment horizontal="center" vertical="center"/>
    </xf>
    <xf numFmtId="174" fontId="8" fillId="0" borderId="6" xfId="0" applyNumberFormat="1" applyFont="1" applyBorder="1" applyAlignment="1">
      <alignment horizontal="center" vertical="center"/>
    </xf>
    <xf numFmtId="9" fontId="4" fillId="6" borderId="6" xfId="39" applyFont="1" applyFill="1" applyBorder="1" applyAlignment="1">
      <alignment horizontal="center" vertical="center" wrapText="1"/>
    </xf>
    <xf numFmtId="3" fontId="4" fillId="6" borderId="6" xfId="0" applyNumberFormat="1" applyFont="1" applyFill="1" applyBorder="1" applyAlignment="1">
      <alignment horizontal="center" vertical="center" wrapText="1"/>
    </xf>
    <xf numFmtId="174" fontId="8" fillId="0" borderId="16" xfId="0" applyNumberFormat="1" applyFont="1" applyBorder="1" applyAlignment="1">
      <alignment horizontal="center" vertical="center"/>
    </xf>
    <xf numFmtId="0" fontId="13" fillId="6" borderId="23" xfId="0" applyFont="1" applyFill="1" applyBorder="1" applyAlignment="1">
      <alignment horizontal="center" vertical="center" wrapText="1"/>
    </xf>
    <xf numFmtId="1" fontId="6" fillId="6" borderId="19" xfId="0" applyNumberFormat="1" applyFont="1" applyFill="1" applyBorder="1" applyAlignment="1">
      <alignment horizontal="center" vertical="center"/>
    </xf>
    <xf numFmtId="1" fontId="6" fillId="6" borderId="23" xfId="0" applyNumberFormat="1" applyFont="1" applyFill="1" applyBorder="1" applyAlignment="1">
      <alignment horizontal="center" vertical="center"/>
    </xf>
    <xf numFmtId="1" fontId="6" fillId="6" borderId="43" xfId="0" applyNumberFormat="1" applyFont="1" applyFill="1" applyBorder="1" applyAlignment="1">
      <alignment horizontal="center" vertical="center"/>
    </xf>
    <xf numFmtId="1" fontId="6" fillId="6" borderId="12" xfId="0" applyNumberFormat="1" applyFont="1" applyFill="1" applyBorder="1" applyAlignment="1">
      <alignment horizontal="center" vertical="center"/>
    </xf>
    <xf numFmtId="1" fontId="6" fillId="6" borderId="25" xfId="0" applyNumberFormat="1" applyFont="1" applyFill="1" applyBorder="1" applyAlignment="1">
      <alignment horizontal="center" vertical="center"/>
    </xf>
    <xf numFmtId="1" fontId="6" fillId="6" borderId="46" xfId="0" applyNumberFormat="1" applyFont="1" applyFill="1" applyBorder="1" applyAlignment="1">
      <alignment horizontal="center" vertical="center"/>
    </xf>
    <xf numFmtId="1" fontId="6" fillId="15" borderId="15" xfId="0" applyNumberFormat="1" applyFont="1" applyFill="1" applyBorder="1" applyAlignment="1">
      <alignment horizontal="left" vertical="center" wrapText="1"/>
    </xf>
    <xf numFmtId="1" fontId="6" fillId="15" borderId="6" xfId="0" applyNumberFormat="1" applyFont="1" applyFill="1" applyBorder="1" applyAlignment="1">
      <alignment horizontal="left" vertical="center" wrapText="1"/>
    </xf>
    <xf numFmtId="1" fontId="6" fillId="15" borderId="20" xfId="0" applyNumberFormat="1" applyFont="1" applyFill="1" applyBorder="1" applyAlignment="1">
      <alignment horizontal="left" vertical="center" wrapText="1"/>
    </xf>
    <xf numFmtId="172" fontId="4" fillId="6" borderId="6" xfId="0" applyNumberFormat="1" applyFont="1" applyFill="1" applyBorder="1" applyAlignment="1">
      <alignment horizontal="center" vertical="center" wrapText="1"/>
    </xf>
    <xf numFmtId="49" fontId="8" fillId="0" borderId="6" xfId="0" applyNumberFormat="1" applyFont="1" applyBorder="1" applyAlignment="1">
      <alignment horizontal="center" vertical="center"/>
    </xf>
    <xf numFmtId="0" fontId="16" fillId="19" borderId="20" xfId="0" applyFont="1" applyFill="1" applyBorder="1" applyAlignment="1">
      <alignment horizontal="left" vertical="center" wrapText="1"/>
    </xf>
    <xf numFmtId="0" fontId="16" fillId="19" borderId="27"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20" xfId="0" applyFont="1" applyFill="1" applyBorder="1" applyAlignment="1">
      <alignment horizontal="center" vertical="center"/>
    </xf>
    <xf numFmtId="0" fontId="16" fillId="19" borderId="19" xfId="0" applyFont="1" applyFill="1" applyBorder="1" applyAlignment="1">
      <alignment horizontal="left" vertical="center" wrapText="1"/>
    </xf>
    <xf numFmtId="0" fontId="16" fillId="19" borderId="21" xfId="0" applyFont="1" applyFill="1" applyBorder="1" applyAlignment="1">
      <alignment horizontal="left" vertical="center" wrapText="1"/>
    </xf>
    <xf numFmtId="0" fontId="16" fillId="19" borderId="29" xfId="0" applyFont="1" applyFill="1" applyBorder="1" applyAlignment="1">
      <alignment horizontal="left" vertical="center" wrapText="1"/>
    </xf>
    <xf numFmtId="0" fontId="16" fillId="0" borderId="19" xfId="0" applyFont="1" applyBorder="1" applyAlignment="1">
      <alignment horizontal="left" vertical="center" wrapText="1"/>
    </xf>
    <xf numFmtId="0" fontId="16" fillId="0" borderId="43" xfId="0" applyFont="1" applyBorder="1" applyAlignment="1">
      <alignment horizontal="left"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174" fontId="8" fillId="6" borderId="6" xfId="0" applyNumberFormat="1" applyFont="1" applyFill="1" applyBorder="1" applyAlignment="1">
      <alignment horizontal="center" vertical="center"/>
    </xf>
    <xf numFmtId="174" fontId="8" fillId="6" borderId="20" xfId="0" applyNumberFormat="1" applyFont="1" applyFill="1" applyBorder="1" applyAlignment="1">
      <alignment horizontal="center" vertical="center"/>
    </xf>
    <xf numFmtId="14" fontId="4" fillId="6" borderId="6" xfId="0" applyNumberFormat="1" applyFont="1" applyFill="1" applyBorder="1" applyAlignment="1">
      <alignment horizontal="center" vertical="center"/>
    </xf>
    <xf numFmtId="0" fontId="4" fillId="6" borderId="6" xfId="0" applyFont="1" applyFill="1" applyBorder="1" applyAlignment="1">
      <alignment horizontal="center" vertical="center"/>
    </xf>
    <xf numFmtId="0" fontId="4" fillId="6" borderId="20" xfId="0" applyFont="1" applyFill="1" applyBorder="1" applyAlignment="1">
      <alignment horizontal="center" vertical="center"/>
    </xf>
    <xf numFmtId="14" fontId="4" fillId="6" borderId="20"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49" fontId="8" fillId="6" borderId="6" xfId="0" applyNumberFormat="1" applyFont="1" applyFill="1" applyBorder="1" applyAlignment="1">
      <alignment horizontal="center" vertical="center"/>
    </xf>
    <xf numFmtId="49" fontId="8" fillId="6" borderId="20" xfId="0" applyNumberFormat="1" applyFont="1" applyFill="1" applyBorder="1" applyAlignment="1">
      <alignment horizontal="center" vertical="center"/>
    </xf>
    <xf numFmtId="49" fontId="4" fillId="6" borderId="20" xfId="0" applyNumberFormat="1" applyFont="1" applyFill="1" applyBorder="1" applyAlignment="1">
      <alignment horizontal="center" vertical="center"/>
    </xf>
    <xf numFmtId="49" fontId="4" fillId="6" borderId="22" xfId="0" applyNumberFormat="1" applyFont="1" applyFill="1" applyBorder="1" applyAlignment="1">
      <alignment horizontal="center" vertical="center"/>
    </xf>
    <xf numFmtId="174" fontId="8" fillId="6" borderId="16" xfId="0" applyNumberFormat="1" applyFont="1" applyFill="1" applyBorder="1" applyAlignment="1">
      <alignment horizontal="center" vertical="center"/>
    </xf>
    <xf numFmtId="174" fontId="8" fillId="6" borderId="12" xfId="0" applyNumberFormat="1" applyFont="1" applyFill="1" applyBorder="1" applyAlignment="1">
      <alignment horizontal="center" vertical="center"/>
    </xf>
    <xf numFmtId="9" fontId="4" fillId="6" borderId="20" xfId="39" applyFont="1" applyFill="1" applyBorder="1" applyAlignment="1">
      <alignment horizontal="center" vertical="center" wrapText="1"/>
    </xf>
    <xf numFmtId="9" fontId="4" fillId="6" borderId="22" xfId="39" applyFont="1" applyFill="1" applyBorder="1" applyAlignment="1">
      <alignment horizontal="center" vertical="center" wrapText="1"/>
    </xf>
    <xf numFmtId="3" fontId="4" fillId="6" borderId="27" xfId="0" applyNumberFormat="1" applyFont="1" applyFill="1" applyBorder="1" applyAlignment="1">
      <alignment horizontal="center" vertical="center" wrapText="1"/>
    </xf>
    <xf numFmtId="0" fontId="4" fillId="6" borderId="27" xfId="0" applyFont="1" applyFill="1" applyBorder="1" applyAlignment="1">
      <alignment horizontal="justify" vertical="center" wrapText="1"/>
    </xf>
    <xf numFmtId="0" fontId="16" fillId="19" borderId="6" xfId="0" applyFont="1" applyFill="1" applyBorder="1" applyAlignment="1">
      <alignment horizontal="justify" vertical="center" wrapText="1"/>
    </xf>
    <xf numFmtId="169" fontId="17" fillId="12" borderId="19" xfId="0" applyNumberFormat="1" applyFont="1" applyFill="1" applyBorder="1" applyAlignment="1">
      <alignment horizontal="center" vertical="center" wrapText="1"/>
    </xf>
    <xf numFmtId="169" fontId="17" fillId="12" borderId="21" xfId="0" applyNumberFormat="1" applyFont="1" applyFill="1" applyBorder="1" applyAlignment="1">
      <alignment horizontal="center" vertical="center" wrapText="1"/>
    </xf>
    <xf numFmtId="3" fontId="6" fillId="12" borderId="27" xfId="0" applyNumberFormat="1"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4"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9" xfId="0" applyFont="1" applyFill="1" applyBorder="1" applyAlignment="1">
      <alignment horizontal="center" vertical="center" textRotation="90" wrapText="1"/>
    </xf>
    <xf numFmtId="0" fontId="18" fillId="4" borderId="21" xfId="0" applyFont="1" applyFill="1" applyBorder="1" applyAlignment="1">
      <alignment horizontal="center" vertical="center" textRotation="90" wrapText="1"/>
    </xf>
    <xf numFmtId="3" fontId="18" fillId="4" borderId="14" xfId="0" applyNumberFormat="1" applyFont="1" applyFill="1" applyBorder="1" applyAlignment="1">
      <alignment horizontal="center" vertical="center" wrapText="1"/>
    </xf>
    <xf numFmtId="3" fontId="18" fillId="4" borderId="15" xfId="0" applyNumberFormat="1" applyFont="1" applyFill="1" applyBorder="1" applyAlignment="1">
      <alignment horizontal="center" vertical="center" wrapText="1"/>
    </xf>
    <xf numFmtId="171" fontId="6" fillId="12" borderId="14" xfId="0" applyNumberFormat="1" applyFont="1" applyFill="1" applyBorder="1" applyAlignment="1">
      <alignment horizontal="center" vertical="center" wrapText="1"/>
    </xf>
    <xf numFmtId="171" fontId="6" fillId="12" borderId="16" xfId="0" applyNumberFormat="1" applyFont="1" applyFill="1" applyBorder="1" applyAlignment="1">
      <alignment horizontal="center" vertical="center" wrapText="1"/>
    </xf>
    <xf numFmtId="181" fontId="4" fillId="6" borderId="20" xfId="0" applyNumberFormat="1" applyFont="1" applyFill="1" applyBorder="1" applyAlignment="1">
      <alignment horizontal="center" vertical="center" wrapText="1"/>
    </xf>
    <xf numFmtId="181" fontId="4" fillId="6" borderId="22" xfId="0" applyNumberFormat="1" applyFont="1" applyFill="1" applyBorder="1" applyAlignment="1">
      <alignment horizontal="center" vertical="center" wrapText="1"/>
    </xf>
    <xf numFmtId="181" fontId="4" fillId="6" borderId="27" xfId="0" applyNumberFormat="1" applyFont="1" applyFill="1" applyBorder="1" applyAlignment="1">
      <alignment horizontal="center" vertical="center" wrapText="1"/>
    </xf>
    <xf numFmtId="181" fontId="4" fillId="6" borderId="20" xfId="0" applyNumberFormat="1" applyFont="1" applyFill="1" applyBorder="1" applyAlignment="1">
      <alignment horizontal="center" vertical="center"/>
    </xf>
    <xf numFmtId="181" fontId="4" fillId="6" borderId="22" xfId="0" applyNumberFormat="1" applyFont="1" applyFill="1" applyBorder="1" applyAlignment="1">
      <alignment horizontal="center" vertical="center"/>
    </xf>
    <xf numFmtId="181" fontId="4" fillId="6" borderId="27" xfId="0" applyNumberFormat="1" applyFont="1" applyFill="1" applyBorder="1" applyAlignment="1">
      <alignment horizontal="center" vertical="center"/>
    </xf>
    <xf numFmtId="0" fontId="4" fillId="0" borderId="22" xfId="0" applyFont="1" applyBorder="1" applyAlignment="1">
      <alignment horizontal="center" vertical="center"/>
    </xf>
    <xf numFmtId="14" fontId="4" fillId="0" borderId="20" xfId="0" applyNumberFormat="1" applyFont="1" applyBorder="1" applyAlignment="1">
      <alignment horizontal="center" vertical="center" wrapText="1"/>
    </xf>
    <xf numFmtId="14" fontId="4" fillId="0" borderId="22" xfId="0" applyNumberFormat="1" applyFont="1" applyBorder="1" applyAlignment="1">
      <alignment horizontal="center" vertical="center" wrapText="1"/>
    </xf>
    <xf numFmtId="14" fontId="4" fillId="0" borderId="27" xfId="0" applyNumberFormat="1" applyFont="1" applyBorder="1" applyAlignment="1">
      <alignment horizontal="center" vertical="center" wrapText="1"/>
    </xf>
    <xf numFmtId="14" fontId="4" fillId="0" borderId="20" xfId="0" applyNumberFormat="1" applyFont="1" applyBorder="1" applyAlignment="1">
      <alignment horizontal="center" vertical="center"/>
    </xf>
    <xf numFmtId="14" fontId="4" fillId="0" borderId="22" xfId="0" applyNumberFormat="1" applyFont="1" applyBorder="1" applyAlignment="1">
      <alignment horizontal="center" vertical="center"/>
    </xf>
    <xf numFmtId="14" fontId="4" fillId="0" borderId="27" xfId="0" applyNumberFormat="1" applyFont="1" applyBorder="1" applyAlignment="1">
      <alignment horizontal="center" vertical="center"/>
    </xf>
    <xf numFmtId="43" fontId="4" fillId="6" borderId="22" xfId="4" applyFont="1" applyFill="1" applyBorder="1" applyAlignment="1">
      <alignment horizontal="center" vertical="center" wrapText="1"/>
    </xf>
    <xf numFmtId="0" fontId="4" fillId="0" borderId="51" xfId="0" applyFont="1" applyBorder="1" applyAlignment="1">
      <alignment horizontal="left" vertical="center" wrapText="1"/>
    </xf>
    <xf numFmtId="0" fontId="4" fillId="0" borderId="23"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62" xfId="0" applyFont="1" applyBorder="1" applyAlignment="1">
      <alignment horizontal="center" vertical="center"/>
    </xf>
    <xf numFmtId="0" fontId="4" fillId="6" borderId="20" xfId="0" applyFont="1" applyFill="1" applyBorder="1" applyAlignment="1">
      <alignment horizontal="left" vertical="center" wrapText="1"/>
    </xf>
    <xf numFmtId="0" fontId="4" fillId="6" borderId="62" xfId="0" applyFont="1" applyFill="1" applyBorder="1" applyAlignment="1">
      <alignment horizontal="left" vertical="center" wrapText="1"/>
    </xf>
    <xf numFmtId="10" fontId="4" fillId="6" borderId="20" xfId="3" applyNumberFormat="1" applyFont="1" applyFill="1" applyBorder="1" applyAlignment="1">
      <alignment horizontal="center" vertical="center"/>
    </xf>
    <xf numFmtId="10" fontId="4" fillId="6" borderId="27" xfId="3" applyNumberFormat="1"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6" borderId="22" xfId="0" applyFont="1" applyFill="1" applyBorder="1" applyAlignment="1">
      <alignment horizontal="center" vertical="center"/>
    </xf>
    <xf numFmtId="10" fontId="4" fillId="6" borderId="22" xfId="3" applyNumberFormat="1" applyFont="1" applyFill="1" applyBorder="1" applyAlignment="1">
      <alignment horizontal="center" vertical="center"/>
    </xf>
    <xf numFmtId="0" fontId="4" fillId="6" borderId="27" xfId="0" applyFont="1" applyFill="1" applyBorder="1" applyAlignment="1">
      <alignment horizontal="center" vertical="center"/>
    </xf>
    <xf numFmtId="0" fontId="4" fillId="6" borderId="20" xfId="0" applyFont="1" applyFill="1" applyBorder="1" applyAlignment="1">
      <alignment horizontal="justify" vertical="center"/>
    </xf>
    <xf numFmtId="0" fontId="4" fillId="6" borderId="27" xfId="0" applyFont="1" applyFill="1" applyBorder="1" applyAlignment="1">
      <alignment horizontal="justify" vertical="center"/>
    </xf>
    <xf numFmtId="1" fontId="4" fillId="6" borderId="20" xfId="0" applyNumberFormat="1" applyFont="1" applyFill="1" applyBorder="1" applyAlignment="1">
      <alignment horizontal="center" vertical="center"/>
    </xf>
    <xf numFmtId="1" fontId="4" fillId="6" borderId="27" xfId="0" applyNumberFormat="1" applyFont="1" applyFill="1" applyBorder="1" applyAlignment="1">
      <alignment horizontal="center" vertical="center"/>
    </xf>
    <xf numFmtId="0" fontId="4" fillId="6" borderId="12" xfId="0" applyFont="1" applyFill="1" applyBorder="1" applyAlignment="1">
      <alignment vertical="center" wrapText="1"/>
    </xf>
    <xf numFmtId="0" fontId="4" fillId="6" borderId="25" xfId="0" applyFont="1" applyFill="1" applyBorder="1" applyAlignment="1">
      <alignment vertical="center" wrapText="1"/>
    </xf>
    <xf numFmtId="0" fontId="4" fillId="6" borderId="13" xfId="0" applyFont="1" applyFill="1" applyBorder="1" applyAlignment="1">
      <alignment vertical="center" wrapText="1"/>
    </xf>
    <xf numFmtId="1" fontId="4" fillId="6" borderId="22" xfId="0" applyNumberFormat="1" applyFont="1" applyFill="1" applyBorder="1" applyAlignment="1">
      <alignment horizontal="center" vertical="center"/>
    </xf>
    <xf numFmtId="9" fontId="4" fillId="6" borderId="20" xfId="3" applyFont="1" applyFill="1" applyBorder="1" applyAlignment="1">
      <alignment horizontal="center" vertical="center" wrapText="1"/>
    </xf>
    <xf numFmtId="9" fontId="4" fillId="6" borderId="22" xfId="3" applyFont="1" applyFill="1" applyBorder="1" applyAlignment="1">
      <alignment horizontal="center" vertical="center" wrapText="1"/>
    </xf>
    <xf numFmtId="9" fontId="4" fillId="6" borderId="27" xfId="3" applyFont="1" applyFill="1" applyBorder="1" applyAlignment="1">
      <alignment horizontal="center" vertical="center" wrapText="1"/>
    </xf>
    <xf numFmtId="0" fontId="4" fillId="6" borderId="23"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0" xfId="0" applyFont="1" applyFill="1" applyAlignment="1">
      <alignment horizontal="center" vertical="center"/>
    </xf>
    <xf numFmtId="0" fontId="4" fillId="6" borderId="9" xfId="0" applyFont="1" applyFill="1" applyBorder="1" applyAlignment="1">
      <alignment horizontal="center" vertical="center"/>
    </xf>
    <xf numFmtId="0" fontId="4" fillId="0" borderId="51" xfId="0" applyFont="1" applyBorder="1" applyAlignment="1">
      <alignment horizontal="center" vertical="center"/>
    </xf>
    <xf numFmtId="0" fontId="4" fillId="6" borderId="51" xfId="0" applyFont="1" applyFill="1" applyBorder="1" applyAlignment="1">
      <alignment vertical="center" wrapText="1"/>
    </xf>
    <xf numFmtId="43" fontId="4" fillId="6" borderId="6" xfId="4" applyFont="1" applyFill="1" applyBorder="1" applyAlignment="1">
      <alignment horizontal="justify" vertical="center" wrapText="1"/>
    </xf>
    <xf numFmtId="0" fontId="4" fillId="6" borderId="12" xfId="0" applyFont="1" applyFill="1" applyBorder="1" applyAlignment="1">
      <alignment horizontal="center" vertical="center"/>
    </xf>
    <xf numFmtId="1" fontId="14" fillId="0" borderId="20" xfId="0" applyNumberFormat="1" applyFont="1" applyBorder="1" applyAlignment="1">
      <alignment horizontal="center" vertical="center"/>
    </xf>
    <xf numFmtId="1" fontId="14" fillId="0" borderId="22" xfId="0" applyNumberFormat="1" applyFont="1" applyBorder="1" applyAlignment="1">
      <alignment horizontal="center" vertical="center"/>
    </xf>
    <xf numFmtId="1" fontId="14" fillId="0" borderId="27"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27" xfId="0" applyFont="1" applyBorder="1" applyAlignment="1">
      <alignment horizontal="center" vertical="center"/>
    </xf>
    <xf numFmtId="14" fontId="14" fillId="0" borderId="20" xfId="0" applyNumberFormat="1" applyFont="1" applyBorder="1" applyAlignment="1">
      <alignment horizontal="center" vertical="center" wrapText="1"/>
    </xf>
    <xf numFmtId="14" fontId="14" fillId="0" borderId="22" xfId="0" applyNumberFormat="1" applyFont="1" applyBorder="1" applyAlignment="1">
      <alignment horizontal="center" vertical="center" wrapText="1"/>
    </xf>
    <xf numFmtId="14" fontId="14" fillId="0" borderId="27"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10" fontId="4" fillId="0" borderId="20" xfId="3" applyNumberFormat="1" applyFont="1" applyBorder="1" applyAlignment="1">
      <alignment horizontal="center" vertical="center"/>
    </xf>
    <xf numFmtId="10" fontId="4" fillId="0" borderId="27" xfId="3" applyNumberFormat="1" applyFont="1" applyBorder="1" applyAlignment="1">
      <alignment horizontal="center" vertical="center"/>
    </xf>
    <xf numFmtId="43" fontId="4" fillId="0" borderId="22" xfId="4" applyFont="1" applyBorder="1" applyAlignment="1">
      <alignment horizontal="center" vertical="center"/>
    </xf>
    <xf numFmtId="9" fontId="4" fillId="6" borderId="51" xfId="3" applyFont="1" applyFill="1" applyBorder="1" applyAlignment="1">
      <alignment horizontal="center" vertical="center"/>
    </xf>
    <xf numFmtId="43" fontId="4" fillId="6" borderId="22" xfId="4" applyFont="1" applyFill="1" applyBorder="1" applyAlignment="1">
      <alignment horizontal="center" vertical="center"/>
    </xf>
    <xf numFmtId="43" fontId="4" fillId="6" borderId="25" xfId="4"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0"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22" xfId="0" applyFont="1" applyFill="1" applyBorder="1" applyAlignment="1">
      <alignment horizontal="justify" vertical="center" wrapText="1"/>
    </xf>
    <xf numFmtId="0" fontId="4" fillId="6" borderId="19" xfId="0" applyFont="1" applyFill="1" applyBorder="1" applyAlignment="1">
      <alignment horizontal="left" vertical="center" wrapText="1"/>
    </xf>
    <xf numFmtId="0" fontId="4" fillId="6" borderId="21" xfId="0" applyFont="1" applyFill="1" applyBorder="1" applyAlignment="1">
      <alignment horizontal="left" vertical="center" wrapText="1"/>
    </xf>
    <xf numFmtId="14" fontId="14" fillId="0" borderId="20" xfId="0" applyNumberFormat="1" applyFont="1" applyBorder="1" applyAlignment="1">
      <alignment horizontal="center" vertical="center"/>
    </xf>
    <xf numFmtId="14" fontId="14" fillId="0" borderId="22" xfId="0" applyNumberFormat="1" applyFont="1" applyBorder="1" applyAlignment="1">
      <alignment horizontal="center" vertical="center"/>
    </xf>
    <xf numFmtId="14" fontId="14" fillId="0" borderId="27" xfId="0" applyNumberFormat="1" applyFont="1" applyBorder="1" applyAlignment="1">
      <alignment horizontal="center" vertical="center"/>
    </xf>
    <xf numFmtId="0" fontId="4" fillId="0" borderId="20" xfId="0" applyFont="1" applyBorder="1" applyAlignment="1">
      <alignment vertical="center" wrapText="1"/>
    </xf>
    <xf numFmtId="0" fontId="4" fillId="0" borderId="27" xfId="0" applyFont="1" applyBorder="1" applyAlignment="1">
      <alignment vertical="center" wrapText="1"/>
    </xf>
    <xf numFmtId="10" fontId="4" fillId="0" borderId="22" xfId="3" applyNumberFormat="1" applyFont="1" applyBorder="1" applyAlignment="1">
      <alignment horizontal="center" vertical="center"/>
    </xf>
    <xf numFmtId="10" fontId="8" fillId="0" borderId="20" xfId="3" applyNumberFormat="1" applyFont="1" applyBorder="1" applyAlignment="1">
      <alignment horizontal="center" vertical="center"/>
    </xf>
    <xf numFmtId="10" fontId="8" fillId="0" borderId="22" xfId="3" applyNumberFormat="1" applyFont="1" applyBorder="1" applyAlignment="1">
      <alignment horizontal="center" vertical="center"/>
    </xf>
    <xf numFmtId="10" fontId="8" fillId="0" borderId="27" xfId="3" applyNumberFormat="1" applyFont="1" applyBorder="1" applyAlignment="1">
      <alignment horizontal="center" vertical="center"/>
    </xf>
    <xf numFmtId="0" fontId="4" fillId="6" borderId="27" xfId="0" applyFont="1" applyFill="1" applyBorder="1" applyAlignment="1">
      <alignment horizontal="left" vertical="center" wrapText="1"/>
    </xf>
    <xf numFmtId="0" fontId="4" fillId="6" borderId="51" xfId="0" applyFont="1" applyFill="1" applyBorder="1" applyAlignment="1">
      <alignment horizontal="left" vertical="center" wrapText="1"/>
    </xf>
    <xf numFmtId="9" fontId="4" fillId="6" borderId="56" xfId="3" applyFont="1" applyFill="1" applyBorder="1" applyAlignment="1">
      <alignment horizontal="center" vertical="center"/>
    </xf>
    <xf numFmtId="9" fontId="4" fillId="6" borderId="27" xfId="3" applyFont="1" applyFill="1" applyBorder="1" applyAlignment="1">
      <alignment horizontal="center" vertical="center"/>
    </xf>
    <xf numFmtId="43" fontId="4" fillId="0" borderId="27" xfId="4" applyFont="1" applyBorder="1" applyAlignment="1">
      <alignment horizontal="center" vertical="center" wrapText="1"/>
    </xf>
    <xf numFmtId="10" fontId="14" fillId="0" borderId="20" xfId="0" applyNumberFormat="1" applyFont="1" applyBorder="1" applyAlignment="1">
      <alignment horizontal="center" vertical="center"/>
    </xf>
    <xf numFmtId="10" fontId="14" fillId="0" borderId="27" xfId="0" applyNumberFormat="1" applyFont="1" applyBorder="1" applyAlignment="1">
      <alignment horizontal="center" vertical="center"/>
    </xf>
    <xf numFmtId="0" fontId="4" fillId="0" borderId="0" xfId="0" applyFont="1" applyAlignment="1">
      <alignment horizontal="center" vertical="center" wrapText="1"/>
    </xf>
    <xf numFmtId="9" fontId="4" fillId="6" borderId="22" xfId="3" applyFont="1" applyFill="1" applyBorder="1" applyAlignment="1">
      <alignment horizontal="center" vertical="center"/>
    </xf>
    <xf numFmtId="0" fontId="8" fillId="0" borderId="51" xfId="0" applyFont="1" applyBorder="1" applyAlignment="1">
      <alignment horizontal="justify" vertical="center" wrapText="1"/>
    </xf>
    <xf numFmtId="0" fontId="4" fillId="6" borderId="51" xfId="0" applyFont="1" applyFill="1" applyBorder="1" applyAlignment="1">
      <alignment horizontal="center" vertical="center"/>
    </xf>
    <xf numFmtId="0" fontId="4" fillId="6" borderId="51" xfId="0" applyFont="1" applyFill="1" applyBorder="1" applyAlignment="1">
      <alignment horizontal="left" vertical="center"/>
    </xf>
    <xf numFmtId="1" fontId="4" fillId="6" borderId="6" xfId="0" applyNumberFormat="1" applyFont="1" applyFill="1" applyBorder="1" applyAlignment="1">
      <alignment horizontal="center" vertical="center"/>
    </xf>
    <xf numFmtId="1" fontId="4" fillId="6" borderId="12" xfId="0" applyNumberFormat="1" applyFont="1" applyFill="1" applyBorder="1" applyAlignment="1">
      <alignment horizontal="center" vertical="center"/>
    </xf>
    <xf numFmtId="1" fontId="4" fillId="6" borderId="25" xfId="0" applyNumberFormat="1" applyFont="1" applyFill="1" applyBorder="1" applyAlignment="1">
      <alignment horizontal="center" vertical="center"/>
    </xf>
    <xf numFmtId="1" fontId="4" fillId="6" borderId="13" xfId="0" applyNumberFormat="1" applyFont="1" applyFill="1" applyBorder="1" applyAlignment="1">
      <alignment horizontal="center" vertical="center"/>
    </xf>
    <xf numFmtId="0" fontId="4" fillId="6" borderId="12" xfId="0" applyFont="1" applyFill="1" applyBorder="1" applyAlignment="1">
      <alignment horizontal="left" vertical="center"/>
    </xf>
    <xf numFmtId="0" fontId="4" fillId="6" borderId="25" xfId="0" applyFont="1" applyFill="1" applyBorder="1" applyAlignment="1">
      <alignment horizontal="left" vertical="center"/>
    </xf>
    <xf numFmtId="0" fontId="4" fillId="6" borderId="13" xfId="0" applyFont="1" applyFill="1" applyBorder="1" applyAlignment="1">
      <alignment horizontal="left" vertical="center"/>
    </xf>
    <xf numFmtId="0" fontId="14" fillId="0" borderId="6" xfId="0" applyFont="1" applyBorder="1" applyAlignment="1">
      <alignment horizontal="center" vertical="center" wrapText="1"/>
    </xf>
    <xf numFmtId="43" fontId="4" fillId="6" borderId="20" xfId="4" applyFont="1" applyFill="1" applyBorder="1" applyAlignment="1">
      <alignment horizontal="center" vertical="center" wrapText="1"/>
    </xf>
    <xf numFmtId="43" fontId="4" fillId="6" borderId="27" xfId="4" applyFont="1" applyFill="1" applyBorder="1" applyAlignment="1">
      <alignment horizontal="center" vertical="center" wrapText="1"/>
    </xf>
    <xf numFmtId="0" fontId="4" fillId="6" borderId="22" xfId="0" applyFont="1" applyFill="1" applyBorder="1" applyAlignment="1">
      <alignment horizontal="left" vertical="center" wrapText="1"/>
    </xf>
    <xf numFmtId="1" fontId="14" fillId="0" borderId="6" xfId="0" applyNumberFormat="1" applyFont="1" applyBorder="1" applyAlignment="1">
      <alignment horizontal="center" vertical="center"/>
    </xf>
    <xf numFmtId="0" fontId="14" fillId="0" borderId="6" xfId="0" applyFont="1" applyBorder="1" applyAlignment="1">
      <alignment horizontal="center" vertical="center"/>
    </xf>
    <xf numFmtId="9" fontId="4" fillId="6" borderId="20" xfId="3" applyFont="1" applyFill="1" applyBorder="1" applyAlignment="1">
      <alignment horizontal="center" vertical="center"/>
    </xf>
    <xf numFmtId="0" fontId="4" fillId="0" borderId="6" xfId="0" applyFont="1" applyBorder="1" applyAlignment="1">
      <alignment horizontal="left" vertical="center" wrapText="1"/>
    </xf>
    <xf numFmtId="9" fontId="4" fillId="0" borderId="20" xfId="3" applyFont="1" applyBorder="1" applyAlignment="1">
      <alignment horizontal="center" vertical="center" wrapText="1"/>
    </xf>
    <xf numFmtId="9" fontId="4" fillId="0" borderId="22" xfId="3" applyFont="1" applyBorder="1" applyAlignment="1">
      <alignment horizontal="center" vertical="center" wrapText="1"/>
    </xf>
    <xf numFmtId="9" fontId="4" fillId="0" borderId="27" xfId="3" applyFont="1" applyBorder="1" applyAlignment="1">
      <alignment horizontal="center" vertical="center" wrapText="1"/>
    </xf>
    <xf numFmtId="43" fontId="4" fillId="0" borderId="6" xfId="4" applyFont="1" applyBorder="1" applyAlignment="1">
      <alignment horizontal="center" vertical="center"/>
    </xf>
    <xf numFmtId="1" fontId="14" fillId="0" borderId="6" xfId="0" applyNumberFormat="1" applyFont="1" applyBorder="1" applyAlignment="1">
      <alignment horizontal="center" vertical="center" wrapText="1"/>
    </xf>
    <xf numFmtId="0" fontId="4" fillId="6" borderId="14" xfId="0" applyFont="1" applyFill="1" applyBorder="1" applyAlignment="1">
      <alignment horizontal="center" vertical="center" wrapText="1"/>
    </xf>
    <xf numFmtId="3" fontId="4" fillId="0" borderId="6" xfId="0" applyNumberFormat="1" applyFont="1" applyBorder="1" applyAlignment="1">
      <alignment horizontal="center" vertical="center" wrapText="1"/>
    </xf>
    <xf numFmtId="9" fontId="4" fillId="6" borderId="6" xfId="3" applyFont="1" applyFill="1" applyBorder="1" applyAlignment="1">
      <alignment horizontal="center" vertical="center" wrapText="1"/>
    </xf>
    <xf numFmtId="43" fontId="4" fillId="6" borderId="6" xfId="4" applyFont="1" applyFill="1" applyBorder="1" applyAlignment="1">
      <alignment vertical="center" wrapText="1"/>
    </xf>
    <xf numFmtId="0" fontId="4" fillId="6" borderId="6" xfId="0" applyFont="1" applyFill="1" applyBorder="1" applyAlignment="1">
      <alignment vertical="center" wrapText="1"/>
    </xf>
    <xf numFmtId="14" fontId="14" fillId="0" borderId="20" xfId="0" applyNumberFormat="1" applyFont="1" applyBorder="1" applyAlignment="1">
      <alignment horizontal="right" vertical="center" wrapText="1"/>
    </xf>
    <xf numFmtId="14" fontId="14" fillId="0" borderId="22" xfId="0" applyNumberFormat="1" applyFont="1" applyBorder="1" applyAlignment="1">
      <alignment horizontal="right" vertical="center" wrapText="1"/>
    </xf>
    <xf numFmtId="14" fontId="14" fillId="0" borderId="27" xfId="0" applyNumberFormat="1" applyFont="1" applyBorder="1" applyAlignment="1">
      <alignment horizontal="right" vertical="center" wrapText="1"/>
    </xf>
    <xf numFmtId="1" fontId="6" fillId="6" borderId="14" xfId="0" applyNumberFormat="1" applyFont="1" applyFill="1" applyBorder="1" applyAlignment="1">
      <alignment horizontal="center" vertical="center"/>
    </xf>
    <xf numFmtId="1" fontId="6" fillId="6" borderId="15" xfId="0" applyNumberFormat="1" applyFont="1" applyFill="1" applyBorder="1" applyAlignment="1">
      <alignment horizontal="center" vertical="center"/>
    </xf>
    <xf numFmtId="0" fontId="6" fillId="0" borderId="0" xfId="0" applyFont="1" applyAlignment="1">
      <alignment horizontal="left" wrapText="1"/>
    </xf>
    <xf numFmtId="43" fontId="4" fillId="6" borderId="20" xfId="4" applyFont="1" applyFill="1" applyBorder="1" applyAlignment="1">
      <alignment horizontal="center" vertical="center"/>
    </xf>
    <xf numFmtId="43" fontId="4" fillId="6" borderId="27" xfId="4" applyFont="1" applyFill="1" applyBorder="1" applyAlignment="1">
      <alignment horizontal="center" vertical="center"/>
    </xf>
    <xf numFmtId="0" fontId="23" fillId="3" borderId="20"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7" xfId="0" applyFont="1" applyFill="1" applyBorder="1" applyAlignment="1">
      <alignment horizontal="center" vertical="center" wrapText="1"/>
    </xf>
    <xf numFmtId="184" fontId="22" fillId="0" borderId="22" xfId="0" applyNumberFormat="1"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15" xfId="0" applyFont="1" applyBorder="1" applyAlignment="1">
      <alignment horizontal="center" vertical="center"/>
    </xf>
    <xf numFmtId="0" fontId="23" fillId="3" borderId="12"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23" fillId="3" borderId="13" xfId="0" applyFont="1" applyFill="1" applyBorder="1" applyAlignment="1">
      <alignment horizontal="center" vertical="center" wrapText="1"/>
    </xf>
    <xf numFmtId="43" fontId="23" fillId="3" borderId="20" xfId="1" applyFont="1" applyFill="1" applyBorder="1" applyAlignment="1">
      <alignment horizontal="center" vertical="center" wrapText="1"/>
    </xf>
    <xf numFmtId="43" fontId="23" fillId="3" borderId="22" xfId="1" applyFont="1" applyFill="1" applyBorder="1" applyAlignment="1">
      <alignment horizontal="center" vertical="center" wrapText="1"/>
    </xf>
    <xf numFmtId="43" fontId="23" fillId="3" borderId="27" xfId="1"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2"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35" fillId="4" borderId="6" xfId="0" applyFont="1" applyFill="1" applyBorder="1" applyAlignment="1">
      <alignment horizontal="center" vertical="center" wrapText="1"/>
    </xf>
    <xf numFmtId="171" fontId="23" fillId="3" borderId="19" xfId="0" applyNumberFormat="1" applyFont="1" applyFill="1" applyBorder="1" applyAlignment="1">
      <alignment horizontal="center" vertical="center" wrapText="1"/>
    </xf>
    <xf numFmtId="171" fontId="23" fillId="3" borderId="23" xfId="0" applyNumberFormat="1" applyFont="1" applyFill="1" applyBorder="1" applyAlignment="1">
      <alignment horizontal="center" vertical="center" wrapText="1"/>
    </xf>
    <xf numFmtId="0" fontId="22" fillId="6" borderId="6" xfId="0" applyFont="1" applyFill="1" applyBorder="1" applyAlignment="1">
      <alignment horizontal="center" vertical="center"/>
    </xf>
    <xf numFmtId="14" fontId="22" fillId="0" borderId="6" xfId="0" applyNumberFormat="1" applyFont="1" applyBorder="1" applyAlignment="1">
      <alignment horizontal="center" vertical="center"/>
    </xf>
    <xf numFmtId="0" fontId="33" fillId="6" borderId="22" xfId="0" applyFont="1" applyFill="1" applyBorder="1" applyAlignment="1">
      <alignment horizontal="justify" vertical="center" wrapText="1"/>
    </xf>
    <xf numFmtId="0" fontId="22" fillId="0" borderId="23" xfId="0" applyFont="1" applyBorder="1" applyAlignment="1">
      <alignment horizontal="justify" vertical="center" wrapText="1"/>
    </xf>
    <xf numFmtId="184" fontId="22" fillId="0" borderId="25" xfId="0" applyNumberFormat="1" applyFont="1" applyBorder="1" applyAlignment="1">
      <alignment horizontal="center" vertical="center"/>
    </xf>
    <xf numFmtId="184" fontId="22" fillId="0" borderId="6" xfId="0" applyNumberFormat="1" applyFont="1" applyBorder="1" applyAlignment="1">
      <alignment horizontal="center" vertical="center"/>
    </xf>
    <xf numFmtId="184" fontId="22" fillId="0" borderId="20" xfId="0" applyNumberFormat="1" applyFont="1" applyBorder="1" applyAlignment="1">
      <alignment horizontal="center" vertical="center"/>
    </xf>
    <xf numFmtId="0" fontId="33" fillId="0" borderId="20" xfId="0" applyFont="1" applyBorder="1" applyAlignment="1">
      <alignment horizontal="justify" vertical="center" wrapText="1"/>
    </xf>
    <xf numFmtId="0" fontId="33" fillId="0" borderId="22" xfId="0" applyFont="1" applyBorder="1" applyAlignment="1">
      <alignment horizontal="justify" vertical="center" wrapText="1"/>
    </xf>
    <xf numFmtId="182" fontId="22" fillId="6" borderId="20" xfId="0" applyNumberFormat="1" applyFont="1" applyFill="1" applyBorder="1" applyAlignment="1">
      <alignment horizontal="center" vertical="center" wrapText="1"/>
    </xf>
    <xf numFmtId="182" fontId="22" fillId="6" borderId="22" xfId="0" applyNumberFormat="1" applyFont="1" applyFill="1" applyBorder="1" applyAlignment="1">
      <alignment horizontal="center" vertical="center" wrapText="1"/>
    </xf>
    <xf numFmtId="183" fontId="22" fillId="6" borderId="20" xfId="0" applyNumberFormat="1" applyFont="1" applyFill="1" applyBorder="1" applyAlignment="1">
      <alignment horizontal="center" vertical="center" wrapText="1"/>
    </xf>
    <xf numFmtId="183" fontId="22" fillId="6" borderId="22" xfId="0" applyNumberFormat="1" applyFont="1" applyFill="1" applyBorder="1" applyAlignment="1">
      <alignment horizontal="center" vertical="center" wrapText="1"/>
    </xf>
    <xf numFmtId="0" fontId="22" fillId="0" borderId="20" xfId="0" applyFont="1" applyBorder="1" applyAlignment="1">
      <alignment horizontal="center"/>
    </xf>
    <xf numFmtId="0" fontId="22" fillId="0" borderId="22" xfId="0" applyFont="1" applyBorder="1" applyAlignment="1">
      <alignment horizontal="center"/>
    </xf>
    <xf numFmtId="0" fontId="33" fillId="6" borderId="20" xfId="0" applyFont="1" applyFill="1" applyBorder="1" applyAlignment="1">
      <alignment horizontal="justify" vertical="center" wrapText="1"/>
    </xf>
    <xf numFmtId="10" fontId="0" fillId="0" borderId="0" xfId="0" applyNumberFormat="1" applyAlignment="1">
      <alignment vertical="center"/>
    </xf>
    <xf numFmtId="43" fontId="24" fillId="6" borderId="20" xfId="6" applyFont="1" applyFill="1" applyBorder="1" applyAlignment="1">
      <alignment horizontal="justify" vertical="center" wrapText="1"/>
    </xf>
    <xf numFmtId="43" fontId="24" fillId="6" borderId="22" xfId="6" applyFont="1" applyFill="1" applyBorder="1" applyAlignment="1">
      <alignment horizontal="justify" vertical="center" wrapText="1"/>
    </xf>
    <xf numFmtId="174" fontId="22" fillId="0" borderId="20" xfId="0" applyNumberFormat="1" applyFont="1" applyBorder="1" applyAlignment="1">
      <alignment horizontal="center" vertical="center"/>
    </xf>
    <xf numFmtId="174" fontId="22" fillId="0" borderId="22" xfId="0" applyNumberFormat="1" applyFont="1" applyBorder="1" applyAlignment="1">
      <alignment horizontal="center" vertical="center"/>
    </xf>
    <xf numFmtId="14" fontId="22" fillId="0" borderId="20" xfId="0" applyNumberFormat="1" applyFont="1" applyBorder="1" applyAlignment="1">
      <alignment horizontal="center" vertical="center" wrapText="1"/>
    </xf>
    <xf numFmtId="14" fontId="22" fillId="0" borderId="22" xfId="0" applyNumberFormat="1" applyFont="1" applyBorder="1" applyAlignment="1">
      <alignment horizontal="center" vertical="center" wrapText="1"/>
    </xf>
    <xf numFmtId="14" fontId="22" fillId="0" borderId="27" xfId="0" applyNumberFormat="1" applyFont="1" applyBorder="1" applyAlignment="1">
      <alignment horizontal="center" vertical="center" wrapText="1"/>
    </xf>
    <xf numFmtId="14" fontId="22" fillId="0" borderId="22" xfId="0" applyNumberFormat="1" applyFont="1" applyBorder="1" applyAlignment="1">
      <alignment horizontal="center" vertical="center"/>
    </xf>
    <xf numFmtId="3" fontId="24" fillId="0" borderId="20" xfId="0" applyNumberFormat="1" applyFont="1" applyBorder="1" applyAlignment="1">
      <alignment horizontal="center" vertical="center"/>
    </xf>
    <xf numFmtId="3" fontId="24" fillId="0" borderId="22" xfId="0" applyNumberFormat="1" applyFont="1" applyBorder="1" applyAlignment="1">
      <alignment horizontal="center" vertical="center"/>
    </xf>
    <xf numFmtId="3" fontId="24" fillId="0" borderId="27" xfId="0" applyNumberFormat="1" applyFont="1" applyBorder="1" applyAlignment="1">
      <alignment horizontal="center" vertical="center"/>
    </xf>
    <xf numFmtId="174" fontId="22" fillId="0" borderId="27" xfId="0" applyNumberFormat="1" applyFont="1" applyBorder="1" applyAlignment="1">
      <alignment horizontal="center" vertical="center"/>
    </xf>
    <xf numFmtId="3" fontId="23" fillId="0" borderId="20" xfId="0" applyNumberFormat="1" applyFont="1" applyBorder="1" applyAlignment="1">
      <alignment horizontal="center" vertical="center"/>
    </xf>
    <xf numFmtId="3" fontId="23" fillId="0" borderId="22" xfId="0" applyNumberFormat="1" applyFont="1" applyBorder="1" applyAlignment="1">
      <alignment horizontal="center" vertical="center"/>
    </xf>
    <xf numFmtId="3" fontId="23" fillId="0" borderId="27" xfId="0" applyNumberFormat="1" applyFont="1" applyBorder="1" applyAlignment="1">
      <alignment horizontal="center" vertical="center"/>
    </xf>
    <xf numFmtId="0" fontId="22" fillId="0" borderId="0" xfId="0" applyFont="1" applyAlignment="1">
      <alignment horizontal="center" wrapText="1"/>
    </xf>
    <xf numFmtId="0" fontId="22" fillId="0" borderId="27" xfId="0" applyFont="1" applyBorder="1" applyAlignment="1">
      <alignment horizontal="center"/>
    </xf>
    <xf numFmtId="10" fontId="0" fillId="0" borderId="6" xfId="0" applyNumberFormat="1" applyBorder="1" applyAlignment="1">
      <alignment vertical="center"/>
    </xf>
    <xf numFmtId="0" fontId="33" fillId="0" borderId="16" xfId="0" applyFont="1" applyBorder="1" applyAlignment="1">
      <alignment horizontal="center" vertical="center" wrapText="1"/>
    </xf>
    <xf numFmtId="0" fontId="33" fillId="6" borderId="27" xfId="0" applyFont="1" applyFill="1" applyBorder="1" applyAlignment="1">
      <alignment horizontal="justify" vertical="center" wrapText="1"/>
    </xf>
    <xf numFmtId="0" fontId="33" fillId="0" borderId="27" xfId="0" applyFont="1" applyBorder="1" applyAlignment="1">
      <alignment horizontal="justify" vertical="center" wrapText="1"/>
    </xf>
    <xf numFmtId="1" fontId="22" fillId="6" borderId="6" xfId="24" applyNumberFormat="1" applyFont="1" applyFill="1" applyBorder="1" applyAlignment="1">
      <alignment horizontal="center" vertical="center" wrapText="1"/>
    </xf>
    <xf numFmtId="182" fontId="22" fillId="6" borderId="27" xfId="0" applyNumberFormat="1" applyFont="1" applyFill="1" applyBorder="1" applyAlignment="1">
      <alignment horizontal="center" vertical="center" wrapText="1"/>
    </xf>
    <xf numFmtId="183" fontId="22" fillId="6" borderId="27" xfId="0" applyNumberFormat="1" applyFont="1" applyFill="1" applyBorder="1" applyAlignment="1">
      <alignment horizontal="center" vertical="center" wrapText="1"/>
    </xf>
    <xf numFmtId="10" fontId="23" fillId="3" borderId="20" xfId="0" applyNumberFormat="1" applyFont="1" applyFill="1" applyBorder="1" applyAlignment="1">
      <alignment horizontal="center" vertical="center" wrapText="1"/>
    </xf>
    <xf numFmtId="10" fontId="23" fillId="3" borderId="22" xfId="0" applyNumberFormat="1" applyFont="1" applyFill="1" applyBorder="1" applyAlignment="1">
      <alignment horizontal="center" vertical="center" wrapText="1"/>
    </xf>
    <xf numFmtId="10" fontId="23" fillId="3" borderId="27" xfId="0" applyNumberFormat="1" applyFont="1" applyFill="1" applyBorder="1" applyAlignment="1">
      <alignment horizontal="center" vertical="center" wrapText="1"/>
    </xf>
    <xf numFmtId="0" fontId="23" fillId="0" borderId="0" xfId="0" applyFont="1" applyAlignment="1">
      <alignment horizontal="center" wrapText="1"/>
    </xf>
    <xf numFmtId="169" fontId="23" fillId="3" borderId="20" xfId="0" applyNumberFormat="1" applyFont="1" applyFill="1" applyBorder="1" applyAlignment="1">
      <alignment horizontal="center" vertical="center" wrapText="1"/>
    </xf>
    <xf numFmtId="169" fontId="23" fillId="3" borderId="22" xfId="0" applyNumberFormat="1" applyFont="1" applyFill="1" applyBorder="1" applyAlignment="1">
      <alignment horizontal="center" vertical="center" wrapText="1"/>
    </xf>
    <xf numFmtId="169" fontId="23" fillId="3" borderId="27" xfId="0" applyNumberFormat="1" applyFont="1" applyFill="1" applyBorder="1" applyAlignment="1">
      <alignment horizontal="center" vertical="center" wrapText="1"/>
    </xf>
    <xf numFmtId="0" fontId="24" fillId="0" borderId="25" xfId="0" applyFont="1" applyBorder="1" applyAlignment="1">
      <alignment horizontal="center" vertical="center" wrapText="1"/>
    </xf>
    <xf numFmtId="1" fontId="24" fillId="6" borderId="27" xfId="5" applyNumberFormat="1" applyFont="1" applyFill="1" applyBorder="1" applyAlignment="1">
      <alignment horizontal="center" vertical="center" wrapText="1"/>
    </xf>
    <xf numFmtId="1" fontId="24" fillId="6" borderId="20" xfId="5" applyNumberFormat="1" applyFont="1" applyFill="1" applyBorder="1" applyAlignment="1">
      <alignment horizontal="center" vertical="center" wrapText="1"/>
    </xf>
    <xf numFmtId="183" fontId="22" fillId="0" borderId="22" xfId="0" applyNumberFormat="1" applyFont="1" applyBorder="1" applyAlignment="1">
      <alignment horizontal="center" vertical="center" wrapText="1"/>
    </xf>
    <xf numFmtId="3" fontId="23" fillId="3" borderId="20" xfId="0" applyNumberFormat="1" applyFont="1" applyFill="1" applyBorder="1" applyAlignment="1">
      <alignment horizontal="center" vertical="center" wrapText="1"/>
    </xf>
    <xf numFmtId="3" fontId="23" fillId="3" borderId="22" xfId="0" applyNumberFormat="1" applyFont="1" applyFill="1" applyBorder="1" applyAlignment="1">
      <alignment horizontal="center" vertical="center" wrapText="1"/>
    </xf>
    <xf numFmtId="3" fontId="23" fillId="3" borderId="27" xfId="0" applyNumberFormat="1"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7" xfId="0" applyFont="1" applyBorder="1" applyAlignment="1">
      <alignment horizontal="center" vertical="center" wrapText="1"/>
    </xf>
    <xf numFmtId="183" fontId="22" fillId="0" borderId="20" xfId="0" applyNumberFormat="1" applyFont="1" applyBorder="1" applyAlignment="1">
      <alignment horizontal="center" vertical="center" wrapText="1"/>
    </xf>
    <xf numFmtId="183" fontId="22" fillId="0" borderId="27" xfId="0" applyNumberFormat="1" applyFont="1" applyBorder="1" applyAlignment="1">
      <alignment horizontal="center" vertical="center" wrapText="1"/>
    </xf>
    <xf numFmtId="43" fontId="22" fillId="6" borderId="6" xfId="1" applyFont="1" applyFill="1" applyBorder="1" applyAlignment="1">
      <alignment horizontal="center" vertical="center"/>
    </xf>
    <xf numFmtId="0" fontId="22" fillId="6" borderId="20" xfId="17" applyNumberFormat="1" applyFont="1" applyFill="1" applyBorder="1" applyAlignment="1">
      <alignment horizontal="center" vertical="center"/>
    </xf>
    <xf numFmtId="0" fontId="22" fillId="6" borderId="22" xfId="17" applyNumberFormat="1" applyFont="1" applyFill="1" applyBorder="1" applyAlignment="1">
      <alignment horizontal="center" vertical="center"/>
    </xf>
    <xf numFmtId="0" fontId="22" fillId="6" borderId="27" xfId="17" applyNumberFormat="1" applyFont="1" applyFill="1" applyBorder="1" applyAlignment="1">
      <alignment horizontal="center" vertical="center"/>
    </xf>
    <xf numFmtId="0" fontId="24" fillId="0" borderId="6" xfId="0" applyFont="1" applyBorder="1" applyAlignment="1">
      <alignment horizontal="center" vertical="center" wrapText="1"/>
    </xf>
    <xf numFmtId="0" fontId="33" fillId="0" borderId="12" xfId="0" applyFont="1" applyBorder="1" applyAlignment="1">
      <alignment horizontal="justify" vertical="center" wrapText="1"/>
    </xf>
    <xf numFmtId="0" fontId="33" fillId="0" borderId="25" xfId="0" applyFont="1" applyBorder="1" applyAlignment="1">
      <alignment horizontal="justify" vertical="center" wrapText="1"/>
    </xf>
    <xf numFmtId="182" fontId="22" fillId="6" borderId="6" xfId="0" applyNumberFormat="1" applyFont="1" applyFill="1" applyBorder="1" applyAlignment="1">
      <alignment horizontal="center" vertical="center" wrapText="1"/>
    </xf>
    <xf numFmtId="0" fontId="33" fillId="6" borderId="6" xfId="0" applyFont="1" applyFill="1" applyBorder="1" applyAlignment="1">
      <alignment horizontal="justify" vertical="center" wrapText="1"/>
    </xf>
    <xf numFmtId="0" fontId="33" fillId="6" borderId="14" xfId="0" applyFont="1" applyFill="1" applyBorder="1" applyAlignment="1">
      <alignment horizontal="justify" vertical="center" wrapText="1"/>
    </xf>
    <xf numFmtId="174" fontId="22" fillId="6" borderId="6" xfId="17" applyNumberFormat="1" applyFont="1" applyFill="1" applyBorder="1" applyAlignment="1">
      <alignment horizontal="center" vertical="center"/>
    </xf>
    <xf numFmtId="1" fontId="22" fillId="6" borderId="6" xfId="0" applyNumberFormat="1" applyFont="1" applyFill="1" applyBorder="1" applyAlignment="1">
      <alignment horizontal="center" vertical="center"/>
    </xf>
    <xf numFmtId="0" fontId="33" fillId="0" borderId="6" xfId="0" applyFont="1" applyBorder="1" applyAlignment="1">
      <alignment horizontal="justify" vertical="center" wrapText="1"/>
    </xf>
    <xf numFmtId="0" fontId="22" fillId="0" borderId="12" xfId="0" applyFont="1" applyBorder="1" applyAlignment="1">
      <alignment horizontal="justify" vertical="center" wrapText="1"/>
    </xf>
    <xf numFmtId="0" fontId="22" fillId="0" borderId="25" xfId="0" applyFont="1" applyBorder="1" applyAlignment="1">
      <alignment horizontal="justify" vertical="center" wrapText="1"/>
    </xf>
    <xf numFmtId="0" fontId="22" fillId="0" borderId="13" xfId="0" applyFont="1" applyBorder="1" applyAlignment="1">
      <alignment horizontal="justify" vertical="center" wrapText="1"/>
    </xf>
    <xf numFmtId="14" fontId="22" fillId="6" borderId="27" xfId="0" applyNumberFormat="1" applyFont="1" applyFill="1" applyBorder="1" applyAlignment="1">
      <alignment horizontal="center" vertical="center"/>
    </xf>
    <xf numFmtId="0" fontId="22" fillId="0" borderId="20" xfId="0" applyFont="1" applyFill="1" applyBorder="1" applyAlignment="1">
      <alignment horizontal="center" vertical="center"/>
    </xf>
    <xf numFmtId="0" fontId="22" fillId="0" borderId="22" xfId="0" applyFont="1" applyFill="1" applyBorder="1" applyAlignment="1">
      <alignment horizontal="center" vertical="center"/>
    </xf>
    <xf numFmtId="1" fontId="22" fillId="0" borderId="20" xfId="0" applyNumberFormat="1" applyFont="1" applyFill="1" applyBorder="1" applyAlignment="1">
      <alignment horizontal="center" vertical="center"/>
    </xf>
    <xf numFmtId="1" fontId="22" fillId="0" borderId="22" xfId="0" applyNumberFormat="1" applyFont="1" applyFill="1" applyBorder="1" applyAlignment="1">
      <alignment horizontal="center" vertical="center"/>
    </xf>
    <xf numFmtId="49" fontId="24" fillId="6" borderId="20" xfId="8" applyNumberFormat="1" applyFont="1" applyFill="1" applyBorder="1" applyAlignment="1">
      <alignment horizontal="center" vertical="center" wrapText="1"/>
    </xf>
    <xf numFmtId="49" fontId="24" fillId="6" borderId="22" xfId="8" applyNumberFormat="1" applyFont="1" applyFill="1" applyBorder="1" applyAlignment="1">
      <alignment horizontal="center" vertical="center" wrapText="1"/>
    </xf>
    <xf numFmtId="14" fontId="22" fillId="0" borderId="19" xfId="0" applyNumberFormat="1" applyFont="1" applyBorder="1" applyAlignment="1">
      <alignment horizontal="center" vertical="center"/>
    </xf>
    <xf numFmtId="14" fontId="22" fillId="0" borderId="23" xfId="0" applyNumberFormat="1" applyFont="1" applyBorder="1" applyAlignment="1">
      <alignment horizontal="center" vertical="center"/>
    </xf>
    <xf numFmtId="0" fontId="22" fillId="0" borderId="12" xfId="0" applyFont="1" applyBorder="1" applyAlignment="1">
      <alignment horizontal="center"/>
    </xf>
    <xf numFmtId="0" fontId="22" fillId="0" borderId="25" xfId="0" applyFont="1" applyBorder="1" applyAlignment="1">
      <alignment horizontal="center"/>
    </xf>
    <xf numFmtId="1" fontId="24" fillId="6" borderId="6" xfId="0" applyNumberFormat="1" applyFont="1" applyFill="1" applyBorder="1" applyAlignment="1">
      <alignment horizontal="center" vertical="center" wrapText="1"/>
    </xf>
    <xf numFmtId="43" fontId="24" fillId="0" borderId="27" xfId="1" applyFont="1" applyBorder="1" applyAlignment="1">
      <alignment horizontal="center" vertical="center"/>
    </xf>
    <xf numFmtId="43" fontId="24" fillId="0" borderId="6" xfId="1" applyFont="1" applyBorder="1" applyAlignment="1">
      <alignment horizontal="center" vertical="center"/>
    </xf>
    <xf numFmtId="174" fontId="22" fillId="0" borderId="22" xfId="17" applyNumberFormat="1" applyFont="1" applyBorder="1" applyAlignment="1">
      <alignment vertical="center"/>
    </xf>
    <xf numFmtId="174" fontId="22" fillId="0" borderId="27" xfId="17" applyNumberFormat="1" applyFont="1" applyBorder="1" applyAlignment="1">
      <alignment vertical="center"/>
    </xf>
    <xf numFmtId="174" fontId="22" fillId="0" borderId="20" xfId="17" applyNumberFormat="1" applyFont="1" applyBorder="1" applyAlignment="1">
      <alignment horizontal="center" vertical="center"/>
    </xf>
    <xf numFmtId="174" fontId="22" fillId="0" borderId="22" xfId="17" applyNumberFormat="1" applyFont="1" applyBorder="1" applyAlignment="1">
      <alignment horizontal="center" vertical="center"/>
    </xf>
    <xf numFmtId="174" fontId="22" fillId="0" borderId="27" xfId="17" applyNumberFormat="1" applyFont="1" applyBorder="1" applyAlignment="1">
      <alignment horizontal="center" vertical="center"/>
    </xf>
    <xf numFmtId="0" fontId="22" fillId="0" borderId="19"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3" xfId="0" applyFont="1" applyFill="1" applyBorder="1" applyAlignment="1">
      <alignment horizontal="center" vertical="center"/>
    </xf>
    <xf numFmtId="0" fontId="33" fillId="0" borderId="25" xfId="0" applyFont="1" applyBorder="1" applyAlignment="1">
      <alignment horizontal="center" vertical="center" wrapText="1"/>
    </xf>
    <xf numFmtId="0" fontId="33" fillId="0" borderId="13" xfId="0" applyFont="1" applyBorder="1" applyAlignment="1">
      <alignment horizontal="center" vertical="center" wrapText="1"/>
    </xf>
    <xf numFmtId="1" fontId="24" fillId="6" borderId="27" xfId="0" applyNumberFormat="1" applyFont="1" applyFill="1" applyBorder="1" applyAlignment="1">
      <alignment horizontal="center" vertical="center" wrapText="1"/>
    </xf>
    <xf numFmtId="0" fontId="22" fillId="0" borderId="23" xfId="0" applyFont="1" applyBorder="1" applyAlignment="1">
      <alignment horizontal="center" vertical="center"/>
    </xf>
    <xf numFmtId="0" fontId="22" fillId="0" borderId="25" xfId="0" applyFont="1" applyBorder="1" applyAlignment="1">
      <alignment horizontal="center" vertical="center"/>
    </xf>
    <xf numFmtId="174" fontId="23" fillId="0" borderId="20" xfId="17" applyNumberFormat="1" applyFont="1" applyBorder="1" applyAlignment="1">
      <alignment horizontal="center" vertical="center"/>
    </xf>
    <xf numFmtId="174" fontId="23" fillId="0" borderId="22" xfId="17" applyNumberFormat="1" applyFont="1" applyBorder="1" applyAlignment="1">
      <alignment horizontal="center" vertical="center"/>
    </xf>
    <xf numFmtId="174" fontId="23" fillId="0" borderId="27" xfId="17" applyNumberFormat="1" applyFont="1" applyBorder="1" applyAlignment="1">
      <alignment horizontal="center" vertical="center"/>
    </xf>
    <xf numFmtId="0" fontId="33" fillId="0" borderId="12" xfId="0" applyFont="1" applyBorder="1" applyAlignment="1">
      <alignment horizontal="center" vertical="center" wrapText="1"/>
    </xf>
    <xf numFmtId="0" fontId="24" fillId="0" borderId="6" xfId="8" applyFont="1" applyBorder="1" applyAlignment="1">
      <alignment horizontal="justify" vertical="center" wrapText="1"/>
    </xf>
    <xf numFmtId="0" fontId="24" fillId="0" borderId="20" xfId="8" applyFont="1" applyBorder="1" applyAlignment="1">
      <alignment horizontal="justify" vertical="center" wrapText="1"/>
    </xf>
    <xf numFmtId="0" fontId="24" fillId="0" borderId="22" xfId="8" applyFont="1" applyBorder="1" applyAlignment="1">
      <alignment horizontal="justify" vertical="center" wrapText="1"/>
    </xf>
    <xf numFmtId="0" fontId="24" fillId="0" borderId="27" xfId="8" applyFont="1" applyBorder="1" applyAlignment="1">
      <alignment horizontal="justify" vertical="center" wrapText="1"/>
    </xf>
    <xf numFmtId="1" fontId="22" fillId="6" borderId="6" xfId="5" applyNumberFormat="1" applyFont="1" applyFill="1" applyBorder="1" applyAlignment="1">
      <alignment horizontal="center" vertical="center" wrapText="1"/>
    </xf>
    <xf numFmtId="174" fontId="24" fillId="0" borderId="20" xfId="0" applyNumberFormat="1" applyFont="1" applyBorder="1" applyAlignment="1">
      <alignment horizontal="center" vertical="center"/>
    </xf>
    <xf numFmtId="174" fontId="24" fillId="0" borderId="22" xfId="0" applyNumberFormat="1" applyFont="1" applyBorder="1" applyAlignment="1">
      <alignment horizontal="center" vertical="center"/>
    </xf>
    <xf numFmtId="174" fontId="24" fillId="0" borderId="27" xfId="0" applyNumberFormat="1" applyFont="1" applyBorder="1" applyAlignment="1">
      <alignment horizontal="center" vertical="center"/>
    </xf>
    <xf numFmtId="174" fontId="24" fillId="0" borderId="20" xfId="17" applyNumberFormat="1" applyFont="1" applyBorder="1" applyAlignment="1">
      <alignment horizontal="center" vertical="center"/>
    </xf>
    <xf numFmtId="174" fontId="24" fillId="0" borderId="22" xfId="17" applyNumberFormat="1" applyFont="1" applyBorder="1" applyAlignment="1">
      <alignment horizontal="center" vertical="center"/>
    </xf>
    <xf numFmtId="174" fontId="24" fillId="0" borderId="27" xfId="17" applyNumberFormat="1" applyFont="1" applyBorder="1" applyAlignment="1">
      <alignment horizontal="center" vertical="center"/>
    </xf>
    <xf numFmtId="174" fontId="22" fillId="0" borderId="20" xfId="17" applyNumberFormat="1" applyFont="1" applyFill="1" applyBorder="1" applyAlignment="1">
      <alignment horizontal="center" vertical="center"/>
    </xf>
    <xf numFmtId="174" fontId="22" fillId="0" borderId="22" xfId="17" applyNumberFormat="1" applyFont="1" applyFill="1" applyBorder="1" applyAlignment="1">
      <alignment horizontal="center" vertical="center"/>
    </xf>
    <xf numFmtId="174" fontId="22" fillId="0" borderId="27" xfId="17" applyNumberFormat="1" applyFont="1" applyFill="1" applyBorder="1" applyAlignment="1">
      <alignment horizontal="center" vertical="center"/>
    </xf>
    <xf numFmtId="3" fontId="22" fillId="0" borderId="20" xfId="0" applyNumberFormat="1" applyFont="1" applyFill="1" applyBorder="1" applyAlignment="1">
      <alignment horizontal="center" vertical="center"/>
    </xf>
    <xf numFmtId="3" fontId="22" fillId="0" borderId="22" xfId="0" applyNumberFormat="1" applyFont="1" applyFill="1" applyBorder="1" applyAlignment="1">
      <alignment horizontal="center" vertical="center"/>
    </xf>
    <xf numFmtId="3" fontId="22" fillId="0" borderId="27" xfId="0" applyNumberFormat="1" applyFont="1" applyFill="1" applyBorder="1" applyAlignment="1">
      <alignment horizontal="center" vertical="center"/>
    </xf>
    <xf numFmtId="1" fontId="33" fillId="0" borderId="19" xfId="0" applyNumberFormat="1" applyFont="1" applyBorder="1" applyAlignment="1">
      <alignment horizontal="center" vertical="center" wrapText="1"/>
    </xf>
    <xf numFmtId="1" fontId="33" fillId="0" borderId="23" xfId="0" applyNumberFormat="1" applyFont="1" applyBorder="1" applyAlignment="1">
      <alignment horizontal="center" vertical="center" wrapText="1"/>
    </xf>
    <xf numFmtId="183" fontId="22" fillId="0" borderId="25" xfId="0" applyNumberFormat="1" applyFont="1" applyBorder="1" applyAlignment="1">
      <alignment horizontal="center" vertical="center" wrapText="1"/>
    </xf>
    <xf numFmtId="183" fontId="22" fillId="0" borderId="13" xfId="0" applyNumberFormat="1" applyFont="1" applyBorder="1" applyAlignment="1">
      <alignment horizontal="center" vertical="center" wrapText="1"/>
    </xf>
    <xf numFmtId="0" fontId="23" fillId="0" borderId="6" xfId="0" applyFont="1" applyBorder="1" applyAlignment="1">
      <alignment horizontal="center" vertical="center" wrapText="1"/>
    </xf>
    <xf numFmtId="0" fontId="23" fillId="0" borderId="27" xfId="0" applyFont="1" applyBorder="1" applyAlignment="1">
      <alignment horizontal="center" vertical="center" wrapText="1"/>
    </xf>
    <xf numFmtId="0" fontId="33" fillId="0" borderId="19" xfId="0" applyFont="1" applyBorder="1" applyAlignment="1">
      <alignment horizontal="left" vertical="center" wrapText="1"/>
    </xf>
    <xf numFmtId="0" fontId="33" fillId="0" borderId="21" xfId="0" applyFont="1" applyBorder="1" applyAlignment="1">
      <alignment horizontal="left" vertical="center" wrapText="1"/>
    </xf>
    <xf numFmtId="0" fontId="24" fillId="0" borderId="19"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20" xfId="0" applyFont="1" applyBorder="1" applyAlignment="1">
      <alignment horizontal="left" vertical="center" wrapText="1"/>
    </xf>
    <xf numFmtId="0" fontId="24" fillId="0" borderId="27" xfId="0" applyFont="1" applyBorder="1" applyAlignment="1">
      <alignment horizontal="left" vertical="center" wrapText="1"/>
    </xf>
    <xf numFmtId="0" fontId="22" fillId="0" borderId="51" xfId="0" applyFont="1" applyBorder="1" applyAlignment="1">
      <alignment horizontal="center" vertical="center" wrapText="1"/>
    </xf>
    <xf numFmtId="0" fontId="22" fillId="0" borderId="58" xfId="0" applyFont="1" applyBorder="1" applyAlignment="1">
      <alignment horizontal="center" vertical="center" wrapText="1"/>
    </xf>
    <xf numFmtId="0" fontId="33" fillId="0" borderId="51" xfId="0" applyFont="1" applyBorder="1" applyAlignment="1">
      <alignment horizontal="center" vertical="center" wrapText="1"/>
    </xf>
    <xf numFmtId="0" fontId="33" fillId="6" borderId="20"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53" fillId="0" borderId="5" xfId="0" applyFont="1" applyBorder="1" applyAlignment="1">
      <alignment horizontal="center" vertical="center" wrapText="1"/>
    </xf>
    <xf numFmtId="0" fontId="53" fillId="0" borderId="0" xfId="0" applyFont="1" applyAlignment="1">
      <alignment horizontal="center" vertical="center" wrapText="1"/>
    </xf>
    <xf numFmtId="0" fontId="53" fillId="0" borderId="8" xfId="0" applyFont="1" applyBorder="1" applyAlignment="1">
      <alignment horizontal="center" vertical="center" wrapText="1"/>
    </xf>
    <xf numFmtId="0" fontId="53" fillId="0" borderId="9"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12" borderId="19" xfId="0" applyFont="1" applyFill="1" applyBorder="1" applyAlignment="1">
      <alignment horizontal="center" vertical="center" wrapText="1"/>
    </xf>
    <xf numFmtId="0" fontId="7" fillId="12" borderId="21" xfId="0" applyFont="1" applyFill="1" applyBorder="1" applyAlignment="1">
      <alignment horizontal="center" vertical="center" wrapText="1"/>
    </xf>
    <xf numFmtId="0" fontId="7" fillId="12" borderId="20" xfId="0" applyFont="1" applyFill="1" applyBorder="1" applyAlignment="1">
      <alignment horizontal="center" vertical="center" wrapText="1"/>
    </xf>
    <xf numFmtId="0" fontId="7" fillId="12" borderId="22" xfId="0" applyFont="1" applyFill="1" applyBorder="1" applyAlignment="1">
      <alignment horizontal="center" vertical="center" wrapText="1"/>
    </xf>
    <xf numFmtId="3" fontId="7" fillId="12" borderId="7" xfId="0" applyNumberFormat="1" applyFont="1" applyFill="1" applyBorder="1" applyAlignment="1">
      <alignment horizontal="center" vertical="center" wrapText="1"/>
    </xf>
    <xf numFmtId="0" fontId="7" fillId="12" borderId="23" xfId="0" applyFont="1" applyFill="1" applyBorder="1" applyAlignment="1">
      <alignment horizontal="center" vertical="center" wrapText="1"/>
    </xf>
    <xf numFmtId="169" fontId="7" fillId="12" borderId="19" xfId="0" applyNumberFormat="1" applyFont="1" applyFill="1" applyBorder="1" applyAlignment="1">
      <alignment horizontal="center" vertical="center" wrapText="1"/>
    </xf>
    <xf numFmtId="169" fontId="7" fillId="12" borderId="21" xfId="0" applyNumberFormat="1" applyFont="1" applyFill="1" applyBorder="1" applyAlignment="1">
      <alignment horizontal="center" vertical="center" wrapText="1"/>
    </xf>
    <xf numFmtId="1" fontId="7" fillId="14" borderId="6" xfId="0" applyNumberFormat="1" applyFont="1" applyFill="1" applyBorder="1" applyAlignment="1">
      <alignment horizontal="left" vertical="center"/>
    </xf>
    <xf numFmtId="0" fontId="7" fillId="15" borderId="16" xfId="0" applyFont="1" applyFill="1" applyBorder="1" applyAlignment="1">
      <alignment horizontal="left" vertical="center"/>
    </xf>
    <xf numFmtId="0" fontId="7" fillId="15" borderId="6" xfId="0" applyFont="1" applyFill="1" applyBorder="1" applyAlignment="1">
      <alignment horizontal="left" vertical="center"/>
    </xf>
    <xf numFmtId="0" fontId="8" fillId="6" borderId="12" xfId="0" applyFont="1" applyFill="1" applyBorder="1" applyAlignment="1">
      <alignment horizontal="justify" vertical="center" wrapText="1"/>
    </xf>
    <xf numFmtId="0" fontId="8" fillId="6" borderId="25" xfId="0" applyFont="1" applyFill="1" applyBorder="1" applyAlignment="1">
      <alignment horizontal="justify" vertical="center" wrapText="1"/>
    </xf>
    <xf numFmtId="0" fontId="8" fillId="6" borderId="51" xfId="0" applyFont="1" applyFill="1" applyBorder="1" applyAlignment="1">
      <alignment horizontal="left" vertical="center" wrapText="1"/>
    </xf>
    <xf numFmtId="0" fontId="8" fillId="6" borderId="58" xfId="0" applyFont="1" applyFill="1" applyBorder="1" applyAlignment="1">
      <alignment horizontal="left" vertical="center" wrapText="1"/>
    </xf>
    <xf numFmtId="9" fontId="8" fillId="6" borderId="20" xfId="7" applyNumberFormat="1" applyFont="1" applyFill="1" applyBorder="1" applyAlignment="1">
      <alignment horizontal="center" vertical="center" wrapText="1"/>
    </xf>
    <xf numFmtId="41" fontId="8" fillId="6" borderId="22" xfId="7" applyFont="1" applyFill="1" applyBorder="1" applyAlignment="1">
      <alignment horizontal="center" vertical="center" wrapText="1"/>
    </xf>
    <xf numFmtId="43" fontId="8" fillId="6" borderId="20" xfId="4" applyFont="1" applyFill="1" applyBorder="1" applyAlignment="1">
      <alignment horizontal="center" vertical="center" wrapText="1"/>
    </xf>
    <xf numFmtId="43" fontId="8" fillId="6" borderId="22" xfId="4" applyFont="1" applyFill="1" applyBorder="1" applyAlignment="1">
      <alignment horizontal="center" vertical="center" wrapText="1"/>
    </xf>
    <xf numFmtId="172" fontId="8" fillId="6" borderId="20" xfId="0" applyNumberFormat="1" applyFont="1" applyFill="1" applyBorder="1" applyAlignment="1">
      <alignment horizontal="center" vertical="center" wrapText="1"/>
    </xf>
    <xf numFmtId="172" fontId="8" fillId="6" borderId="22" xfId="0" applyNumberFormat="1" applyFont="1" applyFill="1" applyBorder="1" applyAlignment="1">
      <alignment horizontal="center" vertical="center" wrapText="1"/>
    </xf>
    <xf numFmtId="3" fontId="8" fillId="6" borderId="26" xfId="0" applyNumberFormat="1" applyFont="1" applyFill="1" applyBorder="1" applyAlignment="1">
      <alignment horizontal="justify" vertical="center" wrapText="1"/>
    </xf>
    <xf numFmtId="3" fontId="8" fillId="6" borderId="28" xfId="0" applyNumberFormat="1" applyFont="1" applyFill="1" applyBorder="1" applyAlignment="1">
      <alignment horizontal="justify"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6" xfId="0" applyFont="1" applyBorder="1" applyAlignment="1">
      <alignment horizontal="center" vertical="center"/>
    </xf>
    <xf numFmtId="0" fontId="23" fillId="0" borderId="40" xfId="0" applyFont="1" applyBorder="1" applyAlignment="1">
      <alignment horizontal="center" vertical="center"/>
    </xf>
    <xf numFmtId="0" fontId="23" fillId="12" borderId="18" xfId="0" applyFont="1" applyFill="1" applyBorder="1" applyAlignment="1">
      <alignment horizontal="center" vertical="center" wrapText="1"/>
    </xf>
    <xf numFmtId="0" fontId="23" fillId="12" borderId="6" xfId="0" applyFont="1" applyFill="1" applyBorder="1" applyAlignment="1">
      <alignment horizontal="left" vertical="center" wrapText="1"/>
    </xf>
    <xf numFmtId="0" fontId="35" fillId="4" borderId="19" xfId="0" applyFont="1" applyFill="1" applyBorder="1" applyAlignment="1">
      <alignment horizontal="center" vertical="center" textRotation="90" wrapText="1"/>
    </xf>
    <xf numFmtId="0" fontId="35" fillId="4" borderId="21" xfId="0" applyFont="1" applyFill="1" applyBorder="1" applyAlignment="1">
      <alignment horizontal="center" vertical="center" textRotation="90" wrapText="1"/>
    </xf>
    <xf numFmtId="169" fontId="39" fillId="12" borderId="19" xfId="0" applyNumberFormat="1" applyFont="1" applyFill="1" applyBorder="1" applyAlignment="1">
      <alignment horizontal="center" vertical="center" wrapText="1"/>
    </xf>
    <xf numFmtId="169" fontId="39" fillId="12" borderId="21" xfId="0" applyNumberFormat="1" applyFont="1" applyFill="1" applyBorder="1" applyAlignment="1">
      <alignment horizontal="center" vertical="center" wrapText="1"/>
    </xf>
    <xf numFmtId="0" fontId="35" fillId="4" borderId="14" xfId="0" applyFont="1" applyFill="1" applyBorder="1" applyAlignment="1">
      <alignment horizontal="center" vertical="center" wrapText="1"/>
    </xf>
    <xf numFmtId="0" fontId="35" fillId="4" borderId="15" xfId="0" applyFont="1" applyFill="1" applyBorder="1" applyAlignment="1">
      <alignment horizontal="center" vertical="center" wrapText="1"/>
    </xf>
    <xf numFmtId="0" fontId="35" fillId="4" borderId="14" xfId="0" applyFont="1" applyFill="1" applyBorder="1" applyAlignment="1">
      <alignment horizontal="center" vertical="center"/>
    </xf>
    <xf numFmtId="0" fontId="35" fillId="4" borderId="15" xfId="0" applyFont="1" applyFill="1" applyBorder="1" applyAlignment="1">
      <alignment horizontal="center" vertical="center"/>
    </xf>
    <xf numFmtId="0" fontId="22" fillId="0" borderId="10" xfId="25" applyFont="1" applyBorder="1" applyAlignment="1">
      <alignment horizontal="center"/>
    </xf>
    <xf numFmtId="0" fontId="22" fillId="0" borderId="11" xfId="25" applyFont="1" applyBorder="1" applyAlignment="1">
      <alignment horizontal="center"/>
    </xf>
    <xf numFmtId="0" fontId="22" fillId="0" borderId="12" xfId="25" applyFont="1" applyBorder="1" applyAlignment="1">
      <alignment horizontal="center"/>
    </xf>
    <xf numFmtId="0" fontId="22" fillId="0" borderId="20" xfId="25" applyFont="1" applyBorder="1" applyAlignment="1">
      <alignment horizontal="center" vertical="center" wrapText="1"/>
    </xf>
    <xf numFmtId="0" fontId="22" fillId="0" borderId="22" xfId="25" applyFont="1" applyBorder="1" applyAlignment="1">
      <alignment horizontal="center" vertical="center" wrapText="1"/>
    </xf>
    <xf numFmtId="0" fontId="22" fillId="0" borderId="27" xfId="25" applyFont="1" applyBorder="1" applyAlignment="1">
      <alignment horizontal="center" vertical="center" wrapText="1"/>
    </xf>
    <xf numFmtId="0" fontId="22" fillId="6" borderId="20" xfId="25" applyFont="1" applyFill="1" applyBorder="1" applyAlignment="1">
      <alignment horizontal="justify" vertical="center" wrapText="1"/>
    </xf>
    <xf numFmtId="0" fontId="22" fillId="6" borderId="22" xfId="25" applyFont="1" applyFill="1" applyBorder="1" applyAlignment="1">
      <alignment horizontal="justify" vertical="center" wrapText="1"/>
    </xf>
    <xf numFmtId="0" fontId="22" fillId="6" borderId="27" xfId="25" applyFont="1" applyFill="1" applyBorder="1" applyAlignment="1">
      <alignment horizontal="justify" vertical="center" wrapText="1"/>
    </xf>
    <xf numFmtId="0" fontId="22" fillId="6" borderId="20" xfId="25" applyFont="1" applyFill="1" applyBorder="1" applyAlignment="1">
      <alignment horizontal="center" vertical="center" wrapText="1"/>
    </xf>
    <xf numFmtId="0" fontId="22" fillId="6" borderId="22" xfId="25" applyFont="1" applyFill="1" applyBorder="1" applyAlignment="1">
      <alignment horizontal="center" vertical="center" wrapText="1"/>
    </xf>
    <xf numFmtId="0" fontId="22" fillId="6" borderId="27" xfId="25" applyFont="1" applyFill="1" applyBorder="1" applyAlignment="1">
      <alignment horizontal="center" vertical="center" wrapText="1"/>
    </xf>
    <xf numFmtId="3" fontId="35" fillId="4" borderId="14" xfId="0" applyNumberFormat="1" applyFont="1" applyFill="1" applyBorder="1" applyAlignment="1">
      <alignment horizontal="center" vertical="center" wrapText="1"/>
    </xf>
    <xf numFmtId="3" fontId="35" fillId="4" borderId="15" xfId="0" applyNumberFormat="1" applyFont="1" applyFill="1" applyBorder="1" applyAlignment="1">
      <alignment horizontal="center" vertical="center" wrapText="1"/>
    </xf>
    <xf numFmtId="0" fontId="39" fillId="12" borderId="19" xfId="0" applyFont="1" applyFill="1" applyBorder="1" applyAlignment="1">
      <alignment horizontal="center" vertical="center" wrapText="1"/>
    </xf>
    <xf numFmtId="0" fontId="39" fillId="12" borderId="23" xfId="0" applyFont="1" applyFill="1" applyBorder="1" applyAlignment="1">
      <alignment horizontal="center" vertical="center" wrapText="1"/>
    </xf>
    <xf numFmtId="0" fontId="22" fillId="0" borderId="6" xfId="25" applyFont="1" applyBorder="1" applyAlignment="1">
      <alignment horizontal="center" vertical="center" wrapText="1"/>
    </xf>
    <xf numFmtId="0" fontId="39" fillId="12" borderId="21" xfId="0" applyFont="1" applyFill="1" applyBorder="1" applyAlignment="1">
      <alignment horizontal="center" vertical="center" wrapText="1"/>
    </xf>
    <xf numFmtId="0" fontId="22" fillId="6" borderId="20" xfId="4" applyNumberFormat="1" applyFont="1" applyFill="1" applyBorder="1" applyAlignment="1">
      <alignment horizontal="center" vertical="center" wrapText="1"/>
    </xf>
    <xf numFmtId="0" fontId="22" fillId="6" borderId="22" xfId="4" applyNumberFormat="1" applyFont="1" applyFill="1" applyBorder="1" applyAlignment="1">
      <alignment horizontal="center" vertical="center" wrapText="1"/>
    </xf>
    <xf numFmtId="0" fontId="22" fillId="6" borderId="27" xfId="4" applyNumberFormat="1" applyFont="1" applyFill="1" applyBorder="1" applyAlignment="1">
      <alignment horizontal="center" vertical="center" wrapText="1"/>
    </xf>
    <xf numFmtId="0" fontId="22" fillId="0" borderId="20" xfId="4" applyNumberFormat="1" applyFont="1" applyBorder="1" applyAlignment="1">
      <alignment horizontal="center" vertical="center" wrapText="1"/>
    </xf>
    <xf numFmtId="0" fontId="22" fillId="0" borderId="22" xfId="4" applyNumberFormat="1" applyFont="1" applyBorder="1" applyAlignment="1">
      <alignment horizontal="center" vertical="center" wrapText="1"/>
    </xf>
    <xf numFmtId="0" fontId="22" fillId="0" borderId="27" xfId="4" applyNumberFormat="1" applyFont="1" applyBorder="1" applyAlignment="1">
      <alignment horizontal="center" vertical="center" wrapText="1"/>
    </xf>
    <xf numFmtId="49" fontId="22" fillId="6" borderId="20" xfId="26" applyNumberFormat="1" applyFont="1" applyFill="1" applyBorder="1" applyAlignment="1">
      <alignment horizontal="left" vertical="center" wrapText="1"/>
    </xf>
    <xf numFmtId="49" fontId="22" fillId="6" borderId="27" xfId="26" applyNumberFormat="1" applyFont="1" applyFill="1" applyBorder="1" applyAlignment="1">
      <alignment horizontal="left" vertical="center" wrapText="1"/>
    </xf>
    <xf numFmtId="9" fontId="22" fillId="6" borderId="20" xfId="3" applyFont="1" applyFill="1" applyBorder="1" applyAlignment="1">
      <alignment horizontal="center" vertical="center" wrapText="1"/>
    </xf>
    <xf numFmtId="9" fontId="22" fillId="6" borderId="22" xfId="3" applyFont="1" applyFill="1" applyBorder="1" applyAlignment="1">
      <alignment horizontal="center" vertical="center" wrapText="1"/>
    </xf>
    <xf numFmtId="9" fontId="22" fillId="6" borderId="27" xfId="3" applyFont="1" applyFill="1" applyBorder="1" applyAlignment="1">
      <alignment horizontal="center" vertical="center" wrapText="1"/>
    </xf>
    <xf numFmtId="43" fontId="22" fillId="6" borderId="20" xfId="4" applyFont="1" applyFill="1" applyBorder="1" applyAlignment="1">
      <alignment horizontal="center" vertical="center" wrapText="1"/>
    </xf>
    <xf numFmtId="43" fontId="22" fillId="6" borderId="22" xfId="4" applyFont="1" applyFill="1" applyBorder="1" applyAlignment="1">
      <alignment horizontal="center" vertical="center" wrapText="1"/>
    </xf>
    <xf numFmtId="43" fontId="22" fillId="6" borderId="27" xfId="4" applyFont="1" applyFill="1" applyBorder="1" applyAlignment="1">
      <alignment horizontal="center" vertical="center" wrapText="1"/>
    </xf>
    <xf numFmtId="0" fontId="22" fillId="6" borderId="20" xfId="25" applyFont="1" applyFill="1" applyBorder="1" applyAlignment="1">
      <alignment horizontal="left" vertical="center" wrapText="1"/>
    </xf>
    <xf numFmtId="0" fontId="22" fillId="6" borderId="22" xfId="25" applyFont="1" applyFill="1" applyBorder="1" applyAlignment="1">
      <alignment horizontal="left" vertical="center" wrapText="1"/>
    </xf>
    <xf numFmtId="0" fontId="22" fillId="6" borderId="27" xfId="25" applyFont="1" applyFill="1" applyBorder="1" applyAlignment="1">
      <alignment horizontal="left" vertical="center" wrapText="1"/>
    </xf>
    <xf numFmtId="169" fontId="22" fillId="6" borderId="20" xfId="25" applyNumberFormat="1" applyFont="1" applyFill="1" applyBorder="1" applyAlignment="1">
      <alignment horizontal="center" vertical="center" wrapText="1"/>
    </xf>
    <xf numFmtId="169" fontId="22" fillId="6" borderId="22" xfId="25" applyNumberFormat="1" applyFont="1" applyFill="1" applyBorder="1" applyAlignment="1">
      <alignment horizontal="center" vertical="center" wrapText="1"/>
    </xf>
    <xf numFmtId="169" fontId="22" fillId="6" borderId="27" xfId="25" applyNumberFormat="1" applyFont="1" applyFill="1" applyBorder="1" applyAlignment="1">
      <alignment horizontal="center" vertical="center" wrapText="1"/>
    </xf>
    <xf numFmtId="3" fontId="22" fillId="6" borderId="26" xfId="25" applyNumberFormat="1" applyFont="1" applyFill="1" applyBorder="1" applyAlignment="1">
      <alignment horizontal="center" vertical="center" wrapText="1"/>
    </xf>
    <xf numFmtId="3" fontId="22" fillId="6" borderId="28" xfId="25" applyNumberFormat="1" applyFont="1" applyFill="1" applyBorder="1" applyAlignment="1">
      <alignment horizontal="center" vertical="center" wrapText="1"/>
    </xf>
    <xf numFmtId="3" fontId="22" fillId="6" borderId="34" xfId="25" applyNumberFormat="1" applyFont="1" applyFill="1" applyBorder="1" applyAlignment="1">
      <alignment horizontal="center" vertical="center" wrapText="1"/>
    </xf>
    <xf numFmtId="174" fontId="22" fillId="0" borderId="20" xfId="4" applyNumberFormat="1" applyFont="1" applyBorder="1" applyAlignment="1">
      <alignment horizontal="center" vertical="center" wrapText="1"/>
    </xf>
    <xf numFmtId="174" fontId="22" fillId="0" borderId="22" xfId="4" applyNumberFormat="1" applyFont="1" applyBorder="1" applyAlignment="1">
      <alignment horizontal="center" vertical="center" wrapText="1"/>
    </xf>
    <xf numFmtId="174" fontId="22" fillId="0" borderId="27" xfId="4" applyNumberFormat="1" applyFont="1" applyBorder="1" applyAlignment="1">
      <alignment horizontal="center" vertical="center" wrapText="1"/>
    </xf>
    <xf numFmtId="0" fontId="22" fillId="0" borderId="19" xfId="4" applyNumberFormat="1" applyFont="1" applyBorder="1" applyAlignment="1">
      <alignment horizontal="center" vertical="center"/>
    </xf>
    <xf numFmtId="0" fontId="22" fillId="0" borderId="23" xfId="4" applyNumberFormat="1" applyFont="1" applyBorder="1" applyAlignment="1">
      <alignment horizontal="center" vertical="center"/>
    </xf>
    <xf numFmtId="0" fontId="22" fillId="0" borderId="21" xfId="4" applyNumberFormat="1" applyFont="1" applyBorder="1" applyAlignment="1">
      <alignment horizontal="center" vertical="center"/>
    </xf>
    <xf numFmtId="0" fontId="22" fillId="0" borderId="6" xfId="4" applyNumberFormat="1" applyFont="1" applyBorder="1" applyAlignment="1">
      <alignment horizontal="center" vertical="center"/>
    </xf>
    <xf numFmtId="0" fontId="22" fillId="0" borderId="20" xfId="4" applyNumberFormat="1" applyFont="1" applyBorder="1" applyAlignment="1">
      <alignment horizontal="center" vertical="center"/>
    </xf>
    <xf numFmtId="0" fontId="22" fillId="0" borderId="22" xfId="4" applyNumberFormat="1" applyFont="1" applyBorder="1" applyAlignment="1">
      <alignment horizontal="center" vertical="center"/>
    </xf>
    <xf numFmtId="0" fontId="22" fillId="0" borderId="27" xfId="4" applyNumberFormat="1" applyFont="1" applyBorder="1" applyAlignment="1">
      <alignment horizontal="center" vertical="center"/>
    </xf>
    <xf numFmtId="10" fontId="29" fillId="0" borderId="0" xfId="0" applyNumberFormat="1" applyFont="1" applyAlignment="1">
      <alignment vertical="center"/>
    </xf>
    <xf numFmtId="0" fontId="24" fillId="0" borderId="20" xfId="4" applyNumberFormat="1" applyFont="1" applyBorder="1" applyAlignment="1">
      <alignment horizontal="center" vertical="center" wrapText="1"/>
    </xf>
    <xf numFmtId="0" fontId="24" fillId="0" borderId="22" xfId="4" applyNumberFormat="1" applyFont="1" applyBorder="1" applyAlignment="1">
      <alignment horizontal="center" vertical="center" wrapText="1"/>
    </xf>
    <xf numFmtId="0" fontId="24" fillId="0" borderId="27" xfId="4" applyNumberFormat="1" applyFont="1" applyBorder="1" applyAlignment="1">
      <alignment horizontal="center" vertical="center" wrapText="1"/>
    </xf>
    <xf numFmtId="0" fontId="24" fillId="6" borderId="20" xfId="25" applyFont="1" applyFill="1" applyBorder="1" applyAlignment="1">
      <alignment horizontal="center" vertical="center" wrapText="1"/>
    </xf>
    <xf numFmtId="0" fontId="24" fillId="6" borderId="22" xfId="25" applyFont="1" applyFill="1" applyBorder="1" applyAlignment="1">
      <alignment horizontal="center" vertical="center" wrapText="1"/>
    </xf>
    <xf numFmtId="0" fontId="24" fillId="6" borderId="27" xfId="25" applyFont="1" applyFill="1" applyBorder="1" applyAlignment="1">
      <alignment horizontal="center" vertical="center" wrapText="1"/>
    </xf>
    <xf numFmtId="0" fontId="24" fillId="0" borderId="20" xfId="25" applyFont="1" applyBorder="1" applyAlignment="1">
      <alignment horizontal="center" vertical="center" wrapText="1"/>
    </xf>
    <xf numFmtId="0" fontId="24" fillId="0" borderId="22" xfId="25" applyFont="1" applyBorder="1" applyAlignment="1">
      <alignment horizontal="center" vertical="center" wrapText="1"/>
    </xf>
    <xf numFmtId="0" fontId="24" fillId="0" borderId="27" xfId="25" applyFont="1" applyBorder="1" applyAlignment="1">
      <alignment horizontal="center" vertical="center" wrapText="1"/>
    </xf>
    <xf numFmtId="0" fontId="24" fillId="6" borderId="20" xfId="25" applyFont="1" applyFill="1" applyBorder="1" applyAlignment="1">
      <alignment horizontal="justify" vertical="center" wrapText="1"/>
    </xf>
    <xf numFmtId="0" fontId="24" fillId="6" borderId="22" xfId="25" applyFont="1" applyFill="1" applyBorder="1" applyAlignment="1">
      <alignment horizontal="justify" vertical="center" wrapText="1"/>
    </xf>
    <xf numFmtId="0" fontId="24" fillId="6" borderId="27" xfId="25" applyFont="1" applyFill="1" applyBorder="1" applyAlignment="1">
      <alignment horizontal="justify" vertical="center" wrapText="1"/>
    </xf>
    <xf numFmtId="9" fontId="24" fillId="6" borderId="20" xfId="3" applyFont="1" applyFill="1" applyBorder="1" applyAlignment="1">
      <alignment horizontal="center" vertical="center" wrapText="1"/>
    </xf>
    <xf numFmtId="9" fontId="24" fillId="6" borderId="22" xfId="3" applyFont="1" applyFill="1" applyBorder="1" applyAlignment="1">
      <alignment horizontal="center" vertical="center" wrapText="1"/>
    </xf>
    <xf numFmtId="9" fontId="24" fillId="6" borderId="27" xfId="3" applyFont="1" applyFill="1" applyBorder="1" applyAlignment="1">
      <alignment horizontal="center" vertical="center" wrapText="1"/>
    </xf>
    <xf numFmtId="37" fontId="24" fillId="0" borderId="20" xfId="4" applyNumberFormat="1" applyFont="1" applyBorder="1" applyAlignment="1">
      <alignment horizontal="center" vertical="center" wrapText="1"/>
    </xf>
    <xf numFmtId="37" fontId="24" fillId="0" borderId="22" xfId="4" applyNumberFormat="1" applyFont="1" applyBorder="1" applyAlignment="1">
      <alignment horizontal="center" vertical="center" wrapText="1"/>
    </xf>
    <xf numFmtId="37" fontId="24" fillId="0" borderId="27" xfId="4" applyNumberFormat="1" applyFont="1" applyBorder="1" applyAlignment="1">
      <alignment horizontal="center" vertical="center" wrapText="1"/>
    </xf>
    <xf numFmtId="0" fontId="22" fillId="6" borderId="19" xfId="25" applyFont="1" applyFill="1" applyBorder="1" applyAlignment="1">
      <alignment horizontal="left" vertical="center" wrapText="1"/>
    </xf>
    <xf numFmtId="0" fontId="22" fillId="6" borderId="21" xfId="25" applyFont="1" applyFill="1" applyBorder="1" applyAlignment="1">
      <alignment horizontal="left" vertical="center" wrapText="1"/>
    </xf>
    <xf numFmtId="0" fontId="22" fillId="6" borderId="19" xfId="25" applyFont="1" applyFill="1" applyBorder="1" applyAlignment="1">
      <alignment horizontal="left" vertical="top" wrapText="1"/>
    </xf>
    <xf numFmtId="0" fontId="22" fillId="6" borderId="21" xfId="25" applyFont="1" applyFill="1" applyBorder="1" applyAlignment="1">
      <alignment horizontal="left" vertical="top" wrapText="1"/>
    </xf>
    <xf numFmtId="37" fontId="22" fillId="0" borderId="20" xfId="4" applyNumberFormat="1" applyFont="1" applyBorder="1" applyAlignment="1">
      <alignment horizontal="center" vertical="center" wrapText="1"/>
    </xf>
    <xf numFmtId="37" fontId="22" fillId="0" borderId="22" xfId="4" applyNumberFormat="1" applyFont="1" applyBorder="1" applyAlignment="1">
      <alignment horizontal="center" vertical="center" wrapText="1"/>
    </xf>
    <xf numFmtId="37" fontId="22" fillId="0" borderId="27" xfId="4" applyNumberFormat="1" applyFont="1" applyBorder="1" applyAlignment="1">
      <alignment horizontal="center" vertical="center" wrapText="1"/>
    </xf>
    <xf numFmtId="43" fontId="24" fillId="6" borderId="20" xfId="4" applyFont="1" applyFill="1" applyBorder="1" applyAlignment="1">
      <alignment horizontal="center" vertical="center" wrapText="1"/>
    </xf>
    <xf numFmtId="43" fontId="24" fillId="6" borderId="22" xfId="4" applyFont="1" applyFill="1" applyBorder="1" applyAlignment="1">
      <alignment horizontal="center" vertical="center" wrapText="1"/>
    </xf>
    <xf numFmtId="43" fontId="24" fillId="6" borderId="27" xfId="4" applyFont="1" applyFill="1" applyBorder="1" applyAlignment="1">
      <alignment horizontal="center" vertical="center" wrapText="1"/>
    </xf>
    <xf numFmtId="49" fontId="22" fillId="6" borderId="20" xfId="26" applyNumberFormat="1" applyFont="1" applyFill="1" applyBorder="1" applyAlignment="1">
      <alignment horizontal="center" vertical="center" wrapText="1"/>
    </xf>
    <xf numFmtId="49" fontId="22" fillId="6" borderId="27" xfId="26" applyNumberFormat="1" applyFont="1" applyFill="1" applyBorder="1" applyAlignment="1">
      <alignment horizontal="center" vertical="center" wrapText="1"/>
    </xf>
    <xf numFmtId="169" fontId="24" fillId="6" borderId="20" xfId="25" applyNumberFormat="1" applyFont="1" applyFill="1" applyBorder="1" applyAlignment="1">
      <alignment horizontal="center" vertical="center" wrapText="1"/>
    </xf>
    <xf numFmtId="169" fontId="24" fillId="6" borderId="22" xfId="25" applyNumberFormat="1" applyFont="1" applyFill="1" applyBorder="1" applyAlignment="1">
      <alignment horizontal="center" vertical="center" wrapText="1"/>
    </xf>
    <xf numFmtId="169" fontId="24" fillId="6" borderId="27" xfId="25" applyNumberFormat="1" applyFont="1" applyFill="1" applyBorder="1" applyAlignment="1">
      <alignment horizontal="center" vertical="center" wrapText="1"/>
    </xf>
    <xf numFmtId="3" fontId="24" fillId="6" borderId="26" xfId="25" applyNumberFormat="1" applyFont="1" applyFill="1" applyBorder="1" applyAlignment="1">
      <alignment horizontal="center" vertical="center" wrapText="1"/>
    </xf>
    <xf numFmtId="3" fontId="24" fillId="6" borderId="28" xfId="25" applyNumberFormat="1" applyFont="1" applyFill="1" applyBorder="1" applyAlignment="1">
      <alignment horizontal="center" vertical="center" wrapText="1"/>
    </xf>
    <xf numFmtId="3" fontId="24" fillId="6" borderId="34" xfId="25" applyNumberFormat="1" applyFont="1" applyFill="1" applyBorder="1" applyAlignment="1">
      <alignment horizontal="center" vertical="center" wrapText="1"/>
    </xf>
    <xf numFmtId="0" fontId="22" fillId="0" borderId="12" xfId="4" applyNumberFormat="1" applyFont="1" applyBorder="1" applyAlignment="1">
      <alignment horizontal="center" vertical="center" wrapText="1"/>
    </xf>
    <xf numFmtId="0" fontId="22" fillId="0" borderId="25" xfId="4" applyNumberFormat="1" applyFont="1" applyBorder="1" applyAlignment="1">
      <alignment horizontal="center" vertical="center" wrapText="1"/>
    </xf>
    <xf numFmtId="0" fontId="22" fillId="0" borderId="13" xfId="4" applyNumberFormat="1" applyFont="1" applyBorder="1" applyAlignment="1">
      <alignment horizontal="center" vertical="center" wrapText="1"/>
    </xf>
    <xf numFmtId="0" fontId="22" fillId="6" borderId="6" xfId="25" applyFont="1" applyFill="1" applyBorder="1" applyAlignment="1">
      <alignment horizontal="left" vertical="center" wrapText="1"/>
    </xf>
    <xf numFmtId="0" fontId="22" fillId="0" borderId="20" xfId="25" applyFont="1" applyBorder="1" applyAlignment="1">
      <alignment horizontal="left" vertical="center" wrapText="1"/>
    </xf>
    <xf numFmtId="0" fontId="22" fillId="0" borderId="22" xfId="25" applyFont="1" applyBorder="1" applyAlignment="1">
      <alignment horizontal="left" vertical="center" wrapText="1"/>
    </xf>
    <xf numFmtId="0" fontId="22" fillId="0" borderId="27" xfId="25" applyFont="1" applyBorder="1" applyAlignment="1">
      <alignment horizontal="left" vertical="center" wrapText="1"/>
    </xf>
    <xf numFmtId="9" fontId="24" fillId="6" borderId="6" xfId="3" applyFont="1" applyFill="1" applyBorder="1" applyAlignment="1">
      <alignment horizontal="center" vertical="center" wrapText="1"/>
    </xf>
    <xf numFmtId="0" fontId="22" fillId="6" borderId="51" xfId="25" applyFont="1" applyFill="1" applyBorder="1" applyAlignment="1">
      <alignment horizontal="justify" vertical="center" wrapText="1"/>
    </xf>
    <xf numFmtId="0" fontId="22" fillId="6" borderId="58" xfId="25" applyFont="1" applyFill="1" applyBorder="1" applyAlignment="1">
      <alignment horizontal="justify" vertical="center" wrapText="1"/>
    </xf>
    <xf numFmtId="9" fontId="24" fillId="0" borderId="51" xfId="3" applyFont="1" applyBorder="1" applyAlignment="1">
      <alignment horizontal="center" vertical="center" wrapText="1"/>
    </xf>
    <xf numFmtId="9" fontId="24" fillId="0" borderId="54" xfId="3" applyFont="1" applyBorder="1" applyAlignment="1">
      <alignment horizontal="center" vertical="center" wrapText="1"/>
    </xf>
    <xf numFmtId="43" fontId="22" fillId="6" borderId="12" xfId="4" applyFont="1" applyFill="1" applyBorder="1" applyAlignment="1">
      <alignment horizontal="center" vertical="center" wrapText="1"/>
    </xf>
    <xf numFmtId="43" fontId="22" fillId="6" borderId="25" xfId="4" applyFont="1" applyFill="1" applyBorder="1" applyAlignment="1">
      <alignment horizontal="center" vertical="center" wrapText="1"/>
    </xf>
    <xf numFmtId="0" fontId="22" fillId="0" borderId="20" xfId="25" applyFont="1" applyBorder="1" applyAlignment="1">
      <alignment horizontal="justify" vertical="center" wrapText="1"/>
    </xf>
    <xf numFmtId="0" fontId="22" fillId="0" borderId="22" xfId="25" applyFont="1" applyBorder="1" applyAlignment="1">
      <alignment horizontal="justify" vertical="center" wrapText="1"/>
    </xf>
    <xf numFmtId="0" fontId="24" fillId="0" borderId="20" xfId="25" applyFont="1" applyBorder="1" applyAlignment="1">
      <alignment horizontal="justify" vertical="center" wrapText="1"/>
    </xf>
    <xf numFmtId="0" fontId="24" fillId="0" borderId="22" xfId="25" applyFont="1" applyBorder="1" applyAlignment="1">
      <alignment horizontal="justify" vertical="center" wrapText="1"/>
    </xf>
    <xf numFmtId="0" fontId="24" fillId="0" borderId="23" xfId="25" applyFont="1" applyBorder="1" applyAlignment="1">
      <alignment horizontal="justify" vertical="center" wrapText="1"/>
    </xf>
    <xf numFmtId="0" fontId="24" fillId="0" borderId="27" xfId="25" applyFont="1" applyBorder="1" applyAlignment="1">
      <alignment horizontal="justify" vertical="center" wrapText="1"/>
    </xf>
    <xf numFmtId="49" fontId="24" fillId="0" borderId="19" xfId="26" applyNumberFormat="1" applyFont="1" applyBorder="1" applyAlignment="1">
      <alignment horizontal="justify" vertical="center" wrapText="1"/>
    </xf>
    <xf numFmtId="49" fontId="24" fillId="0" borderId="23" xfId="26" applyNumberFormat="1" applyFont="1" applyBorder="1" applyAlignment="1">
      <alignment horizontal="justify" vertical="center" wrapText="1"/>
    </xf>
    <xf numFmtId="9" fontId="22" fillId="0" borderId="51" xfId="3" applyFont="1" applyBorder="1" applyAlignment="1">
      <alignment horizontal="center" vertical="center" wrapText="1"/>
    </xf>
    <xf numFmtId="49" fontId="22" fillId="6" borderId="19" xfId="26" applyNumberFormat="1" applyFont="1" applyFill="1" applyBorder="1" applyAlignment="1">
      <alignment horizontal="left" vertical="center" wrapText="1"/>
    </xf>
    <xf numFmtId="49" fontId="22" fillId="6" borderId="21" xfId="26" applyNumberFormat="1" applyFont="1" applyFill="1" applyBorder="1" applyAlignment="1">
      <alignment horizontal="left" vertical="center" wrapText="1"/>
    </xf>
    <xf numFmtId="3" fontId="22" fillId="0" borderId="26" xfId="25" applyNumberFormat="1" applyFont="1" applyBorder="1" applyAlignment="1">
      <alignment horizontal="center" vertical="center" wrapText="1"/>
    </xf>
    <xf numFmtId="3" fontId="22" fillId="0" borderId="28" xfId="25" applyNumberFormat="1" applyFont="1" applyBorder="1" applyAlignment="1">
      <alignment horizontal="center" vertical="center" wrapText="1"/>
    </xf>
    <xf numFmtId="3" fontId="22" fillId="0" borderId="34" xfId="25" applyNumberFormat="1" applyFont="1" applyBorder="1" applyAlignment="1">
      <alignment horizontal="center" vertical="center" wrapText="1"/>
    </xf>
    <xf numFmtId="49" fontId="24" fillId="0" borderId="59" xfId="26" applyNumberFormat="1" applyFont="1" applyBorder="1" applyAlignment="1">
      <alignment horizontal="justify" vertical="center" wrapText="1"/>
    </xf>
    <xf numFmtId="49" fontId="24" fillId="0" borderId="66" xfId="26" applyNumberFormat="1" applyFont="1" applyBorder="1" applyAlignment="1">
      <alignment horizontal="justify" vertical="center" wrapText="1"/>
    </xf>
    <xf numFmtId="49" fontId="24" fillId="0" borderId="68" xfId="26" applyNumberFormat="1" applyFont="1" applyBorder="1" applyAlignment="1">
      <alignment horizontal="justify" vertical="center" wrapText="1"/>
    </xf>
    <xf numFmtId="41" fontId="24" fillId="0" borderId="51" xfId="25" applyNumberFormat="1" applyFont="1" applyBorder="1" applyAlignment="1">
      <alignment horizontal="center" vertical="center"/>
    </xf>
    <xf numFmtId="1" fontId="24" fillId="0" borderId="51" xfId="25" applyNumberFormat="1" applyFont="1" applyBorder="1" applyAlignment="1">
      <alignment horizontal="center" vertical="center" wrapText="1"/>
    </xf>
    <xf numFmtId="0" fontId="24" fillId="0" borderId="51" xfId="25" applyFont="1" applyBorder="1" applyAlignment="1">
      <alignment horizontal="center" vertical="center" wrapText="1"/>
    </xf>
    <xf numFmtId="49" fontId="24" fillId="0" borderId="21" xfId="26" applyNumberFormat="1" applyFont="1" applyBorder="1" applyAlignment="1">
      <alignment horizontal="justify" vertical="center" wrapText="1"/>
    </xf>
    <xf numFmtId="49" fontId="24" fillId="0" borderId="19" xfId="26" applyNumberFormat="1" applyFont="1" applyBorder="1" applyAlignment="1">
      <alignment horizontal="left" vertical="center" wrapText="1"/>
    </xf>
    <xf numFmtId="49" fontId="24" fillId="0" borderId="21" xfId="26" applyNumberFormat="1" applyFont="1" applyBorder="1" applyAlignment="1">
      <alignment horizontal="left" vertical="center" wrapText="1"/>
    </xf>
    <xf numFmtId="169" fontId="22" fillId="0" borderId="20" xfId="25" applyNumberFormat="1" applyFont="1" applyBorder="1" applyAlignment="1">
      <alignment horizontal="center" vertical="center" wrapText="1"/>
    </xf>
    <xf numFmtId="169" fontId="22" fillId="0" borderId="22" xfId="25" applyNumberFormat="1" applyFont="1" applyBorder="1" applyAlignment="1">
      <alignment horizontal="center" vertical="center" wrapText="1"/>
    </xf>
    <xf numFmtId="0" fontId="22" fillId="0" borderId="12" xfId="25" applyFont="1" applyBorder="1" applyAlignment="1">
      <alignment horizontal="center" vertical="center" wrapText="1"/>
    </xf>
    <xf numFmtId="0" fontId="22" fillId="0" borderId="25" xfId="25" applyFont="1" applyBorder="1" applyAlignment="1">
      <alignment horizontal="center" vertical="center" wrapText="1"/>
    </xf>
    <xf numFmtId="0" fontId="22" fillId="0" borderId="13" xfId="25" applyFont="1" applyBorder="1" applyAlignment="1">
      <alignment horizontal="center" vertical="center" wrapText="1"/>
    </xf>
    <xf numFmtId="0" fontId="22" fillId="0" borderId="16" xfId="25" applyFont="1" applyBorder="1" applyAlignment="1">
      <alignment horizontal="center" vertical="center" wrapText="1"/>
    </xf>
    <xf numFmtId="49" fontId="22" fillId="6" borderId="23" xfId="26" applyNumberFormat="1" applyFont="1" applyFill="1" applyBorder="1" applyAlignment="1">
      <alignment horizontal="left" vertical="center" wrapText="1"/>
    </xf>
    <xf numFmtId="0" fontId="22" fillId="0" borderId="27" xfId="25" applyFont="1" applyBorder="1" applyAlignment="1">
      <alignment horizontal="justify" vertical="center" wrapText="1"/>
    </xf>
    <xf numFmtId="9" fontId="22" fillId="0" borderId="22" xfId="3" applyFont="1" applyBorder="1" applyAlignment="1">
      <alignment horizontal="center" vertical="center" wrapText="1"/>
    </xf>
    <xf numFmtId="9" fontId="22" fillId="0" borderId="27" xfId="3" applyFont="1" applyBorder="1" applyAlignment="1">
      <alignment horizontal="center" vertical="center" wrapText="1"/>
    </xf>
    <xf numFmtId="43" fontId="22" fillId="6" borderId="19" xfId="4" applyFont="1" applyFill="1" applyBorder="1" applyAlignment="1">
      <alignment horizontal="center" vertical="center" wrapText="1"/>
    </xf>
    <xf numFmtId="43" fontId="22" fillId="6" borderId="23" xfId="4" applyFont="1" applyFill="1" applyBorder="1" applyAlignment="1">
      <alignment horizontal="center" vertical="center" wrapText="1"/>
    </xf>
    <xf numFmtId="43" fontId="22" fillId="6" borderId="21" xfId="4" applyFont="1" applyFill="1" applyBorder="1" applyAlignment="1">
      <alignment horizontal="center" vertical="center" wrapText="1"/>
    </xf>
    <xf numFmtId="0" fontId="22" fillId="0" borderId="51" xfId="25" applyFont="1" applyBorder="1" applyAlignment="1">
      <alignment horizontal="justify" vertical="center" wrapText="1"/>
    </xf>
    <xf numFmtId="0" fontId="22" fillId="0" borderId="19" xfId="25" applyFont="1" applyBorder="1" applyAlignment="1">
      <alignment horizontal="center" vertical="center" wrapText="1"/>
    </xf>
    <xf numFmtId="0" fontId="22" fillId="0" borderId="23" xfId="25" applyFont="1" applyBorder="1" applyAlignment="1">
      <alignment horizontal="center" vertical="center" wrapText="1"/>
    </xf>
    <xf numFmtId="0" fontId="22" fillId="0" borderId="21" xfId="25" applyFont="1" applyBorder="1" applyAlignment="1">
      <alignment horizontal="center" vertical="center" wrapText="1"/>
    </xf>
    <xf numFmtId="169" fontId="22" fillId="0" borderId="6" xfId="25" applyNumberFormat="1" applyFont="1" applyBorder="1" applyAlignment="1">
      <alignment horizontal="center" vertical="center" wrapText="1"/>
    </xf>
    <xf numFmtId="0" fontId="22" fillId="6" borderId="12" xfId="25" applyFont="1" applyFill="1" applyBorder="1" applyAlignment="1">
      <alignment horizontal="left" vertical="center" wrapText="1"/>
    </xf>
    <xf numFmtId="0" fontId="22" fillId="6" borderId="25" xfId="25" applyFont="1" applyFill="1" applyBorder="1" applyAlignment="1">
      <alignment horizontal="left" vertical="center" wrapText="1"/>
    </xf>
    <xf numFmtId="0" fontId="22" fillId="6" borderId="13" xfId="25" applyFont="1" applyFill="1" applyBorder="1" applyAlignment="1">
      <alignment horizontal="left" vertical="center" wrapText="1"/>
    </xf>
    <xf numFmtId="0" fontId="22" fillId="6" borderId="12" xfId="25" applyFont="1" applyFill="1" applyBorder="1" applyAlignment="1">
      <alignment horizontal="justify" vertical="center" wrapText="1"/>
    </xf>
    <xf numFmtId="0" fontId="22" fillId="6" borderId="25" xfId="25" applyFont="1" applyFill="1" applyBorder="1" applyAlignment="1">
      <alignment horizontal="justify" vertical="center" wrapText="1"/>
    </xf>
    <xf numFmtId="0" fontId="22" fillId="6" borderId="13" xfId="25" applyFont="1" applyFill="1" applyBorder="1" applyAlignment="1">
      <alignment horizontal="justify" vertical="center" wrapText="1"/>
    </xf>
    <xf numFmtId="174" fontId="22" fillId="0" borderId="20" xfId="4" applyNumberFormat="1" applyFont="1" applyBorder="1" applyAlignment="1">
      <alignment vertical="center" wrapText="1"/>
    </xf>
    <xf numFmtId="174" fontId="22" fillId="0" borderId="22" xfId="4" applyNumberFormat="1" applyFont="1" applyBorder="1" applyAlignment="1">
      <alignment vertical="center" wrapText="1"/>
    </xf>
    <xf numFmtId="174" fontId="22" fillId="0" borderId="27" xfId="4" applyNumberFormat="1" applyFont="1" applyBorder="1" applyAlignment="1">
      <alignment vertical="center" wrapText="1"/>
    </xf>
    <xf numFmtId="0" fontId="22" fillId="6" borderId="12" xfId="25" applyFont="1" applyFill="1" applyBorder="1" applyAlignment="1">
      <alignment horizontal="center" vertical="center" wrapText="1"/>
    </xf>
    <xf numFmtId="0" fontId="22" fillId="6" borderId="25" xfId="25" applyFont="1" applyFill="1" applyBorder="1" applyAlignment="1">
      <alignment horizontal="center" vertical="center" wrapText="1"/>
    </xf>
    <xf numFmtId="0" fontId="22" fillId="6" borderId="13" xfId="25" applyFont="1" applyFill="1" applyBorder="1" applyAlignment="1">
      <alignment horizontal="center" vertical="center" wrapText="1"/>
    </xf>
    <xf numFmtId="43" fontId="22" fillId="18" borderId="0" xfId="4" applyFont="1" applyFill="1" applyBorder="1" applyAlignment="1">
      <alignment horizontal="center" vertical="center"/>
    </xf>
    <xf numFmtId="43" fontId="22" fillId="18" borderId="67" xfId="4" applyFont="1" applyFill="1" applyBorder="1" applyAlignment="1">
      <alignment horizontal="center" vertical="center"/>
    </xf>
    <xf numFmtId="0" fontId="22" fillId="6" borderId="51" xfId="25" applyFont="1" applyFill="1" applyBorder="1" applyAlignment="1">
      <alignment horizontal="center" vertical="center" wrapText="1"/>
    </xf>
    <xf numFmtId="173" fontId="22" fillId="6" borderId="20" xfId="25" applyNumberFormat="1" applyFont="1" applyFill="1" applyBorder="1" applyAlignment="1">
      <alignment horizontal="center" vertical="center" wrapText="1"/>
    </xf>
    <xf numFmtId="173" fontId="22" fillId="6" borderId="22" xfId="25" applyNumberFormat="1" applyFont="1" applyFill="1" applyBorder="1" applyAlignment="1">
      <alignment horizontal="center" vertical="center" wrapText="1"/>
    </xf>
    <xf numFmtId="173" fontId="22" fillId="6" borderId="27" xfId="25" applyNumberFormat="1" applyFont="1" applyFill="1" applyBorder="1" applyAlignment="1">
      <alignment horizontal="center" vertical="center" wrapText="1"/>
    </xf>
    <xf numFmtId="0" fontId="24" fillId="0" borderId="12" xfId="25" applyFont="1" applyBorder="1" applyAlignment="1">
      <alignment horizontal="center" vertical="center" wrapText="1"/>
    </xf>
    <xf numFmtId="0" fontId="24" fillId="0" borderId="25" xfId="25" applyFont="1" applyBorder="1" applyAlignment="1">
      <alignment horizontal="center" vertical="center" wrapText="1"/>
    </xf>
    <xf numFmtId="49" fontId="30" fillId="6" borderId="19" xfId="26" applyNumberFormat="1" applyFont="1" applyFill="1" applyBorder="1" applyAlignment="1">
      <alignment horizontal="left" vertical="center" wrapText="1"/>
    </xf>
    <xf numFmtId="49" fontId="30" fillId="6" borderId="23" xfId="26" applyNumberFormat="1" applyFont="1" applyFill="1" applyBorder="1" applyAlignment="1">
      <alignment horizontal="left" vertical="center" wrapText="1"/>
    </xf>
    <xf numFmtId="0" fontId="22" fillId="6" borderId="6" xfId="25" applyFont="1" applyFill="1" applyBorder="1" applyAlignment="1">
      <alignment horizontal="center" vertical="center" wrapText="1"/>
    </xf>
    <xf numFmtId="0" fontId="30" fillId="0" borderId="51" xfId="25" applyFont="1" applyBorder="1" applyAlignment="1">
      <alignment horizontal="center" vertical="center" wrapText="1"/>
    </xf>
    <xf numFmtId="0" fontId="30" fillId="0" borderId="51" xfId="25" applyFont="1" applyBorder="1" applyAlignment="1">
      <alignment horizontal="left" vertical="center" wrapText="1"/>
    </xf>
    <xf numFmtId="1" fontId="22" fillId="6" borderId="20" xfId="25" applyNumberFormat="1" applyFont="1" applyFill="1" applyBorder="1" applyAlignment="1">
      <alignment horizontal="center" vertical="center" wrapText="1"/>
    </xf>
    <xf numFmtId="1" fontId="22" fillId="6" borderId="22" xfId="25" applyNumberFormat="1" applyFont="1" applyFill="1" applyBorder="1" applyAlignment="1">
      <alignment horizontal="center" vertical="center" wrapText="1"/>
    </xf>
    <xf numFmtId="1" fontId="22" fillId="6" borderId="27" xfId="25" applyNumberFormat="1" applyFont="1" applyFill="1" applyBorder="1" applyAlignment="1">
      <alignment horizontal="center" vertical="center" wrapText="1"/>
    </xf>
    <xf numFmtId="1" fontId="22" fillId="0" borderId="20" xfId="25" applyNumberFormat="1" applyFont="1" applyBorder="1" applyAlignment="1">
      <alignment horizontal="center" vertical="center" wrapText="1"/>
    </xf>
    <xf numFmtId="1" fontId="22" fillId="0" borderId="22" xfId="25" applyNumberFormat="1" applyFont="1" applyBorder="1" applyAlignment="1">
      <alignment horizontal="center" vertical="center" wrapText="1"/>
    </xf>
    <xf numFmtId="1" fontId="22" fillId="0" borderId="27" xfId="25" applyNumberFormat="1" applyFont="1" applyBorder="1" applyAlignment="1">
      <alignment horizontal="center" vertical="center" wrapText="1"/>
    </xf>
    <xf numFmtId="1" fontId="22" fillId="6" borderId="26" xfId="25" applyNumberFormat="1" applyFont="1" applyFill="1" applyBorder="1" applyAlignment="1">
      <alignment horizontal="center" vertical="center" wrapText="1"/>
    </xf>
    <xf numFmtId="1" fontId="22" fillId="6" borderId="28" xfId="25" applyNumberFormat="1" applyFont="1" applyFill="1" applyBorder="1" applyAlignment="1">
      <alignment horizontal="center" vertical="center" wrapText="1"/>
    </xf>
    <xf numFmtId="1" fontId="22" fillId="6" borderId="34" xfId="25" applyNumberFormat="1" applyFont="1" applyFill="1" applyBorder="1" applyAlignment="1">
      <alignment horizontal="center" vertical="center" wrapText="1"/>
    </xf>
    <xf numFmtId="0" fontId="22" fillId="0" borderId="58" xfId="25" applyFont="1" applyBorder="1" applyAlignment="1">
      <alignment horizontal="center" vertical="center" wrapText="1"/>
    </xf>
    <xf numFmtId="0" fontId="22" fillId="0" borderId="51" xfId="25" applyFont="1" applyBorder="1" applyAlignment="1">
      <alignment horizontal="center" vertical="center" wrapText="1"/>
    </xf>
    <xf numFmtId="49" fontId="22" fillId="6" borderId="51" xfId="26" applyNumberFormat="1" applyFont="1" applyFill="1" applyBorder="1" applyAlignment="1">
      <alignment horizontal="center" vertical="center" wrapText="1"/>
    </xf>
    <xf numFmtId="49" fontId="22" fillId="6" borderId="58" xfId="26" applyNumberFormat="1" applyFont="1" applyFill="1" applyBorder="1" applyAlignment="1">
      <alignment horizontal="center" vertical="center" wrapText="1"/>
    </xf>
    <xf numFmtId="49" fontId="22" fillId="6" borderId="66" xfId="26" applyNumberFormat="1" applyFont="1" applyFill="1" applyBorder="1" applyAlignment="1">
      <alignment horizontal="left" vertical="center" wrapText="1"/>
    </xf>
    <xf numFmtId="49" fontId="22" fillId="6" borderId="64" xfId="26" applyNumberFormat="1" applyFont="1" applyFill="1" applyBorder="1" applyAlignment="1">
      <alignment horizontal="left" vertical="center" wrapText="1"/>
    </xf>
    <xf numFmtId="49" fontId="22" fillId="0" borderId="59" xfId="26" applyNumberFormat="1" applyFont="1" applyBorder="1" applyAlignment="1">
      <alignment horizontal="center" vertical="center" wrapText="1"/>
    </xf>
    <xf numFmtId="49" fontId="22" fillId="0" borderId="66" xfId="26" applyNumberFormat="1" applyFont="1" applyBorder="1" applyAlignment="1">
      <alignment horizontal="center" vertical="center" wrapText="1"/>
    </xf>
    <xf numFmtId="49" fontId="22" fillId="0" borderId="68" xfId="26" applyNumberFormat="1" applyFont="1" applyBorder="1" applyAlignment="1">
      <alignment horizontal="center" vertical="center" wrapText="1"/>
    </xf>
    <xf numFmtId="49" fontId="22" fillId="6" borderId="63" xfId="26" applyNumberFormat="1" applyFont="1" applyFill="1" applyBorder="1" applyAlignment="1">
      <alignment horizontal="center" vertical="center" wrapText="1"/>
    </xf>
    <xf numFmtId="49" fontId="22" fillId="6" borderId="66" xfId="26" applyNumberFormat="1" applyFont="1" applyFill="1" applyBorder="1" applyAlignment="1">
      <alignment horizontal="center" vertical="center" wrapText="1"/>
    </xf>
    <xf numFmtId="49" fontId="22" fillId="0" borderId="58" xfId="26" applyNumberFormat="1" applyFont="1" applyBorder="1" applyAlignment="1">
      <alignment horizontal="left" vertical="center" wrapText="1"/>
    </xf>
    <xf numFmtId="169" fontId="22" fillId="6" borderId="6" xfId="25" applyNumberFormat="1" applyFont="1" applyFill="1" applyBorder="1" applyAlignment="1">
      <alignment horizontal="center" vertical="center" wrapText="1"/>
    </xf>
    <xf numFmtId="49" fontId="22" fillId="6" borderId="22" xfId="26" applyNumberFormat="1" applyFont="1" applyFill="1" applyBorder="1" applyAlignment="1">
      <alignment horizontal="left" vertical="center" wrapText="1"/>
    </xf>
    <xf numFmtId="49" fontId="22" fillId="6" borderId="54" xfId="26" applyNumberFormat="1" applyFont="1" applyFill="1" applyBorder="1" applyAlignment="1">
      <alignment horizontal="center" vertical="center" wrapText="1"/>
    </xf>
    <xf numFmtId="0" fontId="23" fillId="0" borderId="19" xfId="25" applyFont="1" applyBorder="1" applyAlignment="1">
      <alignment horizontal="center" vertical="center" wrapText="1"/>
    </xf>
    <xf numFmtId="0" fontId="23" fillId="0" borderId="11" xfId="25" applyFont="1" applyBorder="1" applyAlignment="1">
      <alignment horizontal="center" vertical="center" wrapText="1"/>
    </xf>
    <xf numFmtId="0" fontId="23" fillId="0" borderId="23" xfId="25" applyFont="1" applyBorder="1" applyAlignment="1">
      <alignment horizontal="center" vertical="center" wrapText="1"/>
    </xf>
    <xf numFmtId="0" fontId="23" fillId="0" borderId="0" xfId="25" applyFont="1" applyAlignment="1">
      <alignment horizontal="center" vertical="center" wrapText="1"/>
    </xf>
    <xf numFmtId="0" fontId="23" fillId="0" borderId="21" xfId="25" applyFont="1" applyBorder="1" applyAlignment="1">
      <alignment horizontal="center" vertical="center" wrapText="1"/>
    </xf>
    <xf numFmtId="0" fontId="23" fillId="0" borderId="9" xfId="25" applyFont="1" applyBorder="1" applyAlignment="1">
      <alignment horizontal="center" vertical="center" wrapText="1"/>
    </xf>
    <xf numFmtId="0" fontId="22" fillId="6" borderId="11" xfId="25" applyFont="1" applyFill="1" applyBorder="1" applyAlignment="1">
      <alignment horizontal="center" vertical="center" wrapText="1"/>
    </xf>
    <xf numFmtId="0" fontId="22" fillId="6" borderId="9" xfId="25" applyFont="1" applyFill="1" applyBorder="1" applyAlignment="1">
      <alignment horizontal="center" vertical="center" wrapText="1"/>
    </xf>
    <xf numFmtId="0" fontId="22" fillId="6" borderId="6" xfId="4" applyNumberFormat="1" applyFont="1" applyFill="1" applyBorder="1" applyAlignment="1">
      <alignment horizontal="center" vertical="center" wrapText="1"/>
    </xf>
    <xf numFmtId="0" fontId="22" fillId="6" borderId="51" xfId="25" quotePrefix="1" applyFont="1" applyFill="1" applyBorder="1" applyAlignment="1">
      <alignment horizontal="center" vertical="center" wrapText="1"/>
    </xf>
    <xf numFmtId="0" fontId="22" fillId="6" borderId="58" xfId="25" quotePrefix="1" applyFont="1" applyFill="1" applyBorder="1" applyAlignment="1">
      <alignment horizontal="center" vertical="center" wrapText="1"/>
    </xf>
    <xf numFmtId="0" fontId="22" fillId="6" borderId="51" xfId="25" applyFont="1" applyFill="1" applyBorder="1" applyAlignment="1">
      <alignment horizontal="left" vertical="center" wrapText="1"/>
    </xf>
    <xf numFmtId="0" fontId="22" fillId="6" borderId="69" xfId="25" quotePrefix="1" applyFont="1" applyFill="1" applyBorder="1" applyAlignment="1">
      <alignment horizontal="left" vertical="center" wrapText="1"/>
    </xf>
    <xf numFmtId="0" fontId="22" fillId="6" borderId="70" xfId="25" quotePrefix="1" applyFont="1" applyFill="1" applyBorder="1" applyAlignment="1">
      <alignment horizontal="left" vertical="center" wrapText="1"/>
    </xf>
    <xf numFmtId="10" fontId="22" fillId="6" borderId="6" xfId="3" applyNumberFormat="1" applyFont="1" applyFill="1" applyBorder="1" applyAlignment="1">
      <alignment horizontal="center" vertical="center" wrapText="1"/>
    </xf>
    <xf numFmtId="43" fontId="22" fillId="6" borderId="6" xfId="4" applyFont="1" applyFill="1" applyBorder="1" applyAlignment="1">
      <alignment horizontal="center" vertical="center" wrapText="1"/>
    </xf>
    <xf numFmtId="0" fontId="22" fillId="6" borderId="19" xfId="25" applyFont="1" applyFill="1" applyBorder="1" applyAlignment="1">
      <alignment horizontal="center" vertical="center" wrapText="1"/>
    </xf>
    <xf numFmtId="0" fontId="22" fillId="6" borderId="23" xfId="25" applyFont="1" applyFill="1" applyBorder="1" applyAlignment="1">
      <alignment horizontal="center" vertical="center" wrapText="1"/>
    </xf>
    <xf numFmtId="0" fontId="22" fillId="6" borderId="21" xfId="25" applyFont="1" applyFill="1" applyBorder="1" applyAlignment="1">
      <alignment horizontal="center" vertical="center" wrapText="1"/>
    </xf>
    <xf numFmtId="0" fontId="23" fillId="0" borderId="51" xfId="25" applyFont="1" applyBorder="1" applyAlignment="1">
      <alignment horizontal="center" vertical="center" wrapText="1"/>
    </xf>
    <xf numFmtId="0" fontId="22" fillId="0" borderId="52" xfId="25" applyFont="1" applyBorder="1" applyAlignment="1">
      <alignment horizontal="center" vertical="center" wrapText="1"/>
    </xf>
    <xf numFmtId="0" fontId="22" fillId="6" borderId="63" xfId="25" applyFont="1" applyFill="1" applyBorder="1" applyAlignment="1">
      <alignment horizontal="center" vertical="center" wrapText="1"/>
    </xf>
    <xf numFmtId="0" fontId="22" fillId="6" borderId="66" xfId="25" applyFont="1" applyFill="1" applyBorder="1" applyAlignment="1">
      <alignment horizontal="center" vertical="center" wrapText="1"/>
    </xf>
    <xf numFmtId="0" fontId="22" fillId="6" borderId="64" xfId="25" applyFont="1" applyFill="1" applyBorder="1" applyAlignment="1">
      <alignment horizontal="center" vertical="center" wrapText="1"/>
    </xf>
    <xf numFmtId="0" fontId="22" fillId="6" borderId="0" xfId="25" applyFont="1" applyFill="1" applyAlignment="1">
      <alignment horizontal="center" vertical="center" wrapText="1"/>
    </xf>
    <xf numFmtId="10" fontId="22" fillId="0" borderId="20" xfId="3" applyNumberFormat="1" applyFont="1" applyFill="1" applyBorder="1" applyAlignment="1">
      <alignment horizontal="center" vertical="center" wrapText="1"/>
    </xf>
    <xf numFmtId="10" fontId="22" fillId="0" borderId="22" xfId="3" applyNumberFormat="1" applyFont="1" applyFill="1" applyBorder="1" applyAlignment="1">
      <alignment horizontal="center" vertical="center" wrapText="1"/>
    </xf>
    <xf numFmtId="10" fontId="22" fillId="0" borderId="27" xfId="3" applyNumberFormat="1" applyFont="1" applyFill="1" applyBorder="1" applyAlignment="1">
      <alignment horizontal="center" vertical="center" wrapText="1"/>
    </xf>
    <xf numFmtId="0" fontId="22" fillId="6" borderId="20" xfId="25" applyFont="1" applyFill="1" applyBorder="1" applyAlignment="1">
      <alignment horizontal="center" vertical="center"/>
    </xf>
    <xf numFmtId="0" fontId="22" fillId="6" borderId="22" xfId="25" applyFont="1" applyFill="1" applyBorder="1" applyAlignment="1">
      <alignment horizontal="center" vertical="center"/>
    </xf>
    <xf numFmtId="0" fontId="22" fillId="6" borderId="19" xfId="25" quotePrefix="1" applyFont="1" applyFill="1" applyBorder="1" applyAlignment="1">
      <alignment horizontal="justify" vertical="center" wrapText="1"/>
    </xf>
    <xf numFmtId="0" fontId="22" fillId="6" borderId="23" xfId="25" quotePrefix="1" applyFont="1" applyFill="1" applyBorder="1" applyAlignment="1">
      <alignment horizontal="justify" vertical="center" wrapText="1"/>
    </xf>
    <xf numFmtId="0" fontId="22" fillId="6" borderId="21" xfId="25" quotePrefix="1" applyFont="1" applyFill="1" applyBorder="1" applyAlignment="1">
      <alignment horizontal="justify" vertical="center" wrapText="1"/>
    </xf>
    <xf numFmtId="0" fontId="22" fillId="0" borderId="6" xfId="4" applyNumberFormat="1" applyFont="1" applyBorder="1" applyAlignment="1">
      <alignment horizontal="center" vertical="center" wrapText="1"/>
    </xf>
    <xf numFmtId="0" fontId="22" fillId="0" borderId="20" xfId="25" applyFont="1" applyBorder="1" applyAlignment="1">
      <alignment horizontal="center" vertical="center"/>
    </xf>
    <xf numFmtId="0" fontId="22" fillId="0" borderId="22" xfId="25" applyFont="1" applyBorder="1" applyAlignment="1">
      <alignment horizontal="center" vertical="center"/>
    </xf>
    <xf numFmtId="0" fontId="22" fillId="0" borderId="27" xfId="25" applyFont="1" applyBorder="1" applyAlignment="1">
      <alignment horizontal="center" vertical="center"/>
    </xf>
    <xf numFmtId="1" fontId="22" fillId="0" borderId="20" xfId="4" applyNumberFormat="1" applyFont="1" applyBorder="1" applyAlignment="1">
      <alignment horizontal="center" vertical="center" wrapText="1"/>
    </xf>
    <xf numFmtId="1" fontId="22" fillId="0" borderId="22" xfId="4" applyNumberFormat="1" applyFont="1" applyBorder="1" applyAlignment="1">
      <alignment horizontal="center" vertical="center" wrapText="1"/>
    </xf>
    <xf numFmtId="174" fontId="23" fillId="18" borderId="15" xfId="4" applyNumberFormat="1" applyFont="1" applyFill="1" applyBorder="1" applyAlignment="1">
      <alignment horizontal="center" vertical="center" textRotation="180" wrapText="1"/>
    </xf>
    <xf numFmtId="174" fontId="23" fillId="18" borderId="14" xfId="4" applyNumberFormat="1" applyFont="1" applyFill="1" applyBorder="1" applyAlignment="1">
      <alignment horizontal="center" vertical="center" textRotation="180" wrapText="1"/>
    </xf>
    <xf numFmtId="14" fontId="22" fillId="0" borderId="20" xfId="4" applyNumberFormat="1" applyFont="1" applyBorder="1" applyAlignment="1">
      <alignment horizontal="center" vertical="center" wrapText="1"/>
    </xf>
    <xf numFmtId="0" fontId="22" fillId="0" borderId="26" xfId="4" applyNumberFormat="1" applyFont="1" applyBorder="1" applyAlignment="1">
      <alignment horizontal="center" vertical="center" wrapText="1"/>
    </xf>
    <xf numFmtId="0" fontId="22" fillId="0" borderId="28" xfId="4" applyNumberFormat="1" applyFont="1" applyBorder="1" applyAlignment="1">
      <alignment horizontal="center" vertical="center" wrapText="1"/>
    </xf>
    <xf numFmtId="0" fontId="22" fillId="0" borderId="34" xfId="4" applyNumberFormat="1" applyFont="1" applyBorder="1" applyAlignment="1">
      <alignment horizontal="center" vertical="center" wrapText="1"/>
    </xf>
    <xf numFmtId="49" fontId="22" fillId="6" borderId="20" xfId="26" quotePrefix="1" applyNumberFormat="1" applyFont="1" applyFill="1" applyBorder="1" applyAlignment="1">
      <alignment horizontal="left" vertical="center" wrapText="1"/>
    </xf>
    <xf numFmtId="49" fontId="22" fillId="6" borderId="27" xfId="26" quotePrefix="1" applyNumberFormat="1" applyFont="1" applyFill="1" applyBorder="1" applyAlignment="1">
      <alignment horizontal="left" vertical="center" wrapText="1"/>
    </xf>
    <xf numFmtId="49" fontId="24" fillId="6" borderId="20" xfId="26" quotePrefix="1" applyNumberFormat="1" applyFont="1" applyFill="1" applyBorder="1" applyAlignment="1">
      <alignment horizontal="left" vertical="center" wrapText="1"/>
    </xf>
    <xf numFmtId="49" fontId="24" fillId="6" borderId="27" xfId="26" quotePrefix="1" applyNumberFormat="1" applyFont="1" applyFill="1" applyBorder="1" applyAlignment="1">
      <alignment horizontal="left" vertical="center" wrapText="1"/>
    </xf>
    <xf numFmtId="49" fontId="24" fillId="0" borderId="20" xfId="26" applyNumberFormat="1" applyFont="1" applyBorder="1" applyAlignment="1">
      <alignment horizontal="left" vertical="center" wrapText="1"/>
    </xf>
    <xf numFmtId="49" fontId="24" fillId="0" borderId="27" xfId="26" applyNumberFormat="1" applyFont="1" applyBorder="1" applyAlignment="1">
      <alignment horizontal="left" vertical="center" wrapText="1"/>
    </xf>
    <xf numFmtId="0" fontId="22" fillId="0" borderId="54" xfId="25" applyFont="1" applyBorder="1" applyAlignment="1">
      <alignment horizontal="center" vertical="center" wrapText="1"/>
    </xf>
    <xf numFmtId="0" fontId="22" fillId="6" borderId="27" xfId="25" applyFont="1" applyFill="1" applyBorder="1" applyAlignment="1">
      <alignment horizontal="center" vertical="center"/>
    </xf>
    <xf numFmtId="0" fontId="22" fillId="6" borderId="23" xfId="25" applyFont="1" applyFill="1" applyBorder="1" applyAlignment="1">
      <alignment horizontal="justify" vertical="center" wrapText="1"/>
    </xf>
    <xf numFmtId="0" fontId="22" fillId="6" borderId="21" xfId="25" applyFont="1" applyFill="1" applyBorder="1" applyAlignment="1">
      <alignment horizontal="justify" vertical="center" wrapText="1"/>
    </xf>
    <xf numFmtId="0" fontId="22" fillId="6" borderId="62" xfId="25" applyFont="1" applyFill="1" applyBorder="1" applyAlignment="1">
      <alignment horizontal="left" vertical="center" wrapText="1"/>
    </xf>
    <xf numFmtId="0" fontId="24" fillId="0" borderId="6" xfId="4" applyNumberFormat="1" applyFont="1" applyBorder="1" applyAlignment="1">
      <alignment horizontal="center" vertical="center" wrapText="1"/>
    </xf>
    <xf numFmtId="9" fontId="22" fillId="0" borderId="6" xfId="3" applyFont="1" applyBorder="1" applyAlignment="1">
      <alignment horizontal="center" vertical="center" wrapText="1"/>
    </xf>
    <xf numFmtId="49" fontId="24" fillId="0" borderId="20" xfId="26" applyNumberFormat="1" applyFont="1" applyBorder="1" applyAlignment="1">
      <alignment horizontal="center" vertical="center" wrapText="1"/>
    </xf>
    <xf numFmtId="49" fontId="24" fillId="0" borderId="27" xfId="26" applyNumberFormat="1" applyFont="1" applyBorder="1" applyAlignment="1">
      <alignment horizontal="center" vertical="center" wrapText="1"/>
    </xf>
    <xf numFmtId="14" fontId="24" fillId="0" borderId="6" xfId="4" applyNumberFormat="1" applyFont="1" applyBorder="1" applyAlignment="1">
      <alignment horizontal="center" vertical="center" wrapText="1"/>
    </xf>
    <xf numFmtId="3" fontId="22" fillId="6" borderId="47" xfId="25" applyNumberFormat="1" applyFont="1" applyFill="1" applyBorder="1" applyAlignment="1">
      <alignment horizontal="center" vertical="center" wrapText="1"/>
    </xf>
    <xf numFmtId="0" fontId="22" fillId="0" borderId="30" xfId="25" applyFont="1" applyBorder="1" applyAlignment="1">
      <alignment horizontal="center"/>
    </xf>
    <xf numFmtId="0" fontId="22" fillId="0" borderId="31" xfId="25" applyFont="1" applyBorder="1" applyAlignment="1">
      <alignment horizontal="center"/>
    </xf>
    <xf numFmtId="0" fontId="22" fillId="0" borderId="33" xfId="25" applyFont="1" applyBorder="1" applyAlignment="1">
      <alignment horizontal="center"/>
    </xf>
    <xf numFmtId="0" fontId="23" fillId="6" borderId="0" xfId="25" applyFont="1" applyFill="1" applyAlignment="1">
      <alignment horizontal="center"/>
    </xf>
    <xf numFmtId="0" fontId="22" fillId="6" borderId="0" xfId="25" applyFont="1" applyFill="1" applyAlignment="1">
      <alignment horizontal="center"/>
    </xf>
    <xf numFmtId="9" fontId="22" fillId="6" borderId="6" xfId="3" applyFont="1" applyFill="1" applyBorder="1" applyAlignment="1">
      <alignment horizontal="center" vertical="center" wrapText="1"/>
    </xf>
    <xf numFmtId="1" fontId="11" fillId="8" borderId="22" xfId="0" applyNumberFormat="1" applyFont="1" applyFill="1" applyBorder="1" applyAlignment="1">
      <alignment horizontal="center" vertical="center" wrapText="1"/>
    </xf>
    <xf numFmtId="169" fontId="10" fillId="0" borderId="20" xfId="0" applyNumberFormat="1" applyFont="1" applyBorder="1" applyAlignment="1">
      <alignment horizontal="center" vertical="center" wrapText="1"/>
    </xf>
    <xf numFmtId="169" fontId="10" fillId="0" borderId="27" xfId="0" applyNumberFormat="1" applyFont="1" applyBorder="1" applyAlignment="1">
      <alignment horizontal="center" vertical="center" wrapText="1"/>
    </xf>
    <xf numFmtId="3" fontId="25" fillId="0" borderId="20" xfId="0" applyNumberFormat="1" applyFont="1" applyBorder="1" applyAlignment="1">
      <alignment horizontal="center" vertical="center" wrapText="1"/>
    </xf>
    <xf numFmtId="3" fontId="25" fillId="0" borderId="22" xfId="0" applyNumberFormat="1" applyFont="1" applyBorder="1" applyAlignment="1">
      <alignment horizontal="center" vertical="center"/>
    </xf>
    <xf numFmtId="3" fontId="10" fillId="0" borderId="27" xfId="0" applyNumberFormat="1" applyFont="1" applyBorder="1" applyAlignment="1">
      <alignment horizontal="center" vertical="center"/>
    </xf>
    <xf numFmtId="0" fontId="8" fillId="0" borderId="6" xfId="0" applyFont="1" applyBorder="1" applyAlignment="1">
      <alignment horizontal="justify" vertical="center" wrapText="1"/>
    </xf>
    <xf numFmtId="0" fontId="10" fillId="0" borderId="20" xfId="0" applyFont="1" applyBorder="1" applyAlignment="1">
      <alignment horizontal="center" vertical="center" wrapText="1"/>
    </xf>
    <xf numFmtId="9" fontId="8" fillId="0" borderId="20" xfId="5" applyFont="1" applyBorder="1" applyAlignment="1">
      <alignment horizontal="center" vertical="center" wrapText="1"/>
    </xf>
    <xf numFmtId="9" fontId="8" fillId="0" borderId="27" xfId="5" applyFont="1" applyBorder="1" applyAlignment="1">
      <alignment horizontal="center" vertical="center" wrapText="1"/>
    </xf>
    <xf numFmtId="43" fontId="10" fillId="0" borderId="20" xfId="6" applyFont="1" applyBorder="1" applyAlignment="1">
      <alignment horizontal="center" vertical="center" wrapText="1"/>
    </xf>
    <xf numFmtId="43" fontId="10" fillId="0" borderId="27" xfId="6" applyFont="1" applyBorder="1" applyAlignment="1">
      <alignment horizontal="center" vertical="center" wrapText="1"/>
    </xf>
    <xf numFmtId="3" fontId="10" fillId="0" borderId="20" xfId="0" applyNumberFormat="1" applyFont="1" applyBorder="1" applyAlignment="1">
      <alignment horizontal="justify" vertical="center" wrapText="1"/>
    </xf>
    <xf numFmtId="3" fontId="10" fillId="0" borderId="27" xfId="0" applyNumberFormat="1" applyFont="1" applyBorder="1" applyAlignment="1">
      <alignment horizontal="justify" vertical="center" wrapText="1"/>
    </xf>
    <xf numFmtId="0" fontId="10" fillId="0" borderId="27" xfId="0" applyFont="1" applyBorder="1" applyAlignment="1">
      <alignment horizontal="center" vertical="center" wrapText="1"/>
    </xf>
    <xf numFmtId="0" fontId="10" fillId="0" borderId="27" xfId="0" applyFont="1" applyBorder="1" applyAlignment="1">
      <alignment horizontal="justify" vertical="center" wrapText="1"/>
    </xf>
    <xf numFmtId="0" fontId="10" fillId="6" borderId="20" xfId="0" applyFont="1" applyFill="1" applyBorder="1" applyAlignment="1">
      <alignment horizontal="center" vertical="center" wrapText="1"/>
    </xf>
    <xf numFmtId="0" fontId="10" fillId="6" borderId="27" xfId="0" applyFont="1" applyFill="1" applyBorder="1" applyAlignment="1">
      <alignment horizontal="center" vertical="center" wrapText="1"/>
    </xf>
    <xf numFmtId="10" fontId="8" fillId="0" borderId="6" xfId="5" applyNumberFormat="1" applyFont="1" applyBorder="1" applyAlignment="1">
      <alignment horizontal="center" vertical="center" wrapText="1"/>
    </xf>
    <xf numFmtId="10" fontId="8" fillId="0" borderId="20" xfId="5" applyNumberFormat="1" applyFont="1" applyBorder="1" applyAlignment="1">
      <alignment horizontal="center" vertical="center" wrapText="1"/>
    </xf>
    <xf numFmtId="4" fontId="10" fillId="6" borderId="6" xfId="6" applyNumberFormat="1" applyFont="1" applyFill="1" applyBorder="1" applyAlignment="1">
      <alignment horizontal="right" vertical="center" wrapText="1"/>
    </xf>
    <xf numFmtId="4" fontId="10" fillId="6" borderId="20" xfId="6" applyNumberFormat="1" applyFont="1" applyFill="1" applyBorder="1" applyAlignment="1">
      <alignment horizontal="right"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58" xfId="0" applyFont="1" applyFill="1" applyBorder="1" applyAlignment="1">
      <alignment horizontal="center" vertical="center" wrapText="1"/>
    </xf>
    <xf numFmtId="3" fontId="10" fillId="0" borderId="26" xfId="0" applyNumberFormat="1" applyFont="1" applyBorder="1" applyAlignment="1">
      <alignment horizontal="center" vertical="center" wrapText="1"/>
    </xf>
    <xf numFmtId="3" fontId="10" fillId="0" borderId="12" xfId="0" applyNumberFormat="1" applyFont="1" applyBorder="1" applyAlignment="1">
      <alignment horizontal="center" vertical="center"/>
    </xf>
    <xf numFmtId="0" fontId="10" fillId="0" borderId="20" xfId="0" applyFont="1" applyBorder="1" applyAlignment="1">
      <alignment horizontal="center" vertical="center" wrapText="1" readingOrder="2"/>
    </xf>
    <xf numFmtId="0" fontId="10" fillId="0" borderId="22" xfId="0" applyFont="1" applyBorder="1" applyAlignment="1">
      <alignment horizontal="center" vertical="center" wrapText="1" readingOrder="2"/>
    </xf>
    <xf numFmtId="0" fontId="10" fillId="0" borderId="23" xfId="0" applyFont="1" applyBorder="1" applyAlignment="1">
      <alignment horizontal="center" vertical="center" wrapText="1" readingOrder="2"/>
    </xf>
    <xf numFmtId="169" fontId="10" fillId="0" borderId="22" xfId="0" applyNumberFormat="1" applyFont="1" applyBorder="1" applyAlignment="1">
      <alignment horizontal="center" vertical="center" wrapText="1"/>
    </xf>
    <xf numFmtId="3" fontId="10" fillId="0" borderId="51" xfId="0" applyNumberFormat="1" applyFont="1" applyBorder="1" applyAlignment="1">
      <alignment horizontal="center" vertical="center"/>
    </xf>
    <xf numFmtId="169" fontId="10" fillId="0" borderId="51" xfId="0" applyNumberFormat="1" applyFont="1" applyBorder="1" applyAlignment="1">
      <alignment horizontal="center" vertical="center" wrapText="1"/>
    </xf>
    <xf numFmtId="3" fontId="10" fillId="0" borderId="51" xfId="0" applyNumberFormat="1" applyFont="1" applyBorder="1" applyAlignment="1">
      <alignment horizontal="center" vertical="center" wrapText="1"/>
    </xf>
    <xf numFmtId="0" fontId="8" fillId="0" borderId="51" xfId="0" applyFont="1" applyBorder="1" applyAlignment="1">
      <alignment horizontal="center" vertical="center" wrapText="1"/>
    </xf>
    <xf numFmtId="0" fontId="10" fillId="0" borderId="51" xfId="0" applyFont="1" applyBorder="1" applyAlignment="1">
      <alignment horizontal="center" vertical="center" wrapText="1"/>
    </xf>
    <xf numFmtId="10" fontId="8" fillId="0" borderId="51" xfId="5" applyNumberFormat="1" applyFont="1" applyBorder="1" applyAlignment="1">
      <alignment horizontal="center" vertical="center" wrapText="1"/>
    </xf>
    <xf numFmtId="43" fontId="10" fillId="0" borderId="51" xfId="6" applyFont="1" applyBorder="1" applyAlignment="1">
      <alignment horizontal="center" vertical="center" wrapText="1"/>
    </xf>
    <xf numFmtId="0" fontId="8" fillId="0" borderId="51" xfId="0" applyFont="1" applyFill="1" applyBorder="1" applyAlignment="1">
      <alignment horizontal="center" vertical="center" wrapText="1"/>
    </xf>
    <xf numFmtId="0" fontId="36" fillId="0" borderId="0" xfId="0" applyFont="1" applyAlignment="1">
      <alignment horizontal="left" vertical="top"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3" fillId="6" borderId="51" xfId="0" applyFont="1" applyFill="1" applyBorder="1" applyAlignment="1">
      <alignment horizontal="center" vertical="center" wrapText="1"/>
    </xf>
    <xf numFmtId="0" fontId="23" fillId="0" borderId="2" xfId="0" applyFont="1" applyBorder="1" applyAlignment="1">
      <alignment horizontal="left" vertical="top" wrapText="1"/>
    </xf>
    <xf numFmtId="0" fontId="23" fillId="0" borderId="0" xfId="0" applyFont="1" applyAlignment="1">
      <alignment horizontal="left" vertical="top" wrapText="1"/>
    </xf>
    <xf numFmtId="0" fontId="17" fillId="0" borderId="0" xfId="0" applyFont="1" applyAlignment="1">
      <alignment horizontal="center" vertical="top" wrapText="1"/>
    </xf>
    <xf numFmtId="0" fontId="22" fillId="0" borderId="23" xfId="0" applyFont="1" applyFill="1" applyBorder="1" applyAlignment="1">
      <alignment horizontal="justify" vertical="center" wrapText="1"/>
    </xf>
    <xf numFmtId="0" fontId="22" fillId="0" borderId="11" xfId="0" applyFont="1" applyFill="1" applyBorder="1" applyAlignment="1">
      <alignment horizontal="center" vertical="center"/>
    </xf>
    <xf numFmtId="0" fontId="22" fillId="0" borderId="0" xfId="0" applyFont="1" applyFill="1" applyBorder="1" applyAlignment="1">
      <alignment horizontal="center" vertical="center"/>
    </xf>
    <xf numFmtId="0" fontId="22" fillId="6" borderId="51" xfId="0" applyFont="1" applyFill="1" applyBorder="1" applyAlignment="1">
      <alignment horizontal="justify" vertical="top" wrapText="1"/>
    </xf>
    <xf numFmtId="9" fontId="22" fillId="6" borderId="51" xfId="0" applyNumberFormat="1" applyFont="1" applyFill="1" applyBorder="1" applyAlignment="1">
      <alignment horizontal="center" vertical="center" wrapText="1"/>
    </xf>
    <xf numFmtId="43" fontId="22" fillId="6" borderId="51" xfId="1" applyFont="1" applyFill="1" applyBorder="1" applyAlignment="1">
      <alignment horizontal="center" vertical="center" wrapText="1"/>
    </xf>
    <xf numFmtId="0" fontId="22" fillId="6" borderId="12" xfId="0" applyFont="1" applyFill="1" applyBorder="1" applyAlignment="1">
      <alignment horizontal="justify" vertical="center" wrapText="1"/>
    </xf>
    <xf numFmtId="0" fontId="22" fillId="6" borderId="25" xfId="0" applyFont="1" applyFill="1" applyBorder="1" applyAlignment="1">
      <alignment horizontal="justify" vertical="center" wrapText="1"/>
    </xf>
    <xf numFmtId="0" fontId="22" fillId="6" borderId="11"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61" xfId="0" applyFont="1" applyFill="1" applyBorder="1" applyAlignment="1">
      <alignment horizontal="center" vertical="center" wrapText="1"/>
    </xf>
    <xf numFmtId="0" fontId="22" fillId="6" borderId="59" xfId="0" applyFont="1" applyFill="1" applyBorder="1" applyAlignment="1">
      <alignment horizontal="center" vertical="center" wrapText="1"/>
    </xf>
    <xf numFmtId="0" fontId="22" fillId="6" borderId="65" xfId="0" applyFont="1" applyFill="1" applyBorder="1" applyAlignment="1">
      <alignment horizontal="center" vertical="center" wrapText="1"/>
    </xf>
    <xf numFmtId="0" fontId="22" fillId="6" borderId="57" xfId="0" applyFont="1" applyFill="1" applyBorder="1" applyAlignment="1">
      <alignment horizontal="center" vertical="center" wrapText="1"/>
    </xf>
    <xf numFmtId="0" fontId="22" fillId="6" borderId="66" xfId="0" applyFont="1" applyFill="1" applyBorder="1" applyAlignment="1">
      <alignment horizontal="center" vertical="center" wrapText="1"/>
    </xf>
    <xf numFmtId="0" fontId="22" fillId="6" borderId="67" xfId="0" applyFont="1" applyFill="1" applyBorder="1" applyAlignment="1">
      <alignment horizontal="center" vertical="center" wrapText="1"/>
    </xf>
    <xf numFmtId="0" fontId="22" fillId="6" borderId="68" xfId="0" applyFont="1" applyFill="1" applyBorder="1" applyAlignment="1">
      <alignment horizontal="center" vertical="center" wrapText="1"/>
    </xf>
    <xf numFmtId="0" fontId="22" fillId="6" borderId="60" xfId="0" applyFont="1" applyFill="1" applyBorder="1" applyAlignment="1">
      <alignment horizontal="center" vertical="center" wrapText="1"/>
    </xf>
    <xf numFmtId="0" fontId="22" fillId="6" borderId="51" xfId="0" applyFont="1" applyFill="1" applyBorder="1" applyAlignment="1">
      <alignment horizontal="justify" vertical="center" wrapText="1"/>
    </xf>
    <xf numFmtId="0" fontId="22" fillId="0" borderId="6" xfId="0" applyFont="1" applyFill="1" applyBorder="1" applyAlignment="1">
      <alignment horizontal="justify" vertical="center" wrapText="1"/>
    </xf>
    <xf numFmtId="14" fontId="22" fillId="0" borderId="21" xfId="0" applyNumberFormat="1" applyFont="1" applyBorder="1" applyAlignment="1">
      <alignment horizontal="center" vertical="center"/>
    </xf>
    <xf numFmtId="0" fontId="22" fillId="0" borderId="34" xfId="0" applyFont="1" applyBorder="1" applyAlignment="1">
      <alignment horizontal="center" vertical="center" wrapText="1"/>
    </xf>
    <xf numFmtId="43" fontId="22" fillId="6" borderId="22" xfId="1" applyFont="1" applyFill="1" applyBorder="1" applyAlignment="1">
      <alignment horizontal="center" vertical="center" wrapText="1"/>
    </xf>
    <xf numFmtId="0" fontId="22" fillId="0" borderId="19" xfId="0" applyFont="1" applyBorder="1" applyAlignment="1">
      <alignment horizontal="center" vertical="center" textRotation="94" wrapText="1"/>
    </xf>
    <xf numFmtId="0" fontId="22" fillId="0" borderId="23" xfId="0" applyFont="1" applyBorder="1" applyAlignment="1">
      <alignment horizontal="center" vertical="center" textRotation="94" wrapText="1"/>
    </xf>
    <xf numFmtId="0" fontId="22" fillId="0" borderId="20"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19" xfId="0" applyFont="1" applyFill="1" applyBorder="1" applyAlignment="1">
      <alignment horizontal="center" vertical="center" textRotation="94" wrapText="1"/>
    </xf>
    <xf numFmtId="0" fontId="22" fillId="0" borderId="23" xfId="0" applyFont="1" applyFill="1" applyBorder="1" applyAlignment="1">
      <alignment horizontal="center" vertical="center" textRotation="94" wrapText="1"/>
    </xf>
    <xf numFmtId="0" fontId="22" fillId="0" borderId="20"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6" borderId="20" xfId="0" applyFont="1" applyFill="1" applyBorder="1" applyAlignment="1">
      <alignment vertical="center" wrapText="1"/>
    </xf>
    <xf numFmtId="0" fontId="22" fillId="6" borderId="27" xfId="0" applyFont="1" applyFill="1" applyBorder="1" applyAlignment="1">
      <alignment vertical="center" wrapText="1"/>
    </xf>
    <xf numFmtId="1" fontId="22" fillId="6" borderId="20" xfId="0" applyNumberFormat="1" applyFont="1" applyFill="1" applyBorder="1" applyAlignment="1">
      <alignment horizontal="justify" vertical="center" wrapText="1"/>
    </xf>
    <xf numFmtId="1" fontId="22" fillId="6" borderId="27" xfId="0" applyNumberFormat="1" applyFont="1" applyFill="1" applyBorder="1" applyAlignment="1">
      <alignment horizontal="justify" vertical="center" wrapText="1"/>
    </xf>
    <xf numFmtId="14" fontId="22" fillId="6" borderId="20" xfId="0" applyNumberFormat="1" applyFont="1" applyFill="1" applyBorder="1" applyAlignment="1">
      <alignment horizontal="center" vertical="center"/>
    </xf>
    <xf numFmtId="1" fontId="22" fillId="6" borderId="26" xfId="0" applyNumberFormat="1" applyFont="1" applyFill="1" applyBorder="1" applyAlignment="1">
      <alignment horizontal="center" vertical="center" wrapText="1"/>
    </xf>
    <xf numFmtId="1" fontId="22" fillId="6" borderId="34" xfId="0" applyNumberFormat="1" applyFont="1" applyFill="1" applyBorder="1" applyAlignment="1">
      <alignment horizontal="center" vertical="center" wrapText="1"/>
    </xf>
    <xf numFmtId="1" fontId="22" fillId="6" borderId="28" xfId="0" applyNumberFormat="1" applyFont="1" applyFill="1" applyBorder="1" applyAlignment="1">
      <alignment horizontal="center" vertical="center" wrapText="1"/>
    </xf>
    <xf numFmtId="0" fontId="22" fillId="6" borderId="0" xfId="0" applyFont="1" applyFill="1" applyAlignment="1">
      <alignment horizontal="center" vertical="center" wrapText="1"/>
    </xf>
    <xf numFmtId="1" fontId="22" fillId="6" borderId="20" xfId="0" applyNumberFormat="1" applyFont="1" applyFill="1" applyBorder="1" applyAlignment="1">
      <alignment horizontal="center" vertical="center"/>
    </xf>
    <xf numFmtId="1" fontId="22" fillId="6" borderId="22" xfId="0" applyNumberFormat="1" applyFont="1" applyFill="1" applyBorder="1" applyAlignment="1">
      <alignment horizontal="center" vertical="center"/>
    </xf>
    <xf numFmtId="1" fontId="22" fillId="6" borderId="27" xfId="0" applyNumberFormat="1" applyFont="1" applyFill="1" applyBorder="1" applyAlignment="1">
      <alignment horizontal="center" vertical="center"/>
    </xf>
    <xf numFmtId="14" fontId="22" fillId="6" borderId="22" xfId="0" applyNumberFormat="1" applyFont="1" applyFill="1" applyBorder="1" applyAlignment="1">
      <alignment horizontal="center" vertical="center"/>
    </xf>
    <xf numFmtId="9" fontId="22" fillId="0" borderId="20" xfId="0" applyNumberFormat="1" applyFont="1" applyFill="1" applyBorder="1" applyAlignment="1">
      <alignment horizontal="center" vertical="center" wrapText="1"/>
    </xf>
    <xf numFmtId="9" fontId="22" fillId="0" borderId="22" xfId="0" applyNumberFormat="1" applyFont="1" applyFill="1" applyBorder="1" applyAlignment="1">
      <alignment horizontal="center" vertical="center" wrapText="1"/>
    </xf>
    <xf numFmtId="9" fontId="22" fillId="0" borderId="27" xfId="0" applyNumberFormat="1" applyFont="1" applyFill="1" applyBorder="1" applyAlignment="1">
      <alignment horizontal="center" vertical="center" wrapText="1"/>
    </xf>
    <xf numFmtId="43" fontId="22" fillId="0" borderId="20" xfId="1" applyFont="1" applyFill="1" applyBorder="1" applyAlignment="1">
      <alignment horizontal="center" vertical="center" wrapText="1"/>
    </xf>
    <xf numFmtId="43" fontId="22" fillId="0" borderId="22" xfId="1" applyFont="1" applyFill="1" applyBorder="1" applyAlignment="1">
      <alignment horizontal="center" vertical="center" wrapText="1"/>
    </xf>
    <xf numFmtId="43" fontId="22" fillId="0" borderId="27" xfId="1" applyFont="1" applyFill="1" applyBorder="1" applyAlignment="1">
      <alignment horizontal="center" vertical="center" wrapText="1"/>
    </xf>
    <xf numFmtId="3" fontId="22" fillId="0" borderId="20" xfId="0" applyNumberFormat="1" applyFont="1" applyFill="1" applyBorder="1" applyAlignment="1">
      <alignment horizontal="justify" vertical="center" wrapText="1"/>
    </xf>
    <xf numFmtId="3" fontId="22" fillId="0" borderId="22" xfId="0" applyNumberFormat="1" applyFont="1" applyFill="1" applyBorder="1" applyAlignment="1">
      <alignment horizontal="justify" vertical="center" wrapText="1"/>
    </xf>
    <xf numFmtId="3" fontId="22" fillId="0" borderId="27" xfId="0" applyNumberFormat="1" applyFont="1" applyFill="1" applyBorder="1" applyAlignment="1">
      <alignment horizontal="justify"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167" fontId="23" fillId="12" borderId="20" xfId="0" applyNumberFormat="1" applyFont="1" applyFill="1" applyBorder="1" applyAlignment="1">
      <alignment horizontal="center" vertical="center" wrapText="1"/>
    </xf>
    <xf numFmtId="167" fontId="23" fillId="12" borderId="22" xfId="0" applyNumberFormat="1" applyFont="1" applyFill="1" applyBorder="1" applyAlignment="1">
      <alignment horizontal="center" vertical="center" wrapText="1"/>
    </xf>
    <xf numFmtId="43" fontId="23" fillId="12" borderId="19" xfId="1" applyFont="1" applyFill="1" applyBorder="1" applyAlignment="1">
      <alignment horizontal="center" vertical="center" wrapText="1"/>
    </xf>
    <xf numFmtId="43" fontId="23" fillId="12" borderId="23" xfId="1" applyFont="1" applyFill="1" applyBorder="1" applyAlignment="1">
      <alignment horizontal="center" vertical="center" wrapText="1"/>
    </xf>
    <xf numFmtId="0" fontId="2" fillId="0" borderId="2" xfId="0" applyFont="1" applyBorder="1" applyAlignment="1">
      <alignment horizontal="center" vertical="center"/>
    </xf>
    <xf numFmtId="0" fontId="2" fillId="0" borderId="41"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185" fontId="24" fillId="6" borderId="19" xfId="0" applyNumberFormat="1" applyFont="1" applyFill="1" applyBorder="1" applyAlignment="1">
      <alignment horizontal="center" vertical="center" wrapText="1"/>
    </xf>
    <xf numFmtId="185" fontId="24" fillId="6" borderId="21" xfId="0" applyNumberFormat="1" applyFont="1" applyFill="1" applyBorder="1" applyAlignment="1">
      <alignment horizontal="center" vertical="center" wrapText="1"/>
    </xf>
    <xf numFmtId="0" fontId="7" fillId="6" borderId="6" xfId="0" applyFont="1" applyFill="1" applyBorder="1" applyAlignment="1">
      <alignment horizontal="center" vertical="center"/>
    </xf>
    <xf numFmtId="0" fontId="24" fillId="6" borderId="20" xfId="0" applyFont="1" applyFill="1" applyBorder="1" applyAlignment="1">
      <alignment horizontal="center" vertical="center" wrapText="1"/>
    </xf>
    <xf numFmtId="0" fontId="24" fillId="6" borderId="27" xfId="0" applyFont="1" applyFill="1" applyBorder="1" applyAlignment="1">
      <alignment horizontal="center" vertical="center" wrapText="1"/>
    </xf>
    <xf numFmtId="43" fontId="24" fillId="0" borderId="20" xfId="1" applyFont="1" applyBorder="1" applyAlignment="1">
      <alignment horizontal="center" vertical="center" wrapText="1"/>
    </xf>
    <xf numFmtId="43" fontId="24" fillId="0" borderId="27" xfId="1" applyFont="1" applyBorder="1" applyAlignment="1">
      <alignment horizontal="center" vertical="center" wrapText="1"/>
    </xf>
    <xf numFmtId="14" fontId="24" fillId="0" borderId="20" xfId="0" applyNumberFormat="1" applyFont="1" applyBorder="1" applyAlignment="1">
      <alignment horizontal="center" vertical="center" wrapText="1"/>
    </xf>
    <xf numFmtId="14" fontId="24" fillId="0" borderId="22" xfId="0" applyNumberFormat="1" applyFont="1" applyBorder="1" applyAlignment="1">
      <alignment horizontal="center" vertical="center" wrapText="1"/>
    </xf>
    <xf numFmtId="14" fontId="24" fillId="0" borderId="27" xfId="0" applyNumberFormat="1" applyFont="1" applyBorder="1" applyAlignment="1">
      <alignment horizontal="center" vertical="center" wrapText="1"/>
    </xf>
    <xf numFmtId="0" fontId="24" fillId="6" borderId="19" xfId="0" applyFont="1" applyFill="1" applyBorder="1" applyAlignment="1">
      <alignment horizontal="justify" vertical="center" wrapText="1"/>
    </xf>
    <xf numFmtId="0" fontId="24" fillId="6" borderId="21" xfId="0" applyFont="1" applyFill="1" applyBorder="1" applyAlignment="1">
      <alignment horizontal="justify" vertical="center" wrapText="1"/>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7" xfId="0" applyFont="1" applyBorder="1" applyAlignment="1">
      <alignment horizontal="center" vertical="center" wrapText="1"/>
    </xf>
    <xf numFmtId="0" fontId="24" fillId="6" borderId="20" xfId="0" applyNumberFormat="1" applyFont="1" applyFill="1" applyBorder="1" applyAlignment="1">
      <alignment horizontal="center" vertical="center" wrapText="1"/>
    </xf>
    <xf numFmtId="0" fontId="24" fillId="6" borderId="27" xfId="0" applyNumberFormat="1" applyFont="1" applyFill="1" applyBorder="1" applyAlignment="1">
      <alignment horizontal="center" vertical="center" wrapText="1"/>
    </xf>
    <xf numFmtId="43" fontId="24" fillId="0" borderId="22" xfId="1" applyFont="1" applyBorder="1" applyAlignment="1">
      <alignment horizontal="center" vertical="center" wrapText="1"/>
    </xf>
    <xf numFmtId="0" fontId="24" fillId="0" borderId="19" xfId="0" applyFont="1" applyBorder="1" applyAlignment="1">
      <alignment horizontal="justify" vertical="center" wrapText="1"/>
    </xf>
    <xf numFmtId="0" fontId="24" fillId="6" borderId="51" xfId="0" applyFont="1" applyFill="1" applyBorder="1" applyAlignment="1">
      <alignment horizontal="justify" vertical="center" wrapText="1"/>
    </xf>
    <xf numFmtId="0" fontId="28" fillId="15" borderId="6" xfId="0" applyFont="1" applyFill="1" applyBorder="1" applyAlignment="1">
      <alignment horizontal="left" vertical="center" wrapText="1"/>
    </xf>
    <xf numFmtId="0" fontId="24" fillId="6" borderId="22" xfId="0" applyFont="1" applyFill="1" applyBorder="1" applyAlignment="1">
      <alignment horizontal="center" vertical="center" wrapText="1"/>
    </xf>
    <xf numFmtId="0" fontId="19" fillId="13" borderId="14" xfId="0" applyFont="1" applyFill="1" applyBorder="1" applyAlignment="1">
      <alignment horizontal="left" vertical="center" wrapText="1"/>
    </xf>
    <xf numFmtId="0" fontId="19" fillId="13" borderId="15" xfId="0" applyFont="1" applyFill="1" applyBorder="1" applyAlignment="1">
      <alignment horizontal="left" vertical="center" wrapText="1"/>
    </xf>
    <xf numFmtId="0" fontId="19" fillId="20" borderId="14" xfId="0" applyFont="1" applyFill="1" applyBorder="1" applyAlignment="1">
      <alignment horizontal="left" vertical="center" wrapText="1"/>
    </xf>
    <xf numFmtId="0" fontId="19" fillId="20" borderId="15" xfId="0" applyFont="1" applyFill="1" applyBorder="1" applyAlignment="1">
      <alignment horizontal="left" vertical="center" wrapText="1"/>
    </xf>
    <xf numFmtId="0" fontId="19" fillId="20" borderId="16" xfId="0" applyFont="1" applyFill="1" applyBorder="1" applyAlignment="1">
      <alignment horizontal="left" vertical="center" wrapText="1"/>
    </xf>
    <xf numFmtId="0" fontId="19" fillId="15" borderId="6" xfId="0" applyFont="1" applyFill="1" applyBorder="1" applyAlignment="1">
      <alignment horizontal="left" vertical="center" wrapText="1"/>
    </xf>
    <xf numFmtId="0" fontId="19" fillId="15" borderId="20" xfId="0" applyFont="1" applyFill="1" applyBorder="1" applyAlignment="1">
      <alignment horizontal="left" vertical="center" wrapText="1"/>
    </xf>
    <xf numFmtId="49" fontId="24" fillId="6" borderId="20" xfId="0" applyNumberFormat="1" applyFont="1" applyFill="1" applyBorder="1" applyAlignment="1">
      <alignment horizontal="center" vertical="center" wrapText="1"/>
    </xf>
    <xf numFmtId="49" fontId="24" fillId="6" borderId="22" xfId="0" applyNumberFormat="1" applyFont="1" applyFill="1" applyBorder="1" applyAlignment="1">
      <alignment horizontal="center" vertical="center" wrapText="1"/>
    </xf>
    <xf numFmtId="0" fontId="0" fillId="0" borderId="0" xfId="0" applyAlignment="1">
      <alignment horizontal="center" vertical="center"/>
    </xf>
    <xf numFmtId="0" fontId="28" fillId="24" borderId="20" xfId="0" applyFont="1" applyFill="1" applyBorder="1" applyAlignment="1">
      <alignment horizontal="justify" vertical="center"/>
    </xf>
    <xf numFmtId="0" fontId="28" fillId="24" borderId="27" xfId="0" applyFont="1" applyFill="1" applyBorder="1" applyAlignment="1">
      <alignment horizontal="justify" vertical="center"/>
    </xf>
    <xf numFmtId="0" fontId="28" fillId="24" borderId="22" xfId="0" applyFont="1" applyFill="1" applyBorder="1" applyAlignment="1">
      <alignment horizontal="justify" vertical="center"/>
    </xf>
    <xf numFmtId="0" fontId="28" fillId="24" borderId="20" xfId="0" applyFont="1" applyFill="1" applyBorder="1" applyAlignment="1">
      <alignment horizontal="center" vertical="center" wrapText="1"/>
    </xf>
    <xf numFmtId="0" fontId="28" fillId="24" borderId="22" xfId="0" applyFont="1" applyFill="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justify" vertical="center"/>
    </xf>
    <xf numFmtId="14" fontId="28" fillId="24" borderId="6" xfId="0" applyNumberFormat="1" applyFont="1" applyFill="1" applyBorder="1" applyAlignment="1">
      <alignment horizontal="center" vertical="center" wrapText="1"/>
    </xf>
    <xf numFmtId="3" fontId="28" fillId="24" borderId="6" xfId="0" applyNumberFormat="1" applyFont="1" applyFill="1" applyBorder="1" applyAlignment="1">
      <alignment horizontal="center" vertical="center" wrapText="1"/>
    </xf>
    <xf numFmtId="0" fontId="28" fillId="24" borderId="27" xfId="0" applyFont="1" applyFill="1" applyBorder="1" applyAlignment="1">
      <alignment horizontal="center" vertical="center" wrapText="1"/>
    </xf>
    <xf numFmtId="3" fontId="28" fillId="24" borderId="20" xfId="0" applyNumberFormat="1" applyFont="1" applyFill="1" applyBorder="1" applyAlignment="1">
      <alignment horizontal="center" vertical="center" wrapText="1"/>
    </xf>
    <xf numFmtId="3" fontId="28" fillId="24" borderId="27" xfId="0" applyNumberFormat="1" applyFont="1" applyFill="1" applyBorder="1" applyAlignment="1">
      <alignment horizontal="center" vertical="center" wrapText="1"/>
    </xf>
    <xf numFmtId="0" fontId="28" fillId="24" borderId="20" xfId="0" applyFont="1" applyFill="1" applyBorder="1" applyAlignment="1">
      <alignment horizontal="center" vertical="center"/>
    </xf>
    <xf numFmtId="0" fontId="28" fillId="24" borderId="22" xfId="0" applyFont="1" applyFill="1" applyBorder="1" applyAlignment="1">
      <alignment horizontal="center" vertical="center"/>
    </xf>
    <xf numFmtId="0" fontId="0" fillId="0" borderId="0" xfId="0" applyAlignment="1"/>
    <xf numFmtId="1" fontId="4" fillId="6" borderId="22" xfId="0" applyNumberFormat="1" applyFont="1" applyFill="1" applyBorder="1" applyAlignment="1">
      <alignment horizontal="center" vertical="center" wrapText="1"/>
    </xf>
    <xf numFmtId="1" fontId="4" fillId="6" borderId="27" xfId="0" applyNumberFormat="1" applyFont="1" applyFill="1" applyBorder="1" applyAlignment="1">
      <alignment horizontal="center" vertical="center" wrapText="1"/>
    </xf>
    <xf numFmtId="9" fontId="8" fillId="6" borderId="20" xfId="3" applyFont="1" applyFill="1" applyBorder="1" applyAlignment="1">
      <alignment horizontal="center" vertical="center" wrapText="1"/>
    </xf>
    <xf numFmtId="9" fontId="8" fillId="6" borderId="22" xfId="3" applyFont="1" applyFill="1" applyBorder="1" applyAlignment="1">
      <alignment horizontal="center" vertical="center" wrapText="1"/>
    </xf>
    <xf numFmtId="9" fontId="8" fillId="6" borderId="27" xfId="3" applyFont="1" applyFill="1" applyBorder="1" applyAlignment="1">
      <alignment horizontal="center" vertical="center" wrapText="1"/>
    </xf>
    <xf numFmtId="2" fontId="4" fillId="0" borderId="20" xfId="0" applyNumberFormat="1" applyFont="1" applyBorder="1" applyAlignment="1">
      <alignment horizontal="justify" vertical="center" wrapText="1"/>
    </xf>
    <xf numFmtId="2" fontId="4" fillId="0" borderId="22" xfId="0" applyNumberFormat="1" applyFont="1" applyBorder="1" applyAlignment="1">
      <alignment horizontal="justify" vertical="center" wrapText="1"/>
    </xf>
    <xf numFmtId="2" fontId="4" fillId="0" borderId="27" xfId="0" applyNumberFormat="1" applyFont="1" applyBorder="1" applyAlignment="1">
      <alignment horizontal="justify" vertical="center" wrapText="1"/>
    </xf>
    <xf numFmtId="4" fontId="0" fillId="0" borderId="0" xfId="0" applyNumberFormat="1" applyAlignment="1">
      <alignment vertical="center"/>
    </xf>
    <xf numFmtId="3" fontId="22" fillId="6" borderId="20" xfId="0" applyNumberFormat="1" applyFont="1" applyFill="1" applyBorder="1" applyAlignment="1">
      <alignment horizontal="justify" vertical="center" wrapText="1"/>
    </xf>
    <xf numFmtId="3" fontId="22" fillId="6" borderId="22" xfId="0" applyNumberFormat="1" applyFont="1" applyFill="1" applyBorder="1" applyAlignment="1">
      <alignment horizontal="justify" vertical="center" wrapText="1"/>
    </xf>
    <xf numFmtId="3" fontId="22" fillId="6" borderId="27" xfId="0" applyNumberFormat="1" applyFont="1" applyFill="1" applyBorder="1" applyAlignment="1">
      <alignment horizontal="justify" vertical="center" wrapText="1"/>
    </xf>
    <xf numFmtId="1" fontId="22" fillId="6" borderId="22" xfId="0" applyNumberFormat="1" applyFont="1" applyFill="1" applyBorder="1" applyAlignment="1">
      <alignment horizontal="center" vertical="center" wrapText="1"/>
    </xf>
    <xf numFmtId="2" fontId="4" fillId="6" borderId="20" xfId="0" applyNumberFormat="1" applyFont="1" applyFill="1" applyBorder="1" applyAlignment="1">
      <alignment horizontal="justify" vertical="center" wrapText="1"/>
    </xf>
    <xf numFmtId="2" fontId="4" fillId="6" borderId="27" xfId="0" applyNumberFormat="1" applyFont="1" applyFill="1" applyBorder="1" applyAlignment="1">
      <alignment horizontal="justify" vertical="center" wrapText="1"/>
    </xf>
    <xf numFmtId="1" fontId="23" fillId="0" borderId="6" xfId="0" applyNumberFormat="1" applyFont="1" applyBorder="1" applyAlignment="1">
      <alignment horizontal="center"/>
    </xf>
  </cellXfs>
  <cellStyles count="40">
    <cellStyle name="Excel Built-in Normal" xfId="9"/>
    <cellStyle name="Excel Built-in Normal 2" xfId="26"/>
    <cellStyle name="Millares" xfId="1"/>
    <cellStyle name="Millares [0] 2" xfId="14"/>
    <cellStyle name="Millares [0] 3" xfId="7"/>
    <cellStyle name="Millares [0] 3 2" xfId="35"/>
    <cellStyle name="Millares 2" xfId="6"/>
    <cellStyle name="Millares 2 2" xfId="4"/>
    <cellStyle name="Millares 2 2 2" xfId="22"/>
    <cellStyle name="Millares 2 3" xfId="21"/>
    <cellStyle name="Millares 2 4" xfId="34"/>
    <cellStyle name="Millares 3" xfId="29"/>
    <cellStyle name="Millares 3 2" xfId="15"/>
    <cellStyle name="Millares 3 3" xfId="11"/>
    <cellStyle name="Millares 4" xfId="17"/>
    <cellStyle name="Millares 6" xfId="30"/>
    <cellStyle name="Moneda" xfId="2"/>
    <cellStyle name="Moneda [0] 2" xfId="28"/>
    <cellStyle name="Moneda [0] 2 3" xfId="20"/>
    <cellStyle name="Moneda [0] 2 3 2" xfId="32"/>
    <cellStyle name="Moneda 2" xfId="23"/>
    <cellStyle name="Moneda 3" xfId="27"/>
    <cellStyle name="Moneda 4" xfId="37"/>
    <cellStyle name="Normal" xfId="0" builtinId="0"/>
    <cellStyle name="Normal 2" xfId="16"/>
    <cellStyle name="Normal 2 2" xfId="8"/>
    <cellStyle name="Normal 2 2 2" xfId="13"/>
    <cellStyle name="Normal 2 2 2 2" xfId="36"/>
    <cellStyle name="Normal 2 2 3" xfId="31"/>
    <cellStyle name="Normal 2 3" xfId="33"/>
    <cellStyle name="Normal 3" xfId="12"/>
    <cellStyle name="Normal 4" xfId="10"/>
    <cellStyle name="Normal 7" xfId="25"/>
    <cellStyle name="Porcentaje" xfId="38" builtinId="5"/>
    <cellStyle name="Porcentaje 2" xfId="5"/>
    <cellStyle name="Porcentaje 2 2" xfId="18"/>
    <cellStyle name="Porcentaje 2 2 2" xfId="19"/>
    <cellStyle name="Porcentaje 2 2 2 2" xfId="39"/>
    <cellStyle name="Porcentaje 2 3" xfId="3"/>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484911</xdr:colOff>
      <xdr:row>0</xdr:row>
      <xdr:rowOff>86591</xdr:rowOff>
    </xdr:from>
    <xdr:to>
      <xdr:col>2</xdr:col>
      <xdr:colOff>164844</xdr:colOff>
      <xdr:row>0</xdr:row>
      <xdr:rowOff>86591</xdr:rowOff>
    </xdr:to>
    <xdr:pic>
      <xdr:nvPicPr>
        <xdr:cNvPr id="2" name="Imagen 1" descr="C:\Users\AUXPLANEACION03\Desktop\Gobernacion_del_quindio.jpg">
          <a:extLst>
            <a:ext uri="{FF2B5EF4-FFF2-40B4-BE49-F238E27FC236}">
              <a16:creationId xmlns="" xmlns:a16="http://schemas.microsoft.com/office/drawing/2014/main" id="{B67FEE2B-1592-439C-8934-71756BACE7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1" y="86591"/>
          <a:ext cx="822933" cy="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695325</xdr:colOff>
      <xdr:row>0</xdr:row>
      <xdr:rowOff>0</xdr:rowOff>
    </xdr:from>
    <xdr:to>
      <xdr:col>2</xdr:col>
      <xdr:colOff>577850</xdr:colOff>
      <xdr:row>0</xdr:row>
      <xdr:rowOff>0</xdr:rowOff>
    </xdr:to>
    <xdr:pic>
      <xdr:nvPicPr>
        <xdr:cNvPr id="3" name="Imagen 1" descr="C:\Users\AUXPLANEACION03\Desktop\Gobernacion_del_quindio.jpg">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0"/>
          <a:ext cx="9429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27215</xdr:colOff>
      <xdr:row>0</xdr:row>
      <xdr:rowOff>204108</xdr:rowOff>
    </xdr:from>
    <xdr:to>
      <xdr:col>1</xdr:col>
      <xdr:colOff>676958</xdr:colOff>
      <xdr:row>0</xdr:row>
      <xdr:rowOff>204108</xdr:rowOff>
    </xdr:to>
    <xdr:pic>
      <xdr:nvPicPr>
        <xdr:cNvPr id="2" name="Imagen 1" descr="C:\Users\AUXPLANEACION03\Desktop\Gobernacion_del_quindio.jpg">
          <a:extLst>
            <a:ext uri="{FF2B5EF4-FFF2-40B4-BE49-F238E27FC236}">
              <a16:creationId xmlns="" xmlns:a16="http://schemas.microsoft.com/office/drawing/2014/main" id="{457A8831-8B5B-4981-974C-835EE103F6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70607" cy="0"/>
        </a:xfrm>
        <a:prstGeom prst="rect">
          <a:avLst/>
        </a:prstGeom>
        <a:noFill/>
        <a:ln>
          <a:noFill/>
        </a:ln>
      </xdr:spPr>
    </xdr:pic>
    <xdr:clientData/>
  </xdr:twoCellAnchor>
  <xdr:twoCellAnchor editAs="oneCell">
    <xdr:from>
      <xdr:col>1</xdr:col>
      <xdr:colOff>27215</xdr:colOff>
      <xdr:row>0</xdr:row>
      <xdr:rowOff>204108</xdr:rowOff>
    </xdr:from>
    <xdr:to>
      <xdr:col>1</xdr:col>
      <xdr:colOff>679926</xdr:colOff>
      <xdr:row>0</xdr:row>
      <xdr:rowOff>204108</xdr:rowOff>
    </xdr:to>
    <xdr:pic>
      <xdr:nvPicPr>
        <xdr:cNvPr id="3" name="Imagen 2" descr="C:\Users\AUXPLANEACION03\Desktop\Gobernacion_del_quindio.jpg">
          <a:extLst>
            <a:ext uri="{FF2B5EF4-FFF2-40B4-BE49-F238E27FC236}">
              <a16:creationId xmlns="" xmlns:a16="http://schemas.microsoft.com/office/drawing/2014/main" id="{AC0DE10E-130B-4C8F-BEC7-8FCFDBF578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73575" cy="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20RAMIREZ/Dropbox/Edades_Simples_198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edad"/>
      <sheetName val="Edades simples Total"/>
      <sheetName val="Mpios creados &gt; 1985"/>
      <sheetName val="Hoja1"/>
    </sheetNames>
    <sheetDataSet>
      <sheetData sheetId="0" refreshError="1"/>
      <sheetData sheetId="1" refreshError="1"/>
      <sheetData sheetId="2" refreshError="1"/>
      <sheetData sheetId="3" refreshError="1">
        <row r="11">
          <cell r="H11">
            <v>111093.8</v>
          </cell>
        </row>
        <row r="12">
          <cell r="D12">
            <v>271068.87199999997</v>
          </cell>
          <cell r="E12">
            <v>284400.12800000003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R34"/>
  <sheetViews>
    <sheetView showGridLines="0" tabSelected="1" zoomScale="50" zoomScaleNormal="50" workbookViewId="0">
      <selection activeCell="A17" sqref="A17"/>
    </sheetView>
  </sheetViews>
  <sheetFormatPr baseColWidth="10" defaultColWidth="11.42578125" defaultRowHeight="15" x14ac:dyDescent="0.2"/>
  <cols>
    <col min="1" max="1" width="17.140625" style="25" customWidth="1"/>
    <col min="2" max="2" width="7.42578125" style="25" customWidth="1"/>
    <col min="3" max="3" width="15.140625" style="25" customWidth="1"/>
    <col min="4" max="4" width="16.85546875" style="25" customWidth="1"/>
    <col min="5" max="5" width="10.140625" style="25" customWidth="1"/>
    <col min="6" max="6" width="8.28515625" style="25" customWidth="1"/>
    <col min="7" max="7" width="13.5703125" style="25" customWidth="1"/>
    <col min="8" max="8" width="8.85546875" style="25" customWidth="1"/>
    <col min="9" max="9" width="6.28515625" style="25" customWidth="1"/>
    <col min="10" max="10" width="13.7109375" style="122" customWidth="1"/>
    <col min="11" max="11" width="37.28515625" style="122" customWidth="1"/>
    <col min="12" max="12" width="21.85546875" style="122" customWidth="1"/>
    <col min="13" max="13" width="24.7109375" style="122" customWidth="1"/>
    <col min="14" max="14" width="38.28515625" style="122" customWidth="1"/>
    <col min="15" max="15" width="24.7109375" style="122" customWidth="1"/>
    <col min="16" max="16" width="32" style="122" customWidth="1"/>
    <col min="17" max="17" width="13.28515625" style="123" customWidth="1"/>
    <col min="18" max="18" width="27.85546875" style="122" customWidth="1"/>
    <col min="19" max="19" width="40.28515625" style="122" customWidth="1"/>
    <col min="20" max="20" width="49.140625" style="122" customWidth="1"/>
    <col min="21" max="21" width="44.140625" style="122" customWidth="1"/>
    <col min="22" max="22" width="26.85546875" style="25" customWidth="1"/>
    <col min="23" max="23" width="13.28515625" style="25" customWidth="1"/>
    <col min="24" max="24" width="34.7109375" style="25" bestFit="1" customWidth="1"/>
    <col min="25" max="39" width="11.85546875" style="25" customWidth="1"/>
    <col min="40" max="40" width="13.5703125" style="25" customWidth="1"/>
    <col min="41" max="41" width="18.42578125" style="25" customWidth="1"/>
    <col min="42" max="42" width="22.7109375" style="25" customWidth="1"/>
    <col min="43" max="43" width="32.28515625" style="25" customWidth="1"/>
    <col min="44" max="44" width="22.5703125" style="25" customWidth="1"/>
    <col min="45" max="16384" width="11.42578125" style="25"/>
  </cols>
  <sheetData>
    <row r="1" spans="1:44" ht="20.25" customHeight="1" x14ac:dyDescent="0.2">
      <c r="A1" s="2742" t="s">
        <v>2537</v>
      </c>
      <c r="B1" s="2742"/>
      <c r="C1" s="2742"/>
      <c r="D1" s="2742"/>
      <c r="E1" s="2742"/>
      <c r="F1" s="2742"/>
      <c r="G1" s="2742"/>
      <c r="H1" s="2742"/>
      <c r="I1" s="2742"/>
      <c r="J1" s="2742"/>
      <c r="K1" s="2742"/>
      <c r="L1" s="2742"/>
      <c r="M1" s="2742"/>
      <c r="N1" s="2742"/>
      <c r="O1" s="2742"/>
      <c r="P1" s="2742"/>
      <c r="Q1" s="2742"/>
      <c r="R1" s="2742"/>
      <c r="S1" s="2742"/>
      <c r="T1" s="2742"/>
      <c r="U1" s="2742"/>
      <c r="V1" s="2742"/>
      <c r="W1" s="2742"/>
      <c r="X1" s="2742"/>
      <c r="Y1" s="2742"/>
      <c r="Z1" s="2742"/>
      <c r="AA1" s="2742"/>
      <c r="AB1" s="2742"/>
      <c r="AC1" s="2742"/>
      <c r="AD1" s="2742"/>
      <c r="AE1" s="2742"/>
      <c r="AF1" s="2742"/>
      <c r="AG1" s="2742"/>
      <c r="AH1" s="2742"/>
      <c r="AI1" s="2742"/>
      <c r="AJ1" s="2742"/>
      <c r="AK1" s="2742"/>
      <c r="AL1" s="2742"/>
      <c r="AM1" s="2742"/>
      <c r="AN1" s="2742"/>
      <c r="AO1" s="2742"/>
      <c r="AP1" s="24" t="s">
        <v>0</v>
      </c>
      <c r="AQ1" s="24" t="s">
        <v>1</v>
      </c>
    </row>
    <row r="2" spans="1:44" ht="18.75" customHeight="1" x14ac:dyDescent="0.2">
      <c r="A2" s="2742"/>
      <c r="B2" s="2742"/>
      <c r="C2" s="2742"/>
      <c r="D2" s="2742"/>
      <c r="E2" s="2742"/>
      <c r="F2" s="2742"/>
      <c r="G2" s="2742"/>
      <c r="H2" s="2742"/>
      <c r="I2" s="2742"/>
      <c r="J2" s="2742"/>
      <c r="K2" s="2742"/>
      <c r="L2" s="2742"/>
      <c r="M2" s="2742"/>
      <c r="N2" s="2742"/>
      <c r="O2" s="2742"/>
      <c r="P2" s="2742"/>
      <c r="Q2" s="2742"/>
      <c r="R2" s="2742"/>
      <c r="S2" s="2742"/>
      <c r="T2" s="2742"/>
      <c r="U2" s="2742"/>
      <c r="V2" s="2742"/>
      <c r="W2" s="2742"/>
      <c r="X2" s="2742"/>
      <c r="Y2" s="2742"/>
      <c r="Z2" s="2742"/>
      <c r="AA2" s="2742"/>
      <c r="AB2" s="2742"/>
      <c r="AC2" s="2742"/>
      <c r="AD2" s="2742"/>
      <c r="AE2" s="2742"/>
      <c r="AF2" s="2742"/>
      <c r="AG2" s="2742"/>
      <c r="AH2" s="2742"/>
      <c r="AI2" s="2742"/>
      <c r="AJ2" s="2742"/>
      <c r="AK2" s="2742"/>
      <c r="AL2" s="2742"/>
      <c r="AM2" s="2742"/>
      <c r="AN2" s="2742"/>
      <c r="AO2" s="2742"/>
      <c r="AP2" s="26" t="s">
        <v>2</v>
      </c>
      <c r="AQ2" s="27" t="s">
        <v>3</v>
      </c>
    </row>
    <row r="3" spans="1:44" ht="17.25" customHeight="1" x14ac:dyDescent="0.2">
      <c r="A3" s="2742"/>
      <c r="B3" s="2742"/>
      <c r="C3" s="2742"/>
      <c r="D3" s="2742"/>
      <c r="E3" s="2742"/>
      <c r="F3" s="2742"/>
      <c r="G3" s="2742"/>
      <c r="H3" s="2742"/>
      <c r="I3" s="2742"/>
      <c r="J3" s="2742"/>
      <c r="K3" s="2742"/>
      <c r="L3" s="2742"/>
      <c r="M3" s="2742"/>
      <c r="N3" s="2742"/>
      <c r="O3" s="2742"/>
      <c r="P3" s="2742"/>
      <c r="Q3" s="2742"/>
      <c r="R3" s="2742"/>
      <c r="S3" s="2742"/>
      <c r="T3" s="2742"/>
      <c r="U3" s="2742"/>
      <c r="V3" s="2742"/>
      <c r="W3" s="2742"/>
      <c r="X3" s="2742"/>
      <c r="Y3" s="2742"/>
      <c r="Z3" s="2742"/>
      <c r="AA3" s="2742"/>
      <c r="AB3" s="2742"/>
      <c r="AC3" s="2742"/>
      <c r="AD3" s="2742"/>
      <c r="AE3" s="2742"/>
      <c r="AF3" s="2742"/>
      <c r="AG3" s="2742"/>
      <c r="AH3" s="2742"/>
      <c r="AI3" s="2742"/>
      <c r="AJ3" s="2742"/>
      <c r="AK3" s="2742"/>
      <c r="AL3" s="2742"/>
      <c r="AM3" s="2742"/>
      <c r="AN3" s="2742"/>
      <c r="AO3" s="2742"/>
      <c r="AP3" s="24" t="s">
        <v>4</v>
      </c>
      <c r="AQ3" s="28" t="s">
        <v>5</v>
      </c>
    </row>
    <row r="4" spans="1:44" ht="18" customHeight="1" x14ac:dyDescent="0.2">
      <c r="A4" s="2743"/>
      <c r="B4" s="2743"/>
      <c r="C4" s="2743"/>
      <c r="D4" s="2743"/>
      <c r="E4" s="2743"/>
      <c r="F4" s="2743"/>
      <c r="G4" s="2743"/>
      <c r="H4" s="2743"/>
      <c r="I4" s="2743"/>
      <c r="J4" s="2743"/>
      <c r="K4" s="2743"/>
      <c r="L4" s="2743"/>
      <c r="M4" s="2743"/>
      <c r="N4" s="2743"/>
      <c r="O4" s="2743"/>
      <c r="P4" s="2743"/>
      <c r="Q4" s="2743"/>
      <c r="R4" s="2743"/>
      <c r="S4" s="2743"/>
      <c r="T4" s="2743"/>
      <c r="U4" s="2743"/>
      <c r="V4" s="2743"/>
      <c r="W4" s="2743"/>
      <c r="X4" s="2743"/>
      <c r="Y4" s="2743"/>
      <c r="Z4" s="2743"/>
      <c r="AA4" s="2743"/>
      <c r="AB4" s="2743"/>
      <c r="AC4" s="2743"/>
      <c r="AD4" s="2743"/>
      <c r="AE4" s="2743"/>
      <c r="AF4" s="2743"/>
      <c r="AG4" s="2743"/>
      <c r="AH4" s="2743"/>
      <c r="AI4" s="2743"/>
      <c r="AJ4" s="2743"/>
      <c r="AK4" s="2743"/>
      <c r="AL4" s="2743"/>
      <c r="AM4" s="2743"/>
      <c r="AN4" s="2743"/>
      <c r="AO4" s="2743"/>
      <c r="AP4" s="24" t="s">
        <v>6</v>
      </c>
      <c r="AQ4" s="29" t="s">
        <v>7</v>
      </c>
    </row>
    <row r="5" spans="1:44" ht="22.5" customHeight="1" x14ac:dyDescent="0.2">
      <c r="A5" s="2744" t="s">
        <v>8</v>
      </c>
      <c r="B5" s="2744"/>
      <c r="C5" s="2744"/>
      <c r="D5" s="2744"/>
      <c r="E5" s="2744"/>
      <c r="F5" s="2744"/>
      <c r="G5" s="2744"/>
      <c r="H5" s="2744"/>
      <c r="I5" s="2744"/>
      <c r="J5" s="2744"/>
      <c r="K5" s="2744"/>
      <c r="L5" s="2744"/>
      <c r="M5" s="2744"/>
      <c r="N5" s="2746" t="s">
        <v>9</v>
      </c>
      <c r="O5" s="2746"/>
      <c r="P5" s="2746"/>
      <c r="Q5" s="2746"/>
      <c r="R5" s="2746"/>
      <c r="S5" s="2746"/>
      <c r="T5" s="2746"/>
      <c r="U5" s="2746"/>
      <c r="V5" s="2746"/>
      <c r="W5" s="2746"/>
      <c r="X5" s="2746"/>
      <c r="Y5" s="2746"/>
      <c r="Z5" s="2746"/>
      <c r="AA5" s="2746"/>
      <c r="AB5" s="2746"/>
      <c r="AC5" s="2746"/>
      <c r="AD5" s="2746"/>
      <c r="AE5" s="2746"/>
      <c r="AF5" s="2746"/>
      <c r="AG5" s="2746"/>
      <c r="AH5" s="2746"/>
      <c r="AI5" s="2746"/>
      <c r="AJ5" s="2746"/>
      <c r="AK5" s="2746"/>
      <c r="AL5" s="2746"/>
      <c r="AM5" s="2746"/>
      <c r="AN5" s="2746"/>
      <c r="AO5" s="2746"/>
      <c r="AP5" s="2746"/>
      <c r="AQ5" s="2746"/>
    </row>
    <row r="6" spans="1:44" ht="23.25" customHeight="1" x14ac:dyDescent="0.2">
      <c r="A6" s="2745"/>
      <c r="B6" s="2745"/>
      <c r="C6" s="2745"/>
      <c r="D6" s="2745"/>
      <c r="E6" s="2745"/>
      <c r="F6" s="2745"/>
      <c r="G6" s="2745"/>
      <c r="H6" s="2745"/>
      <c r="I6" s="2745"/>
      <c r="J6" s="2745"/>
      <c r="K6" s="2745"/>
      <c r="L6" s="2745"/>
      <c r="M6" s="2745"/>
      <c r="N6" s="30"/>
      <c r="O6" s="31"/>
      <c r="P6" s="31"/>
      <c r="Q6" s="32"/>
      <c r="R6" s="31"/>
      <c r="S6" s="31"/>
      <c r="T6" s="31"/>
      <c r="U6" s="31"/>
      <c r="V6" s="33"/>
      <c r="W6" s="33"/>
      <c r="X6" s="33"/>
      <c r="Y6" s="2747" t="s">
        <v>10</v>
      </c>
      <c r="Z6" s="2745"/>
      <c r="AA6" s="2745"/>
      <c r="AB6" s="2745"/>
      <c r="AC6" s="2745"/>
      <c r="AD6" s="2745"/>
      <c r="AE6" s="2745"/>
      <c r="AF6" s="2745"/>
      <c r="AG6" s="2745"/>
      <c r="AH6" s="2745"/>
      <c r="AI6" s="2745"/>
      <c r="AJ6" s="2745"/>
      <c r="AK6" s="2745"/>
      <c r="AL6" s="2745"/>
      <c r="AM6" s="2748"/>
      <c r="AN6" s="1748"/>
      <c r="AO6" s="33"/>
      <c r="AP6" s="33"/>
      <c r="AQ6" s="34"/>
    </row>
    <row r="7" spans="1:44" ht="27.75" customHeight="1" x14ac:dyDescent="0.2">
      <c r="A7" s="2727" t="s">
        <v>11</v>
      </c>
      <c r="B7" s="2720" t="s">
        <v>12</v>
      </c>
      <c r="C7" s="2740"/>
      <c r="D7" s="2740" t="s">
        <v>11</v>
      </c>
      <c r="E7" s="2720" t="s">
        <v>13</v>
      </c>
      <c r="F7" s="2740"/>
      <c r="G7" s="2740" t="s">
        <v>11</v>
      </c>
      <c r="H7" s="2720" t="s">
        <v>14</v>
      </c>
      <c r="I7" s="2740"/>
      <c r="J7" s="2740" t="s">
        <v>11</v>
      </c>
      <c r="K7" s="2720" t="s">
        <v>15</v>
      </c>
      <c r="L7" s="2738" t="s">
        <v>16</v>
      </c>
      <c r="M7" s="2738" t="s">
        <v>17</v>
      </c>
      <c r="N7" s="2738" t="s">
        <v>18</v>
      </c>
      <c r="O7" s="2738" t="s">
        <v>19</v>
      </c>
      <c r="P7" s="2738" t="s">
        <v>9</v>
      </c>
      <c r="Q7" s="2734" t="s">
        <v>20</v>
      </c>
      <c r="R7" s="2736" t="s">
        <v>21</v>
      </c>
      <c r="S7" s="2738" t="s">
        <v>22</v>
      </c>
      <c r="T7" s="2738" t="s">
        <v>23</v>
      </c>
      <c r="U7" s="2738" t="s">
        <v>24</v>
      </c>
      <c r="V7" s="2720" t="s">
        <v>21</v>
      </c>
      <c r="W7" s="2727" t="s">
        <v>11</v>
      </c>
      <c r="X7" s="2738" t="s">
        <v>25</v>
      </c>
      <c r="Y7" s="2716" t="s">
        <v>26</v>
      </c>
      <c r="Z7" s="2717"/>
      <c r="AA7" s="2718" t="s">
        <v>27</v>
      </c>
      <c r="AB7" s="2719"/>
      <c r="AC7" s="2719"/>
      <c r="AD7" s="2719"/>
      <c r="AE7" s="2722" t="s">
        <v>28</v>
      </c>
      <c r="AF7" s="2723"/>
      <c r="AG7" s="2723"/>
      <c r="AH7" s="2723"/>
      <c r="AI7" s="2723"/>
      <c r="AJ7" s="2723"/>
      <c r="AK7" s="2718" t="s">
        <v>29</v>
      </c>
      <c r="AL7" s="2719"/>
      <c r="AM7" s="2719"/>
      <c r="AN7" s="2749" t="s">
        <v>30</v>
      </c>
      <c r="AO7" s="2752" t="s">
        <v>31</v>
      </c>
      <c r="AP7" s="2752" t="s">
        <v>32</v>
      </c>
      <c r="AQ7" s="2755" t="s">
        <v>33</v>
      </c>
    </row>
    <row r="8" spans="1:44" ht="33" customHeight="1" x14ac:dyDescent="0.2">
      <c r="A8" s="2728"/>
      <c r="B8" s="2721"/>
      <c r="C8" s="2741"/>
      <c r="D8" s="2741"/>
      <c r="E8" s="2721"/>
      <c r="F8" s="2741"/>
      <c r="G8" s="2741"/>
      <c r="H8" s="2721"/>
      <c r="I8" s="2741"/>
      <c r="J8" s="2741"/>
      <c r="K8" s="2721"/>
      <c r="L8" s="2739"/>
      <c r="M8" s="2739"/>
      <c r="N8" s="2739"/>
      <c r="O8" s="2739"/>
      <c r="P8" s="2739"/>
      <c r="Q8" s="2735"/>
      <c r="R8" s="2737"/>
      <c r="S8" s="2739"/>
      <c r="T8" s="2739"/>
      <c r="U8" s="2739"/>
      <c r="V8" s="2721"/>
      <c r="W8" s="2728"/>
      <c r="X8" s="2739"/>
      <c r="Y8" s="2724" t="s">
        <v>34</v>
      </c>
      <c r="Z8" s="2757" t="s">
        <v>35</v>
      </c>
      <c r="AA8" s="2724" t="s">
        <v>36</v>
      </c>
      <c r="AB8" s="2724" t="s">
        <v>37</v>
      </c>
      <c r="AC8" s="2724" t="s">
        <v>2536</v>
      </c>
      <c r="AD8" s="2724" t="s">
        <v>39</v>
      </c>
      <c r="AE8" s="2724" t="s">
        <v>40</v>
      </c>
      <c r="AF8" s="2724" t="s">
        <v>41</v>
      </c>
      <c r="AG8" s="2724" t="s">
        <v>42</v>
      </c>
      <c r="AH8" s="2724" t="s">
        <v>43</v>
      </c>
      <c r="AI8" s="2724" t="s">
        <v>44</v>
      </c>
      <c r="AJ8" s="2724" t="s">
        <v>45</v>
      </c>
      <c r="AK8" s="2724" t="s">
        <v>46</v>
      </c>
      <c r="AL8" s="2724" t="s">
        <v>47</v>
      </c>
      <c r="AM8" s="2724" t="s">
        <v>48</v>
      </c>
      <c r="AN8" s="2750"/>
      <c r="AO8" s="2753"/>
      <c r="AP8" s="2753"/>
      <c r="AQ8" s="2756"/>
    </row>
    <row r="9" spans="1:44" ht="33" customHeight="1" x14ac:dyDescent="0.2">
      <c r="A9" s="2728"/>
      <c r="B9" s="2721"/>
      <c r="C9" s="2741"/>
      <c r="D9" s="2741"/>
      <c r="E9" s="2721"/>
      <c r="F9" s="2741"/>
      <c r="G9" s="2741"/>
      <c r="H9" s="2721"/>
      <c r="I9" s="2741"/>
      <c r="J9" s="2741"/>
      <c r="K9" s="2721"/>
      <c r="L9" s="2739"/>
      <c r="M9" s="2739"/>
      <c r="N9" s="2739"/>
      <c r="O9" s="2739"/>
      <c r="P9" s="2739"/>
      <c r="Q9" s="2735"/>
      <c r="R9" s="2737"/>
      <c r="S9" s="2739"/>
      <c r="T9" s="2739"/>
      <c r="U9" s="2739"/>
      <c r="V9" s="2721"/>
      <c r="W9" s="2728"/>
      <c r="X9" s="2739"/>
      <c r="Y9" s="2725"/>
      <c r="Z9" s="2758"/>
      <c r="AA9" s="2725"/>
      <c r="AB9" s="2725"/>
      <c r="AC9" s="2725"/>
      <c r="AD9" s="2725"/>
      <c r="AE9" s="2725"/>
      <c r="AF9" s="2725"/>
      <c r="AG9" s="2725"/>
      <c r="AH9" s="2725"/>
      <c r="AI9" s="2725"/>
      <c r="AJ9" s="2725"/>
      <c r="AK9" s="2725"/>
      <c r="AL9" s="2725"/>
      <c r="AM9" s="2725"/>
      <c r="AN9" s="2750"/>
      <c r="AO9" s="2753"/>
      <c r="AP9" s="2753"/>
      <c r="AQ9" s="2756"/>
    </row>
    <row r="10" spans="1:44" ht="33" customHeight="1" x14ac:dyDescent="0.2">
      <c r="A10" s="2728"/>
      <c r="B10" s="2721"/>
      <c r="C10" s="2741"/>
      <c r="D10" s="2741"/>
      <c r="E10" s="2721"/>
      <c r="F10" s="2741"/>
      <c r="G10" s="2741"/>
      <c r="H10" s="2721"/>
      <c r="I10" s="2741"/>
      <c r="J10" s="2741"/>
      <c r="K10" s="2721"/>
      <c r="L10" s="2739"/>
      <c r="M10" s="2739"/>
      <c r="N10" s="2739"/>
      <c r="O10" s="2739"/>
      <c r="P10" s="2739"/>
      <c r="Q10" s="2735"/>
      <c r="R10" s="2737"/>
      <c r="S10" s="2739"/>
      <c r="T10" s="2739"/>
      <c r="U10" s="2739"/>
      <c r="V10" s="2721"/>
      <c r="W10" s="2728"/>
      <c r="X10" s="2739"/>
      <c r="Y10" s="2725"/>
      <c r="Z10" s="2758"/>
      <c r="AA10" s="2725"/>
      <c r="AB10" s="2725"/>
      <c r="AC10" s="2725"/>
      <c r="AD10" s="2725"/>
      <c r="AE10" s="2725"/>
      <c r="AF10" s="2725"/>
      <c r="AG10" s="2725"/>
      <c r="AH10" s="2725"/>
      <c r="AI10" s="2725"/>
      <c r="AJ10" s="2725"/>
      <c r="AK10" s="2725"/>
      <c r="AL10" s="2725"/>
      <c r="AM10" s="2725"/>
      <c r="AN10" s="2750"/>
      <c r="AO10" s="2753"/>
      <c r="AP10" s="2753"/>
      <c r="AQ10" s="2756"/>
    </row>
    <row r="11" spans="1:44" ht="33" customHeight="1" x14ac:dyDescent="0.2">
      <c r="A11" s="2728"/>
      <c r="B11" s="2721"/>
      <c r="C11" s="2741"/>
      <c r="D11" s="2741"/>
      <c r="E11" s="2721"/>
      <c r="F11" s="2741"/>
      <c r="G11" s="2741"/>
      <c r="H11" s="2721"/>
      <c r="I11" s="2741"/>
      <c r="J11" s="2741"/>
      <c r="K11" s="2721"/>
      <c r="L11" s="2739"/>
      <c r="M11" s="2739"/>
      <c r="N11" s="2739"/>
      <c r="O11" s="2739"/>
      <c r="P11" s="2739"/>
      <c r="Q11" s="2735"/>
      <c r="R11" s="2737"/>
      <c r="S11" s="2739"/>
      <c r="T11" s="2739"/>
      <c r="U11" s="2739"/>
      <c r="V11" s="2721"/>
      <c r="W11" s="2728"/>
      <c r="X11" s="2739"/>
      <c r="Y11" s="2725"/>
      <c r="Z11" s="2758"/>
      <c r="AA11" s="2725"/>
      <c r="AB11" s="2725"/>
      <c r="AC11" s="2725"/>
      <c r="AD11" s="2725"/>
      <c r="AE11" s="2725"/>
      <c r="AF11" s="2725"/>
      <c r="AG11" s="2725"/>
      <c r="AH11" s="2725"/>
      <c r="AI11" s="2725"/>
      <c r="AJ11" s="2725"/>
      <c r="AK11" s="2725"/>
      <c r="AL11" s="2725"/>
      <c r="AM11" s="2725"/>
      <c r="AN11" s="2750"/>
      <c r="AO11" s="2753"/>
      <c r="AP11" s="2753"/>
      <c r="AQ11" s="2756"/>
    </row>
    <row r="12" spans="1:44" ht="33" customHeight="1" x14ac:dyDescent="0.2">
      <c r="A12" s="2728"/>
      <c r="B12" s="2721"/>
      <c r="C12" s="2741"/>
      <c r="D12" s="2741"/>
      <c r="E12" s="2721"/>
      <c r="F12" s="2741"/>
      <c r="G12" s="2741"/>
      <c r="H12" s="2721"/>
      <c r="I12" s="2741"/>
      <c r="J12" s="2741"/>
      <c r="K12" s="2721"/>
      <c r="L12" s="2739"/>
      <c r="M12" s="2739"/>
      <c r="N12" s="2739"/>
      <c r="O12" s="2739"/>
      <c r="P12" s="2739"/>
      <c r="Q12" s="2735"/>
      <c r="R12" s="2737"/>
      <c r="S12" s="2739"/>
      <c r="T12" s="2739"/>
      <c r="U12" s="2739"/>
      <c r="V12" s="2721"/>
      <c r="W12" s="2729"/>
      <c r="X12" s="2739"/>
      <c r="Y12" s="2726"/>
      <c r="Z12" s="2759"/>
      <c r="AA12" s="2726"/>
      <c r="AB12" s="2726"/>
      <c r="AC12" s="2726"/>
      <c r="AD12" s="2726"/>
      <c r="AE12" s="2726"/>
      <c r="AF12" s="2726"/>
      <c r="AG12" s="2726"/>
      <c r="AH12" s="2726"/>
      <c r="AI12" s="2726"/>
      <c r="AJ12" s="2726"/>
      <c r="AK12" s="2726"/>
      <c r="AL12" s="2726"/>
      <c r="AM12" s="2726"/>
      <c r="AN12" s="2751"/>
      <c r="AO12" s="2754"/>
      <c r="AP12" s="2754"/>
      <c r="AQ12" s="2756"/>
    </row>
    <row r="13" spans="1:44" ht="15.75" x14ac:dyDescent="0.2">
      <c r="A13" s="36">
        <v>5</v>
      </c>
      <c r="B13" s="37" t="s">
        <v>49</v>
      </c>
      <c r="C13" s="37"/>
      <c r="D13" s="37"/>
      <c r="E13" s="37"/>
      <c r="F13" s="37"/>
      <c r="G13" s="37"/>
      <c r="H13" s="37"/>
      <c r="I13" s="37"/>
      <c r="J13" s="38"/>
      <c r="K13" s="38"/>
      <c r="L13" s="43"/>
      <c r="M13" s="38"/>
      <c r="N13" s="38"/>
      <c r="O13" s="38"/>
      <c r="P13" s="38"/>
      <c r="Q13" s="39"/>
      <c r="R13" s="40"/>
      <c r="S13" s="38"/>
      <c r="T13" s="38"/>
      <c r="U13" s="38"/>
      <c r="V13" s="41"/>
      <c r="W13" s="42"/>
      <c r="X13" s="43"/>
      <c r="Y13" s="37"/>
      <c r="Z13" s="37"/>
      <c r="AA13" s="37"/>
      <c r="AB13" s="37"/>
      <c r="AC13" s="37"/>
      <c r="AD13" s="37"/>
      <c r="AE13" s="37"/>
      <c r="AF13" s="37"/>
      <c r="AG13" s="37"/>
      <c r="AH13" s="37"/>
      <c r="AI13" s="37"/>
      <c r="AJ13" s="37"/>
      <c r="AK13" s="37"/>
      <c r="AL13" s="37"/>
      <c r="AM13" s="37"/>
      <c r="AN13" s="37"/>
      <c r="AO13" s="44"/>
      <c r="AP13" s="44"/>
      <c r="AQ13" s="45"/>
    </row>
    <row r="14" spans="1:44" ht="15.75" x14ac:dyDescent="0.2">
      <c r="A14" s="46"/>
      <c r="B14" s="47"/>
      <c r="C14" s="48"/>
      <c r="D14" s="49">
        <v>28</v>
      </c>
      <c r="E14" s="50" t="s">
        <v>50</v>
      </c>
      <c r="F14" s="50"/>
      <c r="G14" s="50"/>
      <c r="H14" s="50"/>
      <c r="I14" s="50"/>
      <c r="J14" s="51"/>
      <c r="K14" s="51"/>
      <c r="L14" s="51"/>
      <c r="M14" s="51"/>
      <c r="N14" s="51"/>
      <c r="O14" s="51"/>
      <c r="P14" s="51"/>
      <c r="Q14" s="52"/>
      <c r="R14" s="53"/>
      <c r="S14" s="51"/>
      <c r="T14" s="51"/>
      <c r="U14" s="51"/>
      <c r="V14" s="54"/>
      <c r="W14" s="55"/>
      <c r="X14" s="56"/>
      <c r="Y14" s="50"/>
      <c r="Z14" s="50"/>
      <c r="AA14" s="50"/>
      <c r="AB14" s="50"/>
      <c r="AC14" s="50"/>
      <c r="AD14" s="50"/>
      <c r="AE14" s="50"/>
      <c r="AF14" s="50"/>
      <c r="AG14" s="50"/>
      <c r="AH14" s="50"/>
      <c r="AI14" s="50"/>
      <c r="AJ14" s="50"/>
      <c r="AK14" s="50"/>
      <c r="AL14" s="50"/>
      <c r="AM14" s="50"/>
      <c r="AN14" s="50"/>
      <c r="AO14" s="57"/>
      <c r="AP14" s="57"/>
      <c r="AQ14" s="58"/>
    </row>
    <row r="15" spans="1:44" ht="15.75" x14ac:dyDescent="0.2">
      <c r="A15" s="59"/>
      <c r="B15" s="60"/>
      <c r="C15" s="61"/>
      <c r="D15" s="62"/>
      <c r="E15" s="63"/>
      <c r="F15" s="64"/>
      <c r="G15" s="65">
        <v>89</v>
      </c>
      <c r="H15" s="66" t="s">
        <v>51</v>
      </c>
      <c r="I15" s="66"/>
      <c r="J15" s="67"/>
      <c r="K15" s="67"/>
      <c r="L15" s="67"/>
      <c r="M15" s="67"/>
      <c r="N15" s="67"/>
      <c r="O15" s="67"/>
      <c r="P15" s="67"/>
      <c r="Q15" s="68"/>
      <c r="R15" s="69"/>
      <c r="S15" s="67"/>
      <c r="T15" s="67"/>
      <c r="U15" s="67"/>
      <c r="V15" s="1453"/>
      <c r="W15" s="71"/>
      <c r="X15" s="72"/>
      <c r="Y15" s="66"/>
      <c r="Z15" s="66"/>
      <c r="AA15" s="66"/>
      <c r="AB15" s="66"/>
      <c r="AC15" s="66"/>
      <c r="AD15" s="66"/>
      <c r="AE15" s="66"/>
      <c r="AF15" s="66"/>
      <c r="AG15" s="66"/>
      <c r="AH15" s="66"/>
      <c r="AI15" s="66"/>
      <c r="AJ15" s="66"/>
      <c r="AK15" s="66"/>
      <c r="AL15" s="66"/>
      <c r="AM15" s="66"/>
      <c r="AN15" s="66"/>
      <c r="AO15" s="73"/>
      <c r="AP15" s="73"/>
      <c r="AQ15" s="74"/>
    </row>
    <row r="16" spans="1:44" ht="86.25" customHeight="1" x14ac:dyDescent="0.2">
      <c r="A16" s="629"/>
      <c r="B16" s="630"/>
      <c r="C16" s="631"/>
      <c r="D16" s="632"/>
      <c r="E16" s="633"/>
      <c r="F16" s="634"/>
      <c r="G16" s="635"/>
      <c r="H16" s="636"/>
      <c r="I16" s="637"/>
      <c r="J16" s="1847">
        <v>282</v>
      </c>
      <c r="K16" s="1846" t="s">
        <v>52</v>
      </c>
      <c r="L16" s="1846" t="s">
        <v>53</v>
      </c>
      <c r="M16" s="1847">
        <v>2</v>
      </c>
      <c r="N16" s="1847" t="s">
        <v>54</v>
      </c>
      <c r="O16" s="1851" t="s">
        <v>55</v>
      </c>
      <c r="P16" s="1765" t="s">
        <v>56</v>
      </c>
      <c r="Q16" s="1848">
        <f>+(V16)/R16</f>
        <v>1</v>
      </c>
      <c r="R16" s="1849">
        <f>V16</f>
        <v>79103800</v>
      </c>
      <c r="S16" s="1844" t="s">
        <v>57</v>
      </c>
      <c r="T16" s="1844" t="s">
        <v>58</v>
      </c>
      <c r="U16" s="1456" t="s">
        <v>59</v>
      </c>
      <c r="V16" s="1454">
        <f>79500000-396200</f>
        <v>79103800</v>
      </c>
      <c r="W16" s="1460" t="s">
        <v>60</v>
      </c>
      <c r="X16" s="1749" t="s">
        <v>61</v>
      </c>
      <c r="Y16" s="1756">
        <v>292684</v>
      </c>
      <c r="Z16" s="1756">
        <v>282326</v>
      </c>
      <c r="AA16" s="1756">
        <v>135912</v>
      </c>
      <c r="AB16" s="1756">
        <v>45122</v>
      </c>
      <c r="AC16" s="1756">
        <v>307101</v>
      </c>
      <c r="AD16" s="1756">
        <v>86875</v>
      </c>
      <c r="AE16" s="1756">
        <v>2145</v>
      </c>
      <c r="AF16" s="1756">
        <v>12718</v>
      </c>
      <c r="AG16" s="1756">
        <v>26</v>
      </c>
      <c r="AH16" s="1756">
        <v>37</v>
      </c>
      <c r="AI16" s="1756">
        <v>0</v>
      </c>
      <c r="AJ16" s="1756">
        <v>0</v>
      </c>
      <c r="AK16" s="1756">
        <v>53164</v>
      </c>
      <c r="AL16" s="1756">
        <v>16982</v>
      </c>
      <c r="AM16" s="1756">
        <v>60013</v>
      </c>
      <c r="AN16" s="1756">
        <v>575010</v>
      </c>
      <c r="AO16" s="1843">
        <v>43467</v>
      </c>
      <c r="AP16" s="1843">
        <v>43830</v>
      </c>
      <c r="AQ16" s="1853" t="s">
        <v>62</v>
      </c>
      <c r="AR16" s="1171"/>
    </row>
    <row r="17" spans="1:44" ht="93.75" customHeight="1" x14ac:dyDescent="0.2">
      <c r="A17" s="629"/>
      <c r="B17" s="630"/>
      <c r="C17" s="631"/>
      <c r="D17" s="632"/>
      <c r="E17" s="633"/>
      <c r="F17" s="634"/>
      <c r="G17" s="638"/>
      <c r="H17" s="639"/>
      <c r="I17" s="640"/>
      <c r="J17" s="2730">
        <v>283</v>
      </c>
      <c r="K17" s="2693" t="s">
        <v>63</v>
      </c>
      <c r="L17" s="2693" t="s">
        <v>64</v>
      </c>
      <c r="M17" s="2730">
        <v>1</v>
      </c>
      <c r="N17" s="2693" t="s">
        <v>65</v>
      </c>
      <c r="O17" s="2731" t="s">
        <v>66</v>
      </c>
      <c r="P17" s="2693" t="s">
        <v>67</v>
      </c>
      <c r="Q17" s="2732">
        <f>+(V17+V18+V19)/R17</f>
        <v>1</v>
      </c>
      <c r="R17" s="2733">
        <f>SUM(V17:V19)</f>
        <v>44007000</v>
      </c>
      <c r="S17" s="2693" t="s">
        <v>68</v>
      </c>
      <c r="T17" s="641" t="s">
        <v>69</v>
      </c>
      <c r="U17" s="1456" t="s">
        <v>70</v>
      </c>
      <c r="V17" s="1454">
        <f>30550000+8750000+4707000</f>
        <v>44007000</v>
      </c>
      <c r="W17" s="1461">
        <v>20</v>
      </c>
      <c r="X17" s="1850" t="s">
        <v>61</v>
      </c>
      <c r="Y17" s="2713">
        <v>850</v>
      </c>
      <c r="Z17" s="2713">
        <v>550</v>
      </c>
      <c r="AA17" s="2713">
        <v>400</v>
      </c>
      <c r="AB17" s="2713">
        <v>0</v>
      </c>
      <c r="AC17" s="2713">
        <v>950</v>
      </c>
      <c r="AD17" s="2713">
        <v>50</v>
      </c>
      <c r="AE17" s="2713">
        <v>0</v>
      </c>
      <c r="AF17" s="2713">
        <v>30</v>
      </c>
      <c r="AG17" s="2713">
        <v>0</v>
      </c>
      <c r="AH17" s="2713">
        <v>0</v>
      </c>
      <c r="AI17" s="2713">
        <v>0</v>
      </c>
      <c r="AJ17" s="2713">
        <v>0</v>
      </c>
      <c r="AK17" s="2713">
        <v>0</v>
      </c>
      <c r="AL17" s="2713">
        <v>0</v>
      </c>
      <c r="AM17" s="2713">
        <v>0</v>
      </c>
      <c r="AN17" s="2713">
        <v>1400</v>
      </c>
      <c r="AO17" s="2714">
        <v>43467</v>
      </c>
      <c r="AP17" s="2714">
        <v>43830</v>
      </c>
      <c r="AQ17" s="2709" t="s">
        <v>71</v>
      </c>
      <c r="AR17" s="1172"/>
    </row>
    <row r="18" spans="1:44" ht="90" customHeight="1" x14ac:dyDescent="0.2">
      <c r="A18" s="629"/>
      <c r="B18" s="630"/>
      <c r="C18" s="631"/>
      <c r="D18" s="632"/>
      <c r="E18" s="633"/>
      <c r="F18" s="634"/>
      <c r="G18" s="638"/>
      <c r="H18" s="639"/>
      <c r="I18" s="640"/>
      <c r="J18" s="2730"/>
      <c r="K18" s="2693"/>
      <c r="L18" s="2693"/>
      <c r="M18" s="2730"/>
      <c r="N18" s="2693"/>
      <c r="O18" s="2731"/>
      <c r="P18" s="2693"/>
      <c r="Q18" s="2732"/>
      <c r="R18" s="2733"/>
      <c r="S18" s="2693"/>
      <c r="T18" s="1750" t="s">
        <v>72</v>
      </c>
      <c r="U18" s="1456" t="s">
        <v>73</v>
      </c>
      <c r="V18" s="1454">
        <f>7000000-7000000</f>
        <v>0</v>
      </c>
      <c r="W18" s="1462">
        <v>20</v>
      </c>
      <c r="X18" s="642" t="s">
        <v>61</v>
      </c>
      <c r="Y18" s="2713"/>
      <c r="Z18" s="2713"/>
      <c r="AA18" s="2713"/>
      <c r="AB18" s="2713"/>
      <c r="AC18" s="2713"/>
      <c r="AD18" s="2713"/>
      <c r="AE18" s="2713"/>
      <c r="AF18" s="2713"/>
      <c r="AG18" s="2713"/>
      <c r="AH18" s="2713"/>
      <c r="AI18" s="2713"/>
      <c r="AJ18" s="2713"/>
      <c r="AK18" s="2713"/>
      <c r="AL18" s="2713"/>
      <c r="AM18" s="2713"/>
      <c r="AN18" s="2713"/>
      <c r="AO18" s="2714"/>
      <c r="AP18" s="2714"/>
      <c r="AQ18" s="2709"/>
      <c r="AR18" s="1172"/>
    </row>
    <row r="19" spans="1:44" ht="80.25" customHeight="1" x14ac:dyDescent="0.2">
      <c r="A19" s="629"/>
      <c r="B19" s="630"/>
      <c r="C19" s="631"/>
      <c r="D19" s="632"/>
      <c r="E19" s="633"/>
      <c r="F19" s="634"/>
      <c r="G19" s="638"/>
      <c r="H19" s="639"/>
      <c r="I19" s="640"/>
      <c r="J19" s="2730"/>
      <c r="K19" s="2693"/>
      <c r="L19" s="2693"/>
      <c r="M19" s="2730"/>
      <c r="N19" s="2693"/>
      <c r="O19" s="2731"/>
      <c r="P19" s="2693"/>
      <c r="Q19" s="2732"/>
      <c r="R19" s="2733"/>
      <c r="S19" s="2693"/>
      <c r="T19" s="1750" t="s">
        <v>74</v>
      </c>
      <c r="U19" s="1456" t="s">
        <v>75</v>
      </c>
      <c r="V19" s="1454">
        <f>1750000-1750000</f>
        <v>0</v>
      </c>
      <c r="W19" s="1653">
        <v>20</v>
      </c>
      <c r="X19" s="1842" t="s">
        <v>61</v>
      </c>
      <c r="Y19" s="2715"/>
      <c r="Z19" s="2713"/>
      <c r="AA19" s="2713"/>
      <c r="AB19" s="2713"/>
      <c r="AC19" s="2713"/>
      <c r="AD19" s="2713"/>
      <c r="AE19" s="2713"/>
      <c r="AF19" s="2713"/>
      <c r="AG19" s="2713"/>
      <c r="AH19" s="2713"/>
      <c r="AI19" s="2713"/>
      <c r="AJ19" s="2713"/>
      <c r="AK19" s="2713"/>
      <c r="AL19" s="2713"/>
      <c r="AM19" s="2713"/>
      <c r="AN19" s="2713"/>
      <c r="AO19" s="2714"/>
      <c r="AP19" s="2714"/>
      <c r="AQ19" s="2709"/>
      <c r="AR19" s="1172"/>
    </row>
    <row r="20" spans="1:44" ht="101.25" customHeight="1" x14ac:dyDescent="0.2">
      <c r="A20" s="59"/>
      <c r="B20" s="60"/>
      <c r="C20" s="61"/>
      <c r="D20" s="75"/>
      <c r="E20" s="76"/>
      <c r="F20" s="77"/>
      <c r="G20" s="78"/>
      <c r="H20" s="79"/>
      <c r="I20" s="80"/>
      <c r="J20" s="1759">
        <v>285</v>
      </c>
      <c r="K20" s="1845" t="s">
        <v>76</v>
      </c>
      <c r="L20" s="1750" t="s">
        <v>77</v>
      </c>
      <c r="M20" s="1749">
        <v>1</v>
      </c>
      <c r="N20" s="1846" t="s">
        <v>78</v>
      </c>
      <c r="O20" s="1749" t="s">
        <v>79</v>
      </c>
      <c r="P20" s="1750" t="s">
        <v>80</v>
      </c>
      <c r="Q20" s="1852">
        <f>+V20/R20</f>
        <v>1</v>
      </c>
      <c r="R20" s="1751">
        <f>V20</f>
        <v>78604667</v>
      </c>
      <c r="S20" s="1845" t="s">
        <v>81</v>
      </c>
      <c r="T20" s="1845" t="s">
        <v>82</v>
      </c>
      <c r="U20" s="1457" t="s">
        <v>83</v>
      </c>
      <c r="V20" s="1454">
        <f>89600000-10995333</f>
        <v>78604667</v>
      </c>
      <c r="W20" s="1653">
        <v>20</v>
      </c>
      <c r="X20" s="1842" t="s">
        <v>61</v>
      </c>
      <c r="Y20" s="1753">
        <v>292684</v>
      </c>
      <c r="Z20" s="1752">
        <v>282326</v>
      </c>
      <c r="AA20" s="1752">
        <v>135912</v>
      </c>
      <c r="AB20" s="1752">
        <v>45122</v>
      </c>
      <c r="AC20" s="1752">
        <v>307101</v>
      </c>
      <c r="AD20" s="1752">
        <v>86875</v>
      </c>
      <c r="AE20" s="1752">
        <v>2145</v>
      </c>
      <c r="AF20" s="1752">
        <v>12718</v>
      </c>
      <c r="AG20" s="1752">
        <v>26</v>
      </c>
      <c r="AH20" s="1752">
        <v>37</v>
      </c>
      <c r="AI20" s="1752">
        <v>0</v>
      </c>
      <c r="AJ20" s="1752">
        <v>0</v>
      </c>
      <c r="AK20" s="1752">
        <v>53164</v>
      </c>
      <c r="AL20" s="1752">
        <v>16982</v>
      </c>
      <c r="AM20" s="1752">
        <v>60013</v>
      </c>
      <c r="AN20" s="1752">
        <v>575010</v>
      </c>
      <c r="AO20" s="1754">
        <v>43467</v>
      </c>
      <c r="AP20" s="1754">
        <v>43830</v>
      </c>
      <c r="AQ20" s="1755" t="s">
        <v>84</v>
      </c>
      <c r="AR20" s="1171"/>
    </row>
    <row r="21" spans="1:44" ht="75" x14ac:dyDescent="0.2">
      <c r="A21" s="59"/>
      <c r="B21" s="60"/>
      <c r="C21" s="61"/>
      <c r="D21" s="75"/>
      <c r="E21" s="76"/>
      <c r="F21" s="77"/>
      <c r="G21" s="78"/>
      <c r="H21" s="79"/>
      <c r="I21" s="80"/>
      <c r="J21" s="1759">
        <v>280</v>
      </c>
      <c r="K21" s="1845" t="s">
        <v>85</v>
      </c>
      <c r="L21" s="1750" t="s">
        <v>86</v>
      </c>
      <c r="M21" s="1761">
        <v>1</v>
      </c>
      <c r="N21" s="81"/>
      <c r="O21" s="2701" t="s">
        <v>87</v>
      </c>
      <c r="P21" s="2703" t="s">
        <v>88</v>
      </c>
      <c r="Q21" s="82">
        <f>+(V21)/R21</f>
        <v>3.5081534217346619E-3</v>
      </c>
      <c r="R21" s="2706">
        <f>SUM(V21:V26)</f>
        <v>4316515893</v>
      </c>
      <c r="S21" s="2703" t="s">
        <v>89</v>
      </c>
      <c r="T21" s="1750" t="s">
        <v>90</v>
      </c>
      <c r="U21" s="1456" t="s">
        <v>91</v>
      </c>
      <c r="V21" s="1454">
        <f>24850000-5000000-4707000</f>
        <v>15143000</v>
      </c>
      <c r="W21" s="1466">
        <v>20</v>
      </c>
      <c r="X21" s="1467" t="s">
        <v>61</v>
      </c>
      <c r="Y21" s="2698">
        <v>292684</v>
      </c>
      <c r="Z21" s="2698">
        <v>282326</v>
      </c>
      <c r="AA21" s="2698">
        <v>135912</v>
      </c>
      <c r="AB21" s="2698">
        <v>45122</v>
      </c>
      <c r="AC21" s="2698">
        <v>307101</v>
      </c>
      <c r="AD21" s="2698">
        <v>86875</v>
      </c>
      <c r="AE21" s="2698">
        <v>2145</v>
      </c>
      <c r="AF21" s="2698">
        <v>12718</v>
      </c>
      <c r="AG21" s="2698">
        <v>26</v>
      </c>
      <c r="AH21" s="2698">
        <v>37</v>
      </c>
      <c r="AI21" s="2698">
        <v>0</v>
      </c>
      <c r="AJ21" s="2698">
        <v>0</v>
      </c>
      <c r="AK21" s="2698">
        <v>53164</v>
      </c>
      <c r="AL21" s="2698">
        <v>16982</v>
      </c>
      <c r="AM21" s="2698">
        <v>60013</v>
      </c>
      <c r="AN21" s="2698">
        <v>575010</v>
      </c>
      <c r="AO21" s="2710">
        <v>43101</v>
      </c>
      <c r="AP21" s="2710">
        <v>43465</v>
      </c>
      <c r="AQ21" s="1755" t="s">
        <v>92</v>
      </c>
    </row>
    <row r="22" spans="1:44" ht="55.5" customHeight="1" x14ac:dyDescent="0.2">
      <c r="A22" s="59"/>
      <c r="B22" s="60"/>
      <c r="C22" s="61"/>
      <c r="D22" s="75"/>
      <c r="E22" s="76"/>
      <c r="F22" s="77"/>
      <c r="G22" s="78"/>
      <c r="H22" s="79"/>
      <c r="I22" s="80"/>
      <c r="J22" s="2690">
        <v>281</v>
      </c>
      <c r="K22" s="2691" t="s">
        <v>93</v>
      </c>
      <c r="L22" s="2693" t="s">
        <v>94</v>
      </c>
      <c r="M22" s="2694">
        <v>1</v>
      </c>
      <c r="N22" s="2695" t="s">
        <v>95</v>
      </c>
      <c r="O22" s="2695"/>
      <c r="P22" s="2704"/>
      <c r="Q22" s="2696">
        <f>+(V22+V23)/R21</f>
        <v>1.7606792580851502E-2</v>
      </c>
      <c r="R22" s="2707"/>
      <c r="S22" s="2704"/>
      <c r="T22" s="2693" t="s">
        <v>96</v>
      </c>
      <c r="U22" s="1456" t="s">
        <v>97</v>
      </c>
      <c r="V22" s="1455">
        <f>83500000-83500000</f>
        <v>0</v>
      </c>
      <c r="W22" s="1463">
        <v>20</v>
      </c>
      <c r="X22" s="83" t="s">
        <v>98</v>
      </c>
      <c r="Y22" s="2699"/>
      <c r="Z22" s="2699"/>
      <c r="AA22" s="2699"/>
      <c r="AB22" s="2699"/>
      <c r="AC22" s="2699"/>
      <c r="AD22" s="2699"/>
      <c r="AE22" s="2699"/>
      <c r="AF22" s="2699"/>
      <c r="AG22" s="2699"/>
      <c r="AH22" s="2699"/>
      <c r="AI22" s="2699"/>
      <c r="AJ22" s="2699"/>
      <c r="AK22" s="2699"/>
      <c r="AL22" s="2699"/>
      <c r="AM22" s="2699"/>
      <c r="AN22" s="2699"/>
      <c r="AO22" s="2711"/>
      <c r="AP22" s="2711"/>
      <c r="AQ22" s="2709" t="s">
        <v>99</v>
      </c>
    </row>
    <row r="23" spans="1:44" ht="47.25" customHeight="1" x14ac:dyDescent="0.2">
      <c r="A23" s="59"/>
      <c r="B23" s="60"/>
      <c r="C23" s="61"/>
      <c r="D23" s="75"/>
      <c r="E23" s="76"/>
      <c r="F23" s="77"/>
      <c r="G23" s="78"/>
      <c r="H23" s="79"/>
      <c r="I23" s="80"/>
      <c r="J23" s="2690"/>
      <c r="K23" s="2692"/>
      <c r="L23" s="2693"/>
      <c r="M23" s="2694"/>
      <c r="N23" s="2695"/>
      <c r="O23" s="2695"/>
      <c r="P23" s="2704"/>
      <c r="Q23" s="2697"/>
      <c r="R23" s="2707"/>
      <c r="S23" s="2704"/>
      <c r="T23" s="2693"/>
      <c r="U23" s="85" t="s">
        <v>100</v>
      </c>
      <c r="V23" s="1455">
        <f>0+83500000-7500000</f>
        <v>76000000</v>
      </c>
      <c r="W23" s="1463">
        <v>20</v>
      </c>
      <c r="X23" s="83" t="s">
        <v>98</v>
      </c>
      <c r="Y23" s="2699"/>
      <c r="Z23" s="2699"/>
      <c r="AA23" s="2699"/>
      <c r="AB23" s="2699"/>
      <c r="AC23" s="2699"/>
      <c r="AD23" s="2699"/>
      <c r="AE23" s="2699"/>
      <c r="AF23" s="2699"/>
      <c r="AG23" s="2699"/>
      <c r="AH23" s="2699"/>
      <c r="AI23" s="2699"/>
      <c r="AJ23" s="2699"/>
      <c r="AK23" s="2699"/>
      <c r="AL23" s="2699"/>
      <c r="AM23" s="2699"/>
      <c r="AN23" s="2699"/>
      <c r="AO23" s="2711"/>
      <c r="AP23" s="2711"/>
      <c r="AQ23" s="2709"/>
      <c r="AR23" s="326"/>
    </row>
    <row r="24" spans="1:44" ht="72" customHeight="1" x14ac:dyDescent="0.2">
      <c r="A24" s="59"/>
      <c r="B24" s="60"/>
      <c r="C24" s="61"/>
      <c r="D24" s="75"/>
      <c r="E24" s="76"/>
      <c r="F24" s="77"/>
      <c r="G24" s="78"/>
      <c r="H24" s="79"/>
      <c r="I24" s="80"/>
      <c r="J24" s="1760">
        <v>286</v>
      </c>
      <c r="K24" s="1765" t="s">
        <v>101</v>
      </c>
      <c r="L24" s="1750" t="s">
        <v>102</v>
      </c>
      <c r="M24" s="1761">
        <v>0.98</v>
      </c>
      <c r="N24" s="1758" t="s">
        <v>103</v>
      </c>
      <c r="O24" s="2695"/>
      <c r="P24" s="2704"/>
      <c r="Q24" s="82">
        <f>+(V24)/R21</f>
        <v>0</v>
      </c>
      <c r="R24" s="2707"/>
      <c r="S24" s="2704"/>
      <c r="T24" s="85" t="s">
        <v>104</v>
      </c>
      <c r="U24" s="1458" t="s">
        <v>104</v>
      </c>
      <c r="V24" s="1454">
        <f>85000000+80000000-165000000</f>
        <v>0</v>
      </c>
      <c r="W24" s="1464">
        <v>20</v>
      </c>
      <c r="X24" s="1757" t="s">
        <v>98</v>
      </c>
      <c r="Y24" s="2699"/>
      <c r="Z24" s="2699"/>
      <c r="AA24" s="2699"/>
      <c r="AB24" s="2699"/>
      <c r="AC24" s="2699"/>
      <c r="AD24" s="2699"/>
      <c r="AE24" s="2699"/>
      <c r="AF24" s="2699"/>
      <c r="AG24" s="2699"/>
      <c r="AH24" s="2699"/>
      <c r="AI24" s="2699"/>
      <c r="AJ24" s="2699"/>
      <c r="AK24" s="2699"/>
      <c r="AL24" s="2699"/>
      <c r="AM24" s="2699"/>
      <c r="AN24" s="2699"/>
      <c r="AO24" s="2711"/>
      <c r="AP24" s="2711"/>
      <c r="AQ24" s="2709" t="s">
        <v>71</v>
      </c>
    </row>
    <row r="25" spans="1:44" ht="45" x14ac:dyDescent="0.2">
      <c r="A25" s="59"/>
      <c r="B25" s="60"/>
      <c r="C25" s="61"/>
      <c r="D25" s="75"/>
      <c r="E25" s="76"/>
      <c r="F25" s="77"/>
      <c r="G25" s="78"/>
      <c r="H25" s="79"/>
      <c r="I25" s="80"/>
      <c r="J25" s="1759">
        <v>287</v>
      </c>
      <c r="K25" s="1845" t="s">
        <v>105</v>
      </c>
      <c r="L25" s="1750" t="s">
        <v>106</v>
      </c>
      <c r="M25" s="1761">
        <v>1</v>
      </c>
      <c r="N25" s="84"/>
      <c r="O25" s="2695"/>
      <c r="P25" s="2704"/>
      <c r="Q25" s="82">
        <f>+V25/R21</f>
        <v>2.8031867135303052E-2</v>
      </c>
      <c r="R25" s="2707"/>
      <c r="S25" s="2704"/>
      <c r="T25" s="1750" t="s">
        <v>107</v>
      </c>
      <c r="U25" s="1459" t="s">
        <v>108</v>
      </c>
      <c r="V25" s="1454">
        <f>108500000+5000000+7500000</f>
        <v>121000000</v>
      </c>
      <c r="W25" s="1463">
        <v>20</v>
      </c>
      <c r="X25" s="83" t="s">
        <v>98</v>
      </c>
      <c r="Y25" s="2699"/>
      <c r="Z25" s="2699"/>
      <c r="AA25" s="2699"/>
      <c r="AB25" s="2699"/>
      <c r="AC25" s="2699"/>
      <c r="AD25" s="2699"/>
      <c r="AE25" s="2699"/>
      <c r="AF25" s="2699"/>
      <c r="AG25" s="2699"/>
      <c r="AH25" s="2699"/>
      <c r="AI25" s="2699"/>
      <c r="AJ25" s="2699"/>
      <c r="AK25" s="2699"/>
      <c r="AL25" s="2699"/>
      <c r="AM25" s="2699"/>
      <c r="AN25" s="2699"/>
      <c r="AO25" s="2711"/>
      <c r="AP25" s="2711"/>
      <c r="AQ25" s="2709"/>
    </row>
    <row r="26" spans="1:44" ht="105.75" thickBot="1" x14ac:dyDescent="0.25">
      <c r="A26" s="86"/>
      <c r="B26" s="87"/>
      <c r="C26" s="88"/>
      <c r="D26" s="89"/>
      <c r="E26" s="90"/>
      <c r="F26" s="91"/>
      <c r="G26" s="92"/>
      <c r="H26" s="93"/>
      <c r="I26" s="94"/>
      <c r="J26" s="1847">
        <v>289</v>
      </c>
      <c r="K26" s="1846" t="s">
        <v>109</v>
      </c>
      <c r="L26" s="1846" t="s">
        <v>110</v>
      </c>
      <c r="M26" s="95">
        <v>1</v>
      </c>
      <c r="N26" s="84"/>
      <c r="O26" s="2702"/>
      <c r="P26" s="2705"/>
      <c r="Q26" s="1762">
        <f>+V26/R21</f>
        <v>0.95085318686211073</v>
      </c>
      <c r="R26" s="2708"/>
      <c r="S26" s="2705"/>
      <c r="T26" s="1846" t="s">
        <v>111</v>
      </c>
      <c r="U26" s="1456" t="s">
        <v>112</v>
      </c>
      <c r="V26" s="2052">
        <f>5000000000-895627107</f>
        <v>4104372893</v>
      </c>
      <c r="W26" s="1465">
        <v>46</v>
      </c>
      <c r="X26" s="1757" t="s">
        <v>113</v>
      </c>
      <c r="Y26" s="2700"/>
      <c r="Z26" s="2700"/>
      <c r="AA26" s="2700"/>
      <c r="AB26" s="2700"/>
      <c r="AC26" s="2700"/>
      <c r="AD26" s="2700"/>
      <c r="AE26" s="2700"/>
      <c r="AF26" s="2700"/>
      <c r="AG26" s="2700"/>
      <c r="AH26" s="2700"/>
      <c r="AI26" s="2700"/>
      <c r="AJ26" s="2700"/>
      <c r="AK26" s="2700"/>
      <c r="AL26" s="2700"/>
      <c r="AM26" s="2700"/>
      <c r="AN26" s="2700"/>
      <c r="AO26" s="2712"/>
      <c r="AP26" s="2712"/>
      <c r="AQ26" s="96" t="s">
        <v>114</v>
      </c>
    </row>
    <row r="27" spans="1:44" ht="21.75" customHeight="1" thickBot="1" x14ac:dyDescent="0.3">
      <c r="A27" s="1053" t="s">
        <v>115</v>
      </c>
      <c r="B27" s="97"/>
      <c r="C27" s="97"/>
      <c r="D27" s="97"/>
      <c r="E27" s="97"/>
      <c r="F27" s="97"/>
      <c r="G27" s="97"/>
      <c r="H27" s="97"/>
      <c r="I27" s="97"/>
      <c r="J27" s="98"/>
      <c r="K27" s="99"/>
      <c r="L27" s="100"/>
      <c r="M27" s="101"/>
      <c r="N27" s="99"/>
      <c r="O27" s="100"/>
      <c r="P27" s="100"/>
      <c r="Q27" s="102"/>
      <c r="R27" s="103">
        <f>SUM(R16:R26)</f>
        <v>4518231360</v>
      </c>
      <c r="S27" s="104"/>
      <c r="T27" s="99"/>
      <c r="U27" s="105"/>
      <c r="V27" s="2053">
        <f>SUM(V16:V26)</f>
        <v>4518231360</v>
      </c>
      <c r="W27" s="106"/>
      <c r="X27" s="107"/>
      <c r="Y27" s="108"/>
      <c r="Z27" s="108"/>
      <c r="AA27" s="108"/>
      <c r="AB27" s="108"/>
      <c r="AC27" s="108"/>
      <c r="AD27" s="108"/>
      <c r="AE27" s="107"/>
      <c r="AF27" s="107"/>
      <c r="AG27" s="107"/>
      <c r="AH27" s="107"/>
      <c r="AI27" s="107"/>
      <c r="AJ27" s="107"/>
      <c r="AK27" s="107"/>
      <c r="AL27" s="107"/>
      <c r="AM27" s="107"/>
      <c r="AN27" s="107"/>
      <c r="AO27" s="109"/>
      <c r="AP27" s="109"/>
      <c r="AQ27" s="110"/>
    </row>
    <row r="28" spans="1:44" x14ac:dyDescent="0.2">
      <c r="A28" s="111"/>
      <c r="B28" s="111"/>
      <c r="C28" s="111"/>
      <c r="D28" s="111"/>
      <c r="E28" s="111"/>
      <c r="F28" s="111"/>
      <c r="G28" s="111"/>
      <c r="H28" s="111"/>
      <c r="I28" s="111"/>
      <c r="J28" s="112"/>
      <c r="K28" s="113"/>
      <c r="L28" s="112"/>
      <c r="M28" s="112"/>
      <c r="N28" s="112"/>
      <c r="O28" s="112"/>
      <c r="P28" s="113"/>
      <c r="Q28" s="114"/>
      <c r="R28" s="115"/>
      <c r="S28" s="113"/>
      <c r="T28" s="113"/>
      <c r="U28" s="113"/>
      <c r="V28" s="116"/>
      <c r="W28" s="117"/>
      <c r="X28" s="118"/>
      <c r="Y28" s="119"/>
      <c r="Z28" s="119"/>
      <c r="AA28" s="119"/>
      <c r="AB28" s="119"/>
      <c r="AC28" s="119"/>
      <c r="AD28" s="119"/>
      <c r="AE28" s="119"/>
      <c r="AF28" s="119"/>
      <c r="AG28" s="119"/>
      <c r="AH28" s="119"/>
      <c r="AI28" s="119"/>
      <c r="AJ28" s="119"/>
      <c r="AK28" s="119"/>
      <c r="AL28" s="119"/>
      <c r="AM28" s="119"/>
      <c r="AN28" s="119"/>
      <c r="AO28" s="119"/>
      <c r="AP28" s="119"/>
      <c r="AQ28" s="119"/>
    </row>
    <row r="29" spans="1:44" ht="31.5" customHeight="1" x14ac:dyDescent="0.25">
      <c r="A29" s="111"/>
      <c r="B29" s="111"/>
      <c r="C29" s="111"/>
      <c r="D29" s="111"/>
      <c r="E29" s="111"/>
      <c r="F29" s="111"/>
      <c r="G29" s="111"/>
      <c r="H29" s="111"/>
      <c r="I29" s="111"/>
      <c r="J29" s="112"/>
      <c r="K29" s="113"/>
      <c r="L29" s="112"/>
      <c r="M29" s="112"/>
      <c r="N29" s="112"/>
      <c r="O29" s="112"/>
      <c r="P29" s="113"/>
      <c r="Q29" s="114"/>
      <c r="R29" s="120"/>
      <c r="S29" s="113"/>
      <c r="T29" s="113"/>
      <c r="U29" s="113"/>
      <c r="V29" s="1690"/>
      <c r="W29" s="117"/>
      <c r="X29" s="118"/>
      <c r="Y29" s="119"/>
      <c r="Z29" s="119"/>
      <c r="AA29" s="119"/>
      <c r="AB29" s="119"/>
      <c r="AC29" s="119"/>
      <c r="AD29" s="119"/>
      <c r="AE29" s="119"/>
      <c r="AF29" s="119"/>
      <c r="AG29" s="119"/>
      <c r="AH29" s="119"/>
      <c r="AI29" s="119"/>
      <c r="AJ29" s="119"/>
      <c r="AK29" s="119"/>
      <c r="AL29" s="119"/>
      <c r="AM29" s="119"/>
      <c r="AN29" s="119"/>
      <c r="AO29" s="119"/>
      <c r="AP29" s="119"/>
      <c r="AQ29" s="119"/>
    </row>
    <row r="30" spans="1:44" ht="26.25" customHeight="1" x14ac:dyDescent="0.25">
      <c r="A30" s="121"/>
      <c r="B30" s="121" t="s">
        <v>116</v>
      </c>
      <c r="C30" s="121"/>
      <c r="D30" s="121"/>
      <c r="E30" s="121"/>
      <c r="F30" s="111"/>
      <c r="G30" s="111"/>
      <c r="H30" s="111"/>
      <c r="I30" s="111"/>
      <c r="J30" s="112"/>
      <c r="K30" s="113"/>
      <c r="L30" s="112"/>
      <c r="M30" s="112"/>
      <c r="N30" s="112"/>
      <c r="O30" s="112"/>
      <c r="P30" s="113"/>
      <c r="Q30" s="114"/>
      <c r="R30" s="120"/>
      <c r="S30" s="113"/>
      <c r="T30" s="113"/>
      <c r="U30" s="113"/>
      <c r="V30" s="119"/>
      <c r="W30" s="117"/>
      <c r="X30" s="118"/>
      <c r="Y30" s="119"/>
      <c r="Z30" s="119"/>
      <c r="AA30" s="119"/>
      <c r="AB30" s="119"/>
      <c r="AC30" s="119"/>
      <c r="AD30" s="119"/>
      <c r="AE30" s="119"/>
      <c r="AF30" s="119"/>
      <c r="AG30" s="119"/>
      <c r="AH30" s="119"/>
      <c r="AI30" s="119"/>
      <c r="AJ30" s="119"/>
      <c r="AK30" s="119"/>
      <c r="AL30" s="119"/>
      <c r="AM30" s="119"/>
      <c r="AN30" s="119"/>
      <c r="AO30" s="119"/>
      <c r="AP30" s="119"/>
      <c r="AQ30" s="119"/>
    </row>
    <row r="31" spans="1:44" x14ac:dyDescent="0.2">
      <c r="B31" s="25" t="s">
        <v>117</v>
      </c>
      <c r="V31" s="1170"/>
    </row>
    <row r="33" spans="13:15" ht="15.75" x14ac:dyDescent="0.25">
      <c r="M33" s="2688" t="s">
        <v>116</v>
      </c>
      <c r="N33" s="2688"/>
      <c r="O33" s="2688"/>
    </row>
    <row r="34" spans="13:15" x14ac:dyDescent="0.2">
      <c r="M34" s="2689" t="s">
        <v>117</v>
      </c>
      <c r="N34" s="2689"/>
      <c r="O34" s="2689"/>
    </row>
  </sheetData>
  <sheetProtection password="A60F" sheet="1" objects="1" scenarios="1"/>
  <mergeCells count="110">
    <mergeCell ref="A1:AO4"/>
    <mergeCell ref="A5:M6"/>
    <mergeCell ref="N5:AQ5"/>
    <mergeCell ref="Y6:AM6"/>
    <mergeCell ref="A7:A12"/>
    <mergeCell ref="B7:C12"/>
    <mergeCell ref="D7:D12"/>
    <mergeCell ref="E7:F12"/>
    <mergeCell ref="G7:G12"/>
    <mergeCell ref="H7:I12"/>
    <mergeCell ref="AK8:AK12"/>
    <mergeCell ref="AL8:AL12"/>
    <mergeCell ref="AM8:AM12"/>
    <mergeCell ref="AN7:AN12"/>
    <mergeCell ref="AO7:AO12"/>
    <mergeCell ref="AP7:AP12"/>
    <mergeCell ref="AQ7:AQ12"/>
    <mergeCell ref="Y8:Y12"/>
    <mergeCell ref="Z8:Z12"/>
    <mergeCell ref="AA8:AA12"/>
    <mergeCell ref="AB8:AB12"/>
    <mergeCell ref="AC8:AC12"/>
    <mergeCell ref="X7:X12"/>
    <mergeCell ref="P7:P12"/>
    <mergeCell ref="Q7:Q12"/>
    <mergeCell ref="R7:R12"/>
    <mergeCell ref="S7:S12"/>
    <mergeCell ref="T7:T12"/>
    <mergeCell ref="U7:U12"/>
    <mergeCell ref="J7:J12"/>
    <mergeCell ref="K7:K12"/>
    <mergeCell ref="L7:L12"/>
    <mergeCell ref="M7:M12"/>
    <mergeCell ref="N7:N12"/>
    <mergeCell ref="O7:O12"/>
    <mergeCell ref="J17:J19"/>
    <mergeCell ref="K17:K19"/>
    <mergeCell ref="L17:L19"/>
    <mergeCell ref="M17:M19"/>
    <mergeCell ref="N17:N19"/>
    <mergeCell ref="O17:O19"/>
    <mergeCell ref="P17:P19"/>
    <mergeCell ref="Q17:Q19"/>
    <mergeCell ref="R17:R19"/>
    <mergeCell ref="S17:S19"/>
    <mergeCell ref="Y17:Y19"/>
    <mergeCell ref="Z17:Z19"/>
    <mergeCell ref="AA17:AA19"/>
    <mergeCell ref="AB17:AB19"/>
    <mergeCell ref="AC17:AC19"/>
    <mergeCell ref="AP17:AP19"/>
    <mergeCell ref="Y7:Z7"/>
    <mergeCell ref="AA7:AD7"/>
    <mergeCell ref="V7:V12"/>
    <mergeCell ref="AE7:AJ7"/>
    <mergeCell ref="AK7:AM7"/>
    <mergeCell ref="AD8:AD12"/>
    <mergeCell ref="AE8:AE12"/>
    <mergeCell ref="AF8:AF12"/>
    <mergeCell ref="AG8:AG12"/>
    <mergeCell ref="AH8:AH12"/>
    <mergeCell ref="AI8:AI12"/>
    <mergeCell ref="AJ8:AJ12"/>
    <mergeCell ref="W7:W12"/>
    <mergeCell ref="AQ17:AQ19"/>
    <mergeCell ref="AJ17:AJ19"/>
    <mergeCell ref="AK17:AK19"/>
    <mergeCell ref="AL17:AL19"/>
    <mergeCell ref="AM17:AM19"/>
    <mergeCell ref="AN17:AN19"/>
    <mergeCell ref="AO17:AO19"/>
    <mergeCell ref="AD17:AD19"/>
    <mergeCell ref="AE17:AE19"/>
    <mergeCell ref="AF17:AF19"/>
    <mergeCell ref="AG17:AG19"/>
    <mergeCell ref="AH17:AH19"/>
    <mergeCell ref="AI17:AI19"/>
    <mergeCell ref="AQ22:AQ23"/>
    <mergeCell ref="AQ24:AQ25"/>
    <mergeCell ref="AN21:AN26"/>
    <mergeCell ref="AO21:AO26"/>
    <mergeCell ref="AP21:AP26"/>
    <mergeCell ref="AJ21:AJ26"/>
    <mergeCell ref="AK21:AK26"/>
    <mergeCell ref="AL21:AL26"/>
    <mergeCell ref="AM21:AM26"/>
    <mergeCell ref="AH21:AH26"/>
    <mergeCell ref="AI21:AI26"/>
    <mergeCell ref="AB21:AB26"/>
    <mergeCell ref="AC21:AC26"/>
    <mergeCell ref="AD21:AD26"/>
    <mergeCell ref="AE21:AE26"/>
    <mergeCell ref="AF21:AF26"/>
    <mergeCell ref="AG21:AG26"/>
    <mergeCell ref="O21:O26"/>
    <mergeCell ref="P21:P26"/>
    <mergeCell ref="R21:R26"/>
    <mergeCell ref="S21:S26"/>
    <mergeCell ref="Y21:Y26"/>
    <mergeCell ref="Z21:Z26"/>
    <mergeCell ref="AA21:AA26"/>
    <mergeCell ref="M33:O33"/>
    <mergeCell ref="M34:O34"/>
    <mergeCell ref="J22:J23"/>
    <mergeCell ref="K22:K23"/>
    <mergeCell ref="L22:L23"/>
    <mergeCell ref="M22:M23"/>
    <mergeCell ref="N22:N23"/>
    <mergeCell ref="Q22:Q23"/>
    <mergeCell ref="T22:T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1"/>
  <sheetViews>
    <sheetView showGridLines="0" topLeftCell="D1" zoomScale="50" zoomScaleNormal="50" workbookViewId="0">
      <selection activeCell="K6" sqref="K6:K7"/>
    </sheetView>
  </sheetViews>
  <sheetFormatPr baseColWidth="10" defaultColWidth="11.42578125" defaultRowHeight="15" x14ac:dyDescent="0.2"/>
  <cols>
    <col min="1" max="1" width="21.42578125" style="1" customWidth="1"/>
    <col min="2" max="2" width="17.5703125" style="1" customWidth="1"/>
    <col min="3" max="3" width="7.85546875" style="1" customWidth="1"/>
    <col min="4" max="4" width="15" style="1" customWidth="1"/>
    <col min="5" max="5" width="10.7109375" style="1" customWidth="1"/>
    <col min="6" max="6" width="13.28515625" style="1" customWidth="1"/>
    <col min="7" max="7" width="16.42578125" style="1" customWidth="1"/>
    <col min="8" max="8" width="14.5703125" style="1" customWidth="1"/>
    <col min="9" max="9" width="15.7109375" style="1" customWidth="1"/>
    <col min="10" max="10" width="17.140625" style="1" customWidth="1"/>
    <col min="11" max="11" width="61.42578125" style="1" customWidth="1"/>
    <col min="12" max="12" width="55.42578125" style="1" customWidth="1"/>
    <col min="13" max="13" width="23.7109375" style="1" customWidth="1"/>
    <col min="14" max="14" width="46.28515625" style="2222" customWidth="1"/>
    <col min="15" max="15" width="28.42578125" style="1" customWidth="1"/>
    <col min="16" max="16" width="48.42578125" style="1" customWidth="1"/>
    <col min="17" max="17" width="19.7109375" style="1" customWidth="1"/>
    <col min="18" max="18" width="33.42578125" style="1" customWidth="1"/>
    <col min="19" max="19" width="59.7109375" style="1" customWidth="1"/>
    <col min="20" max="20" width="60.5703125" style="1" customWidth="1"/>
    <col min="21" max="21" width="63.5703125" style="1" customWidth="1"/>
    <col min="22" max="22" width="30.42578125" style="1" bestFit="1" customWidth="1"/>
    <col min="23" max="23" width="16.140625" style="130" customWidth="1"/>
    <col min="24" max="24" width="32" style="360" customWidth="1"/>
    <col min="25" max="25" width="15" style="1" customWidth="1"/>
    <col min="26" max="26" width="9" style="1" bestFit="1" customWidth="1"/>
    <col min="27" max="27" width="13.42578125" style="1" customWidth="1"/>
    <col min="28" max="28" width="9.140625" style="1" customWidth="1"/>
    <col min="29" max="30" width="8.140625" style="1" customWidth="1"/>
    <col min="31" max="32" width="8" style="1" customWidth="1"/>
    <col min="33" max="36" width="7.42578125" style="1" customWidth="1"/>
    <col min="37" max="39" width="7.5703125" style="1" bestFit="1" customWidth="1"/>
    <col min="40" max="40" width="9" style="1" bestFit="1" customWidth="1"/>
    <col min="41" max="41" width="19" style="1" customWidth="1"/>
    <col min="42" max="42" width="27.7109375" style="1" customWidth="1"/>
    <col min="43" max="43" width="24.42578125" style="1" customWidth="1"/>
    <col min="44" max="53" width="14.85546875" style="1" customWidth="1"/>
    <col min="54" max="16384" width="11.42578125" style="1"/>
  </cols>
  <sheetData>
    <row r="1" spans="1:60" ht="27.75" customHeight="1" x14ac:dyDescent="0.2">
      <c r="A1" s="2923" t="s">
        <v>2560</v>
      </c>
      <c r="B1" s="2923"/>
      <c r="C1" s="2923"/>
      <c r="D1" s="2923"/>
      <c r="E1" s="2923"/>
      <c r="F1" s="2923"/>
      <c r="G1" s="2923"/>
      <c r="H1" s="2923"/>
      <c r="I1" s="2923"/>
      <c r="J1" s="2923"/>
      <c r="K1" s="2923"/>
      <c r="L1" s="2923"/>
      <c r="M1" s="2923"/>
      <c r="N1" s="2923"/>
      <c r="O1" s="2923"/>
      <c r="P1" s="2923"/>
      <c r="Q1" s="2923"/>
      <c r="R1" s="2923"/>
      <c r="S1" s="2923"/>
      <c r="T1" s="2923"/>
      <c r="U1" s="2923"/>
      <c r="V1" s="2923"/>
      <c r="W1" s="2923"/>
      <c r="X1" s="2923"/>
      <c r="Y1" s="2923"/>
      <c r="Z1" s="2923"/>
      <c r="AA1" s="2923"/>
      <c r="AB1" s="2923"/>
      <c r="AC1" s="2923"/>
      <c r="AD1" s="2923"/>
      <c r="AE1" s="2923"/>
      <c r="AF1" s="2923"/>
      <c r="AG1" s="2923"/>
      <c r="AH1" s="2923"/>
      <c r="AI1" s="2923"/>
      <c r="AJ1" s="2923"/>
      <c r="AK1" s="2923"/>
      <c r="AL1" s="2923"/>
      <c r="AM1" s="2923"/>
      <c r="AN1" s="2923"/>
      <c r="AO1" s="2923"/>
      <c r="AP1" s="3455"/>
      <c r="AQ1" s="4" t="s">
        <v>1</v>
      </c>
    </row>
    <row r="2" spans="1:60" ht="27.75" customHeight="1" x14ac:dyDescent="0.2">
      <c r="A2" s="2923"/>
      <c r="B2" s="2923"/>
      <c r="C2" s="2923"/>
      <c r="D2" s="2923"/>
      <c r="E2" s="2923"/>
      <c r="F2" s="2923"/>
      <c r="G2" s="2923"/>
      <c r="H2" s="2923"/>
      <c r="I2" s="2923"/>
      <c r="J2" s="2923"/>
      <c r="K2" s="2923"/>
      <c r="L2" s="2923"/>
      <c r="M2" s="2923"/>
      <c r="N2" s="2923"/>
      <c r="O2" s="2923"/>
      <c r="P2" s="2923"/>
      <c r="Q2" s="2923"/>
      <c r="R2" s="2923"/>
      <c r="S2" s="2923"/>
      <c r="T2" s="2923"/>
      <c r="U2" s="2923"/>
      <c r="V2" s="2923"/>
      <c r="W2" s="2923"/>
      <c r="X2" s="2923"/>
      <c r="Y2" s="2923"/>
      <c r="Z2" s="2923"/>
      <c r="AA2" s="2923"/>
      <c r="AB2" s="2923"/>
      <c r="AC2" s="2923"/>
      <c r="AD2" s="2923"/>
      <c r="AE2" s="2923"/>
      <c r="AF2" s="2923"/>
      <c r="AG2" s="2923"/>
      <c r="AH2" s="2923"/>
      <c r="AI2" s="2923"/>
      <c r="AJ2" s="2923"/>
      <c r="AK2" s="2923"/>
      <c r="AL2" s="2923"/>
      <c r="AM2" s="2923"/>
      <c r="AN2" s="2923"/>
      <c r="AO2" s="2923"/>
      <c r="AP2" s="3455"/>
      <c r="AQ2" s="464">
        <v>7</v>
      </c>
    </row>
    <row r="3" spans="1:60" ht="27.75" customHeight="1" x14ac:dyDescent="0.2">
      <c r="A3" s="2923"/>
      <c r="B3" s="2923"/>
      <c r="C3" s="2923"/>
      <c r="D3" s="2923"/>
      <c r="E3" s="2923"/>
      <c r="F3" s="2923"/>
      <c r="G3" s="2923"/>
      <c r="H3" s="2923"/>
      <c r="I3" s="2923"/>
      <c r="J3" s="2923"/>
      <c r="K3" s="2923"/>
      <c r="L3" s="2923"/>
      <c r="M3" s="2923"/>
      <c r="N3" s="2923"/>
      <c r="O3" s="2923"/>
      <c r="P3" s="2923"/>
      <c r="Q3" s="2923"/>
      <c r="R3" s="2923"/>
      <c r="S3" s="2923"/>
      <c r="T3" s="2923"/>
      <c r="U3" s="2923"/>
      <c r="V3" s="2923"/>
      <c r="W3" s="2923"/>
      <c r="X3" s="2923"/>
      <c r="Y3" s="2923"/>
      <c r="Z3" s="2923"/>
      <c r="AA3" s="2923"/>
      <c r="AB3" s="2923"/>
      <c r="AC3" s="2923"/>
      <c r="AD3" s="2923"/>
      <c r="AE3" s="2923"/>
      <c r="AF3" s="2923"/>
      <c r="AG3" s="2923"/>
      <c r="AH3" s="2923"/>
      <c r="AI3" s="2923"/>
      <c r="AJ3" s="2923"/>
      <c r="AK3" s="2923"/>
      <c r="AL3" s="2923"/>
      <c r="AM3" s="2923"/>
      <c r="AN3" s="2923"/>
      <c r="AO3" s="2923"/>
      <c r="AP3" s="3455"/>
      <c r="AQ3" s="465" t="s">
        <v>5</v>
      </c>
    </row>
    <row r="4" spans="1:60" s="6" customFormat="1" ht="27.75" customHeight="1" x14ac:dyDescent="0.2">
      <c r="A4" s="2924"/>
      <c r="B4" s="2924"/>
      <c r="C4" s="2924"/>
      <c r="D4" s="2924"/>
      <c r="E4" s="2924"/>
      <c r="F4" s="2924"/>
      <c r="G4" s="2924"/>
      <c r="H4" s="2924"/>
      <c r="I4" s="2924"/>
      <c r="J4" s="2924"/>
      <c r="K4" s="2924"/>
      <c r="L4" s="2924"/>
      <c r="M4" s="2924"/>
      <c r="N4" s="2924"/>
      <c r="O4" s="2924"/>
      <c r="P4" s="2924"/>
      <c r="Q4" s="2924"/>
      <c r="R4" s="2924"/>
      <c r="S4" s="2924"/>
      <c r="T4" s="2924"/>
      <c r="U4" s="2924"/>
      <c r="V4" s="2924"/>
      <c r="W4" s="2924"/>
      <c r="X4" s="2924"/>
      <c r="Y4" s="2924"/>
      <c r="Z4" s="2924"/>
      <c r="AA4" s="2924"/>
      <c r="AB4" s="2924"/>
      <c r="AC4" s="2924"/>
      <c r="AD4" s="2924"/>
      <c r="AE4" s="2924"/>
      <c r="AF4" s="2924"/>
      <c r="AG4" s="2924"/>
      <c r="AH4" s="2924"/>
      <c r="AI4" s="2924"/>
      <c r="AJ4" s="2924"/>
      <c r="AK4" s="2924"/>
      <c r="AL4" s="2924"/>
      <c r="AM4" s="2924"/>
      <c r="AN4" s="2924"/>
      <c r="AO4" s="2924"/>
      <c r="AP4" s="3456"/>
      <c r="AQ4" s="428" t="s">
        <v>162</v>
      </c>
    </row>
    <row r="5" spans="1:60" ht="66" customHeight="1" x14ac:dyDescent="0.2">
      <c r="A5" s="3458" t="s">
        <v>8</v>
      </c>
      <c r="B5" s="3459"/>
      <c r="C5" s="3459"/>
      <c r="D5" s="3459"/>
      <c r="E5" s="3459"/>
      <c r="F5" s="3459"/>
      <c r="G5" s="3459"/>
      <c r="H5" s="3459"/>
      <c r="I5" s="3459"/>
      <c r="J5" s="3459"/>
      <c r="K5" s="3459"/>
      <c r="L5" s="3459"/>
      <c r="M5" s="3459"/>
      <c r="N5" s="2206"/>
      <c r="O5" s="2206"/>
      <c r="P5" s="3459" t="s">
        <v>9</v>
      </c>
      <c r="Q5" s="3459"/>
      <c r="R5" s="3459"/>
      <c r="S5" s="3459"/>
      <c r="T5" s="3459"/>
      <c r="U5" s="3459"/>
      <c r="V5" s="3459"/>
      <c r="W5" s="3459"/>
      <c r="X5" s="3459"/>
      <c r="Y5" s="3459"/>
      <c r="Z5" s="3459"/>
      <c r="AA5" s="3459"/>
      <c r="AB5" s="3459"/>
      <c r="AC5" s="3459"/>
      <c r="AD5" s="3459"/>
      <c r="AE5" s="3459"/>
      <c r="AF5" s="3459"/>
      <c r="AG5" s="3459"/>
      <c r="AH5" s="3459"/>
      <c r="AI5" s="3459"/>
      <c r="AJ5" s="3459"/>
      <c r="AK5" s="3459"/>
      <c r="AL5" s="3459"/>
      <c r="AM5" s="3459"/>
      <c r="AN5" s="3459"/>
      <c r="AO5" s="3459"/>
      <c r="AP5" s="3459"/>
      <c r="AQ5" s="3460"/>
    </row>
    <row r="6" spans="1:60" ht="34.5" customHeight="1" x14ac:dyDescent="0.2">
      <c r="A6" s="2928" t="s">
        <v>11</v>
      </c>
      <c r="B6" s="2930" t="s">
        <v>12</v>
      </c>
      <c r="C6" s="2931"/>
      <c r="D6" s="2934" t="s">
        <v>11</v>
      </c>
      <c r="E6" s="2930" t="s">
        <v>13</v>
      </c>
      <c r="F6" s="2931"/>
      <c r="G6" s="2934" t="s">
        <v>11</v>
      </c>
      <c r="H6" s="2930" t="s">
        <v>14</v>
      </c>
      <c r="I6" s="2931"/>
      <c r="J6" s="2934" t="s">
        <v>11</v>
      </c>
      <c r="K6" s="2934" t="s">
        <v>15</v>
      </c>
      <c r="L6" s="2934" t="s">
        <v>16</v>
      </c>
      <c r="M6" s="2934" t="s">
        <v>17</v>
      </c>
      <c r="N6" s="2934" t="s">
        <v>18</v>
      </c>
      <c r="O6" s="2934" t="s">
        <v>19</v>
      </c>
      <c r="P6" s="2934" t="s">
        <v>9</v>
      </c>
      <c r="Q6" s="2950" t="s">
        <v>20</v>
      </c>
      <c r="R6" s="2950" t="s">
        <v>21</v>
      </c>
      <c r="S6" s="2950" t="s">
        <v>22</v>
      </c>
      <c r="T6" s="2950" t="s">
        <v>23</v>
      </c>
      <c r="U6" s="2950" t="s">
        <v>24</v>
      </c>
      <c r="V6" s="3753" t="s">
        <v>21</v>
      </c>
      <c r="W6" s="3754"/>
      <c r="X6" s="2934" t="s">
        <v>25</v>
      </c>
      <c r="Y6" s="3751" t="s">
        <v>26</v>
      </c>
      <c r="Z6" s="3752"/>
      <c r="AA6" s="3745" t="s">
        <v>27</v>
      </c>
      <c r="AB6" s="3746"/>
      <c r="AC6" s="3746"/>
      <c r="AD6" s="3746"/>
      <c r="AE6" s="3747" t="s">
        <v>28</v>
      </c>
      <c r="AF6" s="3748"/>
      <c r="AG6" s="3748"/>
      <c r="AH6" s="3748"/>
      <c r="AI6" s="3748"/>
      <c r="AJ6" s="3748"/>
      <c r="AK6" s="3745" t="s">
        <v>29</v>
      </c>
      <c r="AL6" s="3746"/>
      <c r="AM6" s="3746"/>
      <c r="AN6" s="3749" t="s">
        <v>30</v>
      </c>
      <c r="AO6" s="3742" t="s">
        <v>31</v>
      </c>
      <c r="AP6" s="3742" t="s">
        <v>32</v>
      </c>
      <c r="AQ6" s="2936" t="s">
        <v>33</v>
      </c>
      <c r="AR6" s="124"/>
      <c r="AS6" s="124"/>
      <c r="AT6" s="124"/>
      <c r="AU6" s="124"/>
      <c r="AV6" s="124"/>
      <c r="AW6" s="124"/>
      <c r="AX6" s="124"/>
      <c r="AY6" s="124"/>
      <c r="AZ6" s="124"/>
      <c r="BA6" s="124"/>
      <c r="BB6" s="124"/>
      <c r="BC6" s="124"/>
      <c r="BD6" s="124"/>
      <c r="BE6" s="124"/>
      <c r="BF6" s="124"/>
      <c r="BG6" s="124"/>
      <c r="BH6" s="124"/>
    </row>
    <row r="7" spans="1:60" ht="193.5" customHeight="1" x14ac:dyDescent="0.2">
      <c r="A7" s="2929"/>
      <c r="B7" s="2932"/>
      <c r="C7" s="2933"/>
      <c r="D7" s="2935"/>
      <c r="E7" s="2932"/>
      <c r="F7" s="2933"/>
      <c r="G7" s="2935"/>
      <c r="H7" s="2932"/>
      <c r="I7" s="2933"/>
      <c r="J7" s="2935"/>
      <c r="K7" s="2935"/>
      <c r="L7" s="2935"/>
      <c r="M7" s="2966"/>
      <c r="N7" s="2935"/>
      <c r="O7" s="2935"/>
      <c r="P7" s="2935"/>
      <c r="Q7" s="2951"/>
      <c r="R7" s="2951"/>
      <c r="S7" s="2951"/>
      <c r="T7" s="2951"/>
      <c r="U7" s="2951"/>
      <c r="V7" s="2178" t="s">
        <v>833</v>
      </c>
      <c r="W7" s="2177" t="s">
        <v>11</v>
      </c>
      <c r="X7" s="2935"/>
      <c r="Y7" s="127" t="s">
        <v>34</v>
      </c>
      <c r="Z7" s="128" t="s">
        <v>35</v>
      </c>
      <c r="AA7" s="127" t="s">
        <v>36</v>
      </c>
      <c r="AB7" s="127" t="s">
        <v>121</v>
      </c>
      <c r="AC7" s="127" t="s">
        <v>1770</v>
      </c>
      <c r="AD7" s="127" t="s">
        <v>123</v>
      </c>
      <c r="AE7" s="127" t="s">
        <v>40</v>
      </c>
      <c r="AF7" s="127" t="s">
        <v>41</v>
      </c>
      <c r="AG7" s="127" t="s">
        <v>42</v>
      </c>
      <c r="AH7" s="127" t="s">
        <v>43</v>
      </c>
      <c r="AI7" s="127" t="s">
        <v>44</v>
      </c>
      <c r="AJ7" s="127" t="s">
        <v>45</v>
      </c>
      <c r="AK7" s="127" t="s">
        <v>46</v>
      </c>
      <c r="AL7" s="127" t="s">
        <v>47</v>
      </c>
      <c r="AM7" s="127" t="s">
        <v>48</v>
      </c>
      <c r="AN7" s="3750"/>
      <c r="AO7" s="3743"/>
      <c r="AP7" s="3743"/>
      <c r="AQ7" s="3744"/>
      <c r="AR7" s="124"/>
      <c r="AS7" s="124"/>
      <c r="AT7" s="124"/>
      <c r="AU7" s="124"/>
      <c r="AV7" s="124"/>
      <c r="AW7" s="124"/>
      <c r="AX7" s="124"/>
      <c r="AY7" s="124"/>
      <c r="AZ7" s="124"/>
      <c r="BA7" s="124"/>
      <c r="BB7" s="124"/>
      <c r="BC7" s="124"/>
      <c r="BD7" s="124"/>
      <c r="BE7" s="124"/>
      <c r="BF7" s="124"/>
      <c r="BG7" s="124"/>
      <c r="BH7" s="124"/>
    </row>
    <row r="8" spans="1:60" s="473" customFormat="1" ht="15.75" x14ac:dyDescent="0.25">
      <c r="A8" s="466">
        <v>3</v>
      </c>
      <c r="B8" s="467"/>
      <c r="C8" s="467" t="s">
        <v>1709</v>
      </c>
      <c r="D8" s="467"/>
      <c r="E8" s="467"/>
      <c r="F8" s="467"/>
      <c r="G8" s="467"/>
      <c r="H8" s="467"/>
      <c r="I8" s="467"/>
      <c r="J8" s="467"/>
      <c r="K8" s="317"/>
      <c r="L8" s="317"/>
      <c r="M8" s="467"/>
      <c r="N8" s="318"/>
      <c r="O8" s="467"/>
      <c r="P8" s="317"/>
      <c r="Q8" s="468"/>
      <c r="R8" s="469"/>
      <c r="S8" s="317"/>
      <c r="T8" s="317"/>
      <c r="U8" s="317"/>
      <c r="V8" s="317"/>
      <c r="W8" s="318"/>
      <c r="X8" s="467"/>
      <c r="Y8" s="467"/>
      <c r="Z8" s="467"/>
      <c r="AA8" s="467"/>
      <c r="AB8" s="467"/>
      <c r="AC8" s="467"/>
      <c r="AD8" s="467"/>
      <c r="AE8" s="467"/>
      <c r="AF8" s="467"/>
      <c r="AG8" s="467"/>
      <c r="AH8" s="470"/>
      <c r="AI8" s="317"/>
      <c r="AJ8" s="471"/>
      <c r="AK8" s="471"/>
      <c r="AL8" s="471"/>
      <c r="AM8" s="471"/>
      <c r="AN8" s="471"/>
      <c r="AO8" s="471"/>
      <c r="AP8" s="471"/>
      <c r="AQ8" s="472"/>
    </row>
    <row r="9" spans="1:60" s="473" customFormat="1" ht="15.75" x14ac:dyDescent="0.25">
      <c r="A9" s="474"/>
      <c r="B9" s="2211"/>
      <c r="C9" s="2212"/>
      <c r="D9" s="475">
        <v>5</v>
      </c>
      <c r="E9" s="476" t="s">
        <v>1771</v>
      </c>
      <c r="F9" s="476"/>
      <c r="G9" s="476"/>
      <c r="H9" s="476"/>
      <c r="I9" s="476"/>
      <c r="J9" s="476"/>
      <c r="K9" s="321"/>
      <c r="L9" s="321"/>
      <c r="M9" s="476"/>
      <c r="N9" s="322"/>
      <c r="O9" s="476"/>
      <c r="P9" s="321"/>
      <c r="Q9" s="477"/>
      <c r="R9" s="478"/>
      <c r="S9" s="321"/>
      <c r="T9" s="321"/>
      <c r="U9" s="321"/>
      <c r="V9" s="321"/>
      <c r="W9" s="322"/>
      <c r="X9" s="476"/>
      <c r="Y9" s="476"/>
      <c r="Z9" s="476"/>
      <c r="AA9" s="476"/>
      <c r="AB9" s="476"/>
      <c r="AC9" s="476"/>
      <c r="AD9" s="476"/>
      <c r="AE9" s="476"/>
      <c r="AF9" s="476"/>
      <c r="AG9" s="476"/>
      <c r="AH9" s="479"/>
      <c r="AI9" s="321"/>
      <c r="AJ9" s="480"/>
      <c r="AK9" s="480"/>
      <c r="AL9" s="480"/>
      <c r="AM9" s="480"/>
      <c r="AN9" s="480"/>
      <c r="AO9" s="480"/>
      <c r="AP9" s="480"/>
      <c r="AQ9" s="481"/>
    </row>
    <row r="10" spans="1:60" s="473" customFormat="1" ht="15.75" x14ac:dyDescent="0.25">
      <c r="A10" s="482"/>
      <c r="B10" s="2213"/>
      <c r="C10" s="2213"/>
      <c r="D10" s="483"/>
      <c r="E10" s="484"/>
      <c r="F10" s="485"/>
      <c r="G10" s="486">
        <v>16</v>
      </c>
      <c r="H10" s="2175" t="s">
        <v>1772</v>
      </c>
      <c r="I10" s="2175"/>
      <c r="J10" s="2175"/>
      <c r="K10" s="157"/>
      <c r="L10" s="157"/>
      <c r="M10" s="2175"/>
      <c r="N10" s="210"/>
      <c r="O10" s="2175"/>
      <c r="P10" s="157"/>
      <c r="Q10" s="487"/>
      <c r="R10" s="488"/>
      <c r="S10" s="157"/>
      <c r="T10" s="1127"/>
      <c r="U10" s="1127"/>
      <c r="V10" s="1127"/>
      <c r="W10" s="1390"/>
      <c r="X10" s="1128"/>
      <c r="Y10" s="2175"/>
      <c r="Z10" s="2175"/>
      <c r="AA10" s="2175"/>
      <c r="AB10" s="2175"/>
      <c r="AC10" s="2175"/>
      <c r="AD10" s="2175"/>
      <c r="AE10" s="489"/>
      <c r="AF10" s="2175"/>
      <c r="AG10" s="2175"/>
      <c r="AH10" s="490"/>
      <c r="AI10" s="157"/>
      <c r="AJ10" s="491"/>
      <c r="AK10" s="491"/>
      <c r="AL10" s="491"/>
      <c r="AM10" s="491"/>
      <c r="AN10" s="491"/>
      <c r="AO10" s="491"/>
      <c r="AP10" s="491"/>
      <c r="AQ10" s="492"/>
    </row>
    <row r="11" spans="1:60" s="473" customFormat="1" ht="38.25" customHeight="1" x14ac:dyDescent="0.25">
      <c r="A11" s="482"/>
      <c r="B11" s="2213"/>
      <c r="C11" s="2213"/>
      <c r="D11" s="493"/>
      <c r="E11" s="494"/>
      <c r="F11" s="495"/>
      <c r="G11" s="2241"/>
      <c r="H11" s="2241"/>
      <c r="I11" s="2238"/>
      <c r="J11" s="2914">
        <v>65</v>
      </c>
      <c r="K11" s="3480" t="s">
        <v>1773</v>
      </c>
      <c r="L11" s="3480" t="s">
        <v>1774</v>
      </c>
      <c r="M11" s="3060">
        <v>1</v>
      </c>
      <c r="N11" s="3055" t="s">
        <v>1775</v>
      </c>
      <c r="O11" s="3498" t="s">
        <v>1776</v>
      </c>
      <c r="P11" s="3479" t="s">
        <v>1777</v>
      </c>
      <c r="Q11" s="3759">
        <f>SUM(V11:V14)/$R$11</f>
        <v>0.28781454104150977</v>
      </c>
      <c r="R11" s="3768">
        <f>SUM(V11:V25)</f>
        <v>22368328120.960003</v>
      </c>
      <c r="S11" s="3517" t="s">
        <v>1778</v>
      </c>
      <c r="T11" s="2860" t="s">
        <v>1779</v>
      </c>
      <c r="U11" s="2860" t="s">
        <v>1780</v>
      </c>
      <c r="V11" s="1511">
        <v>2166498979</v>
      </c>
      <c r="W11" s="2187">
        <v>35</v>
      </c>
      <c r="X11" s="1620" t="s">
        <v>1781</v>
      </c>
      <c r="Y11" s="3519">
        <v>20555</v>
      </c>
      <c r="Z11" s="3761">
        <v>21361</v>
      </c>
      <c r="AA11" s="3761">
        <v>30460</v>
      </c>
      <c r="AB11" s="3761">
        <v>9593</v>
      </c>
      <c r="AC11" s="3761">
        <v>1762</v>
      </c>
      <c r="AD11" s="3761">
        <v>101</v>
      </c>
      <c r="AE11" s="3761">
        <v>308</v>
      </c>
      <c r="AF11" s="3761">
        <v>277</v>
      </c>
      <c r="AG11" s="3761">
        <v>0</v>
      </c>
      <c r="AH11" s="3761">
        <v>0</v>
      </c>
      <c r="AI11" s="3761">
        <v>0</v>
      </c>
      <c r="AJ11" s="3761">
        <v>0</v>
      </c>
      <c r="AK11" s="3761">
        <v>2907</v>
      </c>
      <c r="AL11" s="3761">
        <v>2589</v>
      </c>
      <c r="AM11" s="3761">
        <v>2954</v>
      </c>
      <c r="AN11" s="3761">
        <f>+Y11+Z11</f>
        <v>41916</v>
      </c>
      <c r="AO11" s="3762">
        <v>43466</v>
      </c>
      <c r="AP11" s="3765">
        <v>43830</v>
      </c>
      <c r="AQ11" s="2914" t="s">
        <v>1782</v>
      </c>
    </row>
    <row r="12" spans="1:60" s="473" customFormat="1" ht="28.5" customHeight="1" x14ac:dyDescent="0.25">
      <c r="A12" s="482"/>
      <c r="B12" s="2213"/>
      <c r="C12" s="2213"/>
      <c r="D12" s="493"/>
      <c r="E12" s="494"/>
      <c r="F12" s="495"/>
      <c r="G12" s="2241"/>
      <c r="H12" s="2241"/>
      <c r="I12" s="2238"/>
      <c r="J12" s="2914"/>
      <c r="K12" s="3480"/>
      <c r="L12" s="3480"/>
      <c r="M12" s="3060"/>
      <c r="N12" s="3115"/>
      <c r="O12" s="3498"/>
      <c r="P12" s="3480"/>
      <c r="Q12" s="3759"/>
      <c r="R12" s="3768"/>
      <c r="S12" s="3517"/>
      <c r="T12" s="2860"/>
      <c r="U12" s="2860"/>
      <c r="V12" s="1511">
        <f>1142155795+241355304</f>
        <v>1383511099</v>
      </c>
      <c r="W12" s="2187">
        <v>20</v>
      </c>
      <c r="X12" s="1379" t="s">
        <v>61</v>
      </c>
      <c r="Y12" s="3519"/>
      <c r="Z12" s="3761"/>
      <c r="AA12" s="3761"/>
      <c r="AB12" s="3761"/>
      <c r="AC12" s="3761"/>
      <c r="AD12" s="3761"/>
      <c r="AE12" s="3761"/>
      <c r="AF12" s="3761"/>
      <c r="AG12" s="3761"/>
      <c r="AH12" s="3761"/>
      <c r="AI12" s="3761"/>
      <c r="AJ12" s="3761"/>
      <c r="AK12" s="3761"/>
      <c r="AL12" s="3761"/>
      <c r="AM12" s="3761"/>
      <c r="AN12" s="3761"/>
      <c r="AO12" s="3763"/>
      <c r="AP12" s="3766"/>
      <c r="AQ12" s="2914"/>
    </row>
    <row r="13" spans="1:60" s="473" customFormat="1" ht="28.5" customHeight="1" x14ac:dyDescent="0.25">
      <c r="A13" s="482"/>
      <c r="B13" s="2213"/>
      <c r="C13" s="2213"/>
      <c r="D13" s="493"/>
      <c r="E13" s="494"/>
      <c r="F13" s="495"/>
      <c r="G13" s="2241"/>
      <c r="H13" s="2241"/>
      <c r="I13" s="2238"/>
      <c r="J13" s="2914"/>
      <c r="K13" s="3480"/>
      <c r="L13" s="3480"/>
      <c r="M13" s="3060"/>
      <c r="N13" s="3115"/>
      <c r="O13" s="3498"/>
      <c r="P13" s="3480"/>
      <c r="Q13" s="3759"/>
      <c r="R13" s="3768"/>
      <c r="S13" s="3517"/>
      <c r="T13" s="2860"/>
      <c r="U13" s="2860"/>
      <c r="V13" s="1511">
        <v>43958033</v>
      </c>
      <c r="W13" s="1519">
        <v>91</v>
      </c>
      <c r="X13" s="1595" t="s">
        <v>1783</v>
      </c>
      <c r="Y13" s="3519"/>
      <c r="Z13" s="3761"/>
      <c r="AA13" s="3761"/>
      <c r="AB13" s="3761"/>
      <c r="AC13" s="3761"/>
      <c r="AD13" s="3761"/>
      <c r="AE13" s="3761"/>
      <c r="AF13" s="3761"/>
      <c r="AG13" s="3761"/>
      <c r="AH13" s="3761"/>
      <c r="AI13" s="3761"/>
      <c r="AJ13" s="3761"/>
      <c r="AK13" s="3761"/>
      <c r="AL13" s="3761"/>
      <c r="AM13" s="3761"/>
      <c r="AN13" s="3761"/>
      <c r="AO13" s="3763"/>
      <c r="AP13" s="3766"/>
      <c r="AQ13" s="2914"/>
    </row>
    <row r="14" spans="1:60" s="473" customFormat="1" ht="31.5" customHeight="1" x14ac:dyDescent="0.25">
      <c r="A14" s="482"/>
      <c r="B14" s="2213"/>
      <c r="C14" s="2213"/>
      <c r="D14" s="493"/>
      <c r="E14" s="494"/>
      <c r="F14" s="495"/>
      <c r="G14" s="2241"/>
      <c r="H14" s="2241"/>
      <c r="I14" s="2238"/>
      <c r="J14" s="2773"/>
      <c r="K14" s="3740"/>
      <c r="L14" s="3740"/>
      <c r="M14" s="3061"/>
      <c r="N14" s="3115"/>
      <c r="O14" s="3498"/>
      <c r="P14" s="3480"/>
      <c r="Q14" s="3760"/>
      <c r="R14" s="3768"/>
      <c r="S14" s="3517"/>
      <c r="T14" s="2860"/>
      <c r="U14" s="2860"/>
      <c r="V14" s="1407">
        <f>2321723335+522238646</f>
        <v>2843961981</v>
      </c>
      <c r="W14" s="1596">
        <v>88</v>
      </c>
      <c r="X14" s="1597" t="s">
        <v>942</v>
      </c>
      <c r="Y14" s="3519"/>
      <c r="Z14" s="3761"/>
      <c r="AA14" s="3761"/>
      <c r="AB14" s="3761"/>
      <c r="AC14" s="3761"/>
      <c r="AD14" s="3761"/>
      <c r="AE14" s="3761"/>
      <c r="AF14" s="3761"/>
      <c r="AG14" s="3761"/>
      <c r="AH14" s="3761"/>
      <c r="AI14" s="3761"/>
      <c r="AJ14" s="3761"/>
      <c r="AK14" s="3761"/>
      <c r="AL14" s="3761"/>
      <c r="AM14" s="3761"/>
      <c r="AN14" s="3761"/>
      <c r="AO14" s="3763"/>
      <c r="AP14" s="3766"/>
      <c r="AQ14" s="2914"/>
    </row>
    <row r="15" spans="1:60" s="473" customFormat="1" ht="32.25" customHeight="1" x14ac:dyDescent="0.25">
      <c r="A15" s="482"/>
      <c r="B15" s="2213"/>
      <c r="C15" s="2213"/>
      <c r="D15" s="493"/>
      <c r="E15" s="494"/>
      <c r="F15" s="495"/>
      <c r="G15" s="2241"/>
      <c r="H15" s="2241"/>
      <c r="I15" s="2238"/>
      <c r="J15" s="2795">
        <v>66</v>
      </c>
      <c r="K15" s="3479" t="s">
        <v>1784</v>
      </c>
      <c r="L15" s="3479" t="s">
        <v>1785</v>
      </c>
      <c r="M15" s="3059">
        <v>1</v>
      </c>
      <c r="N15" s="3115"/>
      <c r="O15" s="3498"/>
      <c r="P15" s="3480"/>
      <c r="Q15" s="3758">
        <f>SUM(V15:V21)/$R$11</f>
        <v>0.65406757044353003</v>
      </c>
      <c r="R15" s="3768"/>
      <c r="S15" s="3517"/>
      <c r="T15" s="2776" t="s">
        <v>1786</v>
      </c>
      <c r="U15" s="3769" t="s">
        <v>1787</v>
      </c>
      <c r="V15" s="1598">
        <f>9000000000-9451667+2317639250+481791807</f>
        <v>11789979390</v>
      </c>
      <c r="W15" s="1519">
        <v>81</v>
      </c>
      <c r="X15" s="1599" t="s">
        <v>1788</v>
      </c>
      <c r="Y15" s="3519"/>
      <c r="Z15" s="3761"/>
      <c r="AA15" s="3761"/>
      <c r="AB15" s="3761"/>
      <c r="AC15" s="3761"/>
      <c r="AD15" s="3761"/>
      <c r="AE15" s="3761"/>
      <c r="AF15" s="3761"/>
      <c r="AG15" s="3761"/>
      <c r="AH15" s="3761"/>
      <c r="AI15" s="3761"/>
      <c r="AJ15" s="3761"/>
      <c r="AK15" s="3761"/>
      <c r="AL15" s="3761"/>
      <c r="AM15" s="3761"/>
      <c r="AN15" s="3761"/>
      <c r="AO15" s="3763"/>
      <c r="AP15" s="3766"/>
      <c r="AQ15" s="2914"/>
    </row>
    <row r="16" spans="1:60" s="473" customFormat="1" ht="32.25" customHeight="1" x14ac:dyDescent="0.25">
      <c r="A16" s="482"/>
      <c r="B16" s="2213"/>
      <c r="C16" s="2213"/>
      <c r="D16" s="493"/>
      <c r="E16" s="494"/>
      <c r="F16" s="495"/>
      <c r="G16" s="2241"/>
      <c r="H16" s="2241"/>
      <c r="I16" s="2238"/>
      <c r="J16" s="2914"/>
      <c r="K16" s="3480"/>
      <c r="L16" s="3480"/>
      <c r="M16" s="3060"/>
      <c r="N16" s="3115"/>
      <c r="O16" s="3498"/>
      <c r="P16" s="3480"/>
      <c r="Q16" s="3759"/>
      <c r="R16" s="3768"/>
      <c r="S16" s="3517"/>
      <c r="T16" s="2776"/>
      <c r="U16" s="3769"/>
      <c r="V16" s="1598">
        <f>0+33000000+12217136</f>
        <v>45217136</v>
      </c>
      <c r="W16" s="1519">
        <v>20</v>
      </c>
      <c r="X16" s="1599" t="s">
        <v>61</v>
      </c>
      <c r="Y16" s="3519"/>
      <c r="Z16" s="3761"/>
      <c r="AA16" s="3761"/>
      <c r="AB16" s="3761"/>
      <c r="AC16" s="3761"/>
      <c r="AD16" s="3761"/>
      <c r="AE16" s="3761"/>
      <c r="AF16" s="3761"/>
      <c r="AG16" s="3761"/>
      <c r="AH16" s="3761"/>
      <c r="AI16" s="3761"/>
      <c r="AJ16" s="3761"/>
      <c r="AK16" s="3761"/>
      <c r="AL16" s="3761"/>
      <c r="AM16" s="3761"/>
      <c r="AN16" s="3761"/>
      <c r="AO16" s="3763"/>
      <c r="AP16" s="3766"/>
      <c r="AQ16" s="2914"/>
    </row>
    <row r="17" spans="1:43" s="473" customFormat="1" ht="45.75" customHeight="1" x14ac:dyDescent="0.25">
      <c r="A17" s="482"/>
      <c r="B17" s="2213"/>
      <c r="C17" s="2213"/>
      <c r="D17" s="493"/>
      <c r="E17" s="494"/>
      <c r="F17" s="495"/>
      <c r="G17" s="2241"/>
      <c r="H17" s="2241"/>
      <c r="I17" s="2238"/>
      <c r="J17" s="2914"/>
      <c r="K17" s="3480"/>
      <c r="L17" s="3480"/>
      <c r="M17" s="3060"/>
      <c r="N17" s="3115"/>
      <c r="O17" s="3498"/>
      <c r="P17" s="3480"/>
      <c r="Q17" s="3759"/>
      <c r="R17" s="3768"/>
      <c r="S17" s="3517"/>
      <c r="T17" s="2776"/>
      <c r="U17" s="3769"/>
      <c r="V17" s="1598">
        <f>150000000-91471913.05</f>
        <v>58528086.950000003</v>
      </c>
      <c r="W17" s="1519">
        <v>81</v>
      </c>
      <c r="X17" s="1599" t="s">
        <v>1789</v>
      </c>
      <c r="Y17" s="3519"/>
      <c r="Z17" s="3761"/>
      <c r="AA17" s="3761"/>
      <c r="AB17" s="3761"/>
      <c r="AC17" s="3761"/>
      <c r="AD17" s="3761"/>
      <c r="AE17" s="3761"/>
      <c r="AF17" s="3761"/>
      <c r="AG17" s="3761"/>
      <c r="AH17" s="3761"/>
      <c r="AI17" s="3761"/>
      <c r="AJ17" s="3761"/>
      <c r="AK17" s="3761"/>
      <c r="AL17" s="3761"/>
      <c r="AM17" s="3761"/>
      <c r="AN17" s="3761"/>
      <c r="AO17" s="3763"/>
      <c r="AP17" s="3766"/>
      <c r="AQ17" s="2914"/>
    </row>
    <row r="18" spans="1:43" s="473" customFormat="1" ht="48.75" customHeight="1" x14ac:dyDescent="0.25">
      <c r="A18" s="482"/>
      <c r="B18" s="2213"/>
      <c r="C18" s="2213"/>
      <c r="D18" s="493"/>
      <c r="E18" s="494"/>
      <c r="F18" s="495"/>
      <c r="G18" s="2241"/>
      <c r="H18" s="2241"/>
      <c r="I18" s="2238"/>
      <c r="J18" s="2914"/>
      <c r="K18" s="3480"/>
      <c r="L18" s="3480"/>
      <c r="M18" s="3060"/>
      <c r="N18" s="3115"/>
      <c r="O18" s="3498"/>
      <c r="P18" s="3480"/>
      <c r="Q18" s="3759"/>
      <c r="R18" s="3768"/>
      <c r="S18" s="3517"/>
      <c r="T18" s="2776"/>
      <c r="U18" s="3769"/>
      <c r="V18" s="1598">
        <v>1577857420.24</v>
      </c>
      <c r="W18" s="1519">
        <v>137</v>
      </c>
      <c r="X18" s="1599" t="s">
        <v>1790</v>
      </c>
      <c r="Y18" s="3519"/>
      <c r="Z18" s="3761"/>
      <c r="AA18" s="3761"/>
      <c r="AB18" s="3761"/>
      <c r="AC18" s="3761"/>
      <c r="AD18" s="3761"/>
      <c r="AE18" s="3761"/>
      <c r="AF18" s="3761"/>
      <c r="AG18" s="3761"/>
      <c r="AH18" s="3761"/>
      <c r="AI18" s="3761"/>
      <c r="AJ18" s="3761"/>
      <c r="AK18" s="3761"/>
      <c r="AL18" s="3761"/>
      <c r="AM18" s="3761"/>
      <c r="AN18" s="3761"/>
      <c r="AO18" s="3763"/>
      <c r="AP18" s="3766"/>
      <c r="AQ18" s="2914"/>
    </row>
    <row r="19" spans="1:43" s="473" customFormat="1" ht="41.25" customHeight="1" x14ac:dyDescent="0.25">
      <c r="A19" s="482"/>
      <c r="B19" s="2213"/>
      <c r="C19" s="2213"/>
      <c r="D19" s="493"/>
      <c r="E19" s="494"/>
      <c r="F19" s="495"/>
      <c r="G19" s="2241"/>
      <c r="H19" s="2241"/>
      <c r="I19" s="2238"/>
      <c r="J19" s="2914"/>
      <c r="K19" s="3480"/>
      <c r="L19" s="3480"/>
      <c r="M19" s="3060"/>
      <c r="N19" s="3115"/>
      <c r="O19" s="3498"/>
      <c r="P19" s="3480"/>
      <c r="Q19" s="3759"/>
      <c r="R19" s="3768"/>
      <c r="S19" s="3517"/>
      <c r="T19" s="2776"/>
      <c r="U19" s="3769"/>
      <c r="V19" s="1598">
        <v>909383464.76999998</v>
      </c>
      <c r="W19" s="1519">
        <v>56</v>
      </c>
      <c r="X19" s="1599" t="s">
        <v>1791</v>
      </c>
      <c r="Y19" s="3519"/>
      <c r="Z19" s="3761"/>
      <c r="AA19" s="3761"/>
      <c r="AB19" s="3761"/>
      <c r="AC19" s="3761"/>
      <c r="AD19" s="3761"/>
      <c r="AE19" s="3761"/>
      <c r="AF19" s="3761"/>
      <c r="AG19" s="3761"/>
      <c r="AH19" s="3761"/>
      <c r="AI19" s="3761"/>
      <c r="AJ19" s="3761"/>
      <c r="AK19" s="3761"/>
      <c r="AL19" s="3761"/>
      <c r="AM19" s="3761"/>
      <c r="AN19" s="3761"/>
      <c r="AO19" s="3763"/>
      <c r="AP19" s="3766"/>
      <c r="AQ19" s="2914"/>
    </row>
    <row r="20" spans="1:43" s="473" customFormat="1" ht="33" customHeight="1" x14ac:dyDescent="0.25">
      <c r="A20" s="482"/>
      <c r="B20" s="2213"/>
      <c r="C20" s="2213"/>
      <c r="D20" s="493"/>
      <c r="E20" s="494"/>
      <c r="F20" s="495"/>
      <c r="G20" s="2241"/>
      <c r="H20" s="2241"/>
      <c r="I20" s="2238"/>
      <c r="J20" s="2914"/>
      <c r="K20" s="3480"/>
      <c r="L20" s="3480"/>
      <c r="M20" s="3060"/>
      <c r="N20" s="3115"/>
      <c r="O20" s="3498"/>
      <c r="P20" s="3480"/>
      <c r="Q20" s="3759"/>
      <c r="R20" s="3768"/>
      <c r="S20" s="3517"/>
      <c r="T20" s="2776"/>
      <c r="U20" s="3770" t="s">
        <v>1792</v>
      </c>
      <c r="V20" s="1511">
        <f>285198000-33000000-12217136</f>
        <v>239980864</v>
      </c>
      <c r="W20" s="1519">
        <v>20</v>
      </c>
      <c r="X20" s="1599" t="s">
        <v>61</v>
      </c>
      <c r="Y20" s="3519"/>
      <c r="Z20" s="3761"/>
      <c r="AA20" s="3761"/>
      <c r="AB20" s="3761"/>
      <c r="AC20" s="3761"/>
      <c r="AD20" s="3761"/>
      <c r="AE20" s="3761"/>
      <c r="AF20" s="3761"/>
      <c r="AG20" s="3761"/>
      <c r="AH20" s="3761"/>
      <c r="AI20" s="3761"/>
      <c r="AJ20" s="3761"/>
      <c r="AK20" s="3761"/>
      <c r="AL20" s="3761"/>
      <c r="AM20" s="3761"/>
      <c r="AN20" s="3761"/>
      <c r="AO20" s="3763"/>
      <c r="AP20" s="3766"/>
      <c r="AQ20" s="2914"/>
    </row>
    <row r="21" spans="1:43" s="473" customFormat="1" ht="33.75" customHeight="1" x14ac:dyDescent="0.25">
      <c r="A21" s="482"/>
      <c r="B21" s="2213"/>
      <c r="C21" s="2213"/>
      <c r="D21" s="493"/>
      <c r="E21" s="494"/>
      <c r="F21" s="495"/>
      <c r="G21" s="2241"/>
      <c r="H21" s="2241"/>
      <c r="I21" s="2238"/>
      <c r="J21" s="2773"/>
      <c r="K21" s="3740"/>
      <c r="L21" s="3740"/>
      <c r="M21" s="3061"/>
      <c r="N21" s="3115"/>
      <c r="O21" s="3498"/>
      <c r="P21" s="3480"/>
      <c r="Q21" s="3760"/>
      <c r="R21" s="3768"/>
      <c r="S21" s="3517"/>
      <c r="T21" s="2776"/>
      <c r="U21" s="3771"/>
      <c r="V21" s="1511">
        <v>9451667</v>
      </c>
      <c r="W21" s="1519">
        <v>81</v>
      </c>
      <c r="X21" s="1599" t="s">
        <v>1788</v>
      </c>
      <c r="Y21" s="3519"/>
      <c r="Z21" s="3761"/>
      <c r="AA21" s="3761"/>
      <c r="AB21" s="3761"/>
      <c r="AC21" s="3761"/>
      <c r="AD21" s="3761"/>
      <c r="AE21" s="3761"/>
      <c r="AF21" s="3761"/>
      <c r="AG21" s="3761"/>
      <c r="AH21" s="3761"/>
      <c r="AI21" s="3761"/>
      <c r="AJ21" s="3761"/>
      <c r="AK21" s="3761"/>
      <c r="AL21" s="3761"/>
      <c r="AM21" s="3761"/>
      <c r="AN21" s="3761"/>
      <c r="AO21" s="3763"/>
      <c r="AP21" s="3766"/>
      <c r="AQ21" s="2914"/>
    </row>
    <row r="22" spans="1:43" s="496" customFormat="1" ht="37.5" customHeight="1" x14ac:dyDescent="0.25">
      <c r="A22" s="482"/>
      <c r="B22" s="2213"/>
      <c r="C22" s="2213"/>
      <c r="D22" s="493"/>
      <c r="E22" s="494"/>
      <c r="F22" s="495"/>
      <c r="G22" s="2241"/>
      <c r="H22" s="2241"/>
      <c r="I22" s="2238"/>
      <c r="J22" s="2795">
        <v>67</v>
      </c>
      <c r="K22" s="3479" t="s">
        <v>1793</v>
      </c>
      <c r="L22" s="3479" t="s">
        <v>1794</v>
      </c>
      <c r="M22" s="3059">
        <v>1</v>
      </c>
      <c r="N22" s="3115"/>
      <c r="O22" s="3498"/>
      <c r="P22" s="3480"/>
      <c r="Q22" s="3755">
        <f>SUM(V22:V25)/$R$11</f>
        <v>5.8117888514960081E-2</v>
      </c>
      <c r="R22" s="3768"/>
      <c r="S22" s="3517"/>
      <c r="T22" s="2776" t="s">
        <v>1795</v>
      </c>
      <c r="U22" s="2776" t="s">
        <v>1796</v>
      </c>
      <c r="V22" s="1408">
        <f>860000000-241355304</f>
        <v>618644696</v>
      </c>
      <c r="W22" s="1519">
        <v>20</v>
      </c>
      <c r="X22" s="1599" t="s">
        <v>61</v>
      </c>
      <c r="Y22" s="3519"/>
      <c r="Z22" s="3761"/>
      <c r="AA22" s="3761"/>
      <c r="AB22" s="3761"/>
      <c r="AC22" s="3761"/>
      <c r="AD22" s="3761"/>
      <c r="AE22" s="3761"/>
      <c r="AF22" s="3761"/>
      <c r="AG22" s="3761"/>
      <c r="AH22" s="3761"/>
      <c r="AI22" s="3761"/>
      <c r="AJ22" s="3761"/>
      <c r="AK22" s="3761"/>
      <c r="AL22" s="3761"/>
      <c r="AM22" s="3761"/>
      <c r="AN22" s="3761"/>
      <c r="AO22" s="3763"/>
      <c r="AP22" s="3766"/>
      <c r="AQ22" s="2914"/>
    </row>
    <row r="23" spans="1:43" s="496" customFormat="1" ht="37.5" customHeight="1" x14ac:dyDescent="0.25">
      <c r="A23" s="482"/>
      <c r="B23" s="2213"/>
      <c r="C23" s="2213"/>
      <c r="D23" s="493"/>
      <c r="E23" s="494"/>
      <c r="F23" s="495"/>
      <c r="G23" s="2241"/>
      <c r="H23" s="2241"/>
      <c r="I23" s="2238"/>
      <c r="J23" s="2914"/>
      <c r="K23" s="3480"/>
      <c r="L23" s="3480"/>
      <c r="M23" s="3060"/>
      <c r="N23" s="3115"/>
      <c r="O23" s="3498"/>
      <c r="P23" s="3480"/>
      <c r="Q23" s="3756"/>
      <c r="R23" s="3768"/>
      <c r="S23" s="3517"/>
      <c r="T23" s="2776"/>
      <c r="U23" s="2776"/>
      <c r="V23" s="1408">
        <v>241355304</v>
      </c>
      <c r="W23" s="1519">
        <v>91</v>
      </c>
      <c r="X23" s="1599" t="s">
        <v>1783</v>
      </c>
      <c r="Y23" s="3519"/>
      <c r="Z23" s="3761"/>
      <c r="AA23" s="3761"/>
      <c r="AB23" s="3761"/>
      <c r="AC23" s="3761"/>
      <c r="AD23" s="3761"/>
      <c r="AE23" s="3761"/>
      <c r="AF23" s="3761"/>
      <c r="AG23" s="3761"/>
      <c r="AH23" s="3761"/>
      <c r="AI23" s="3761"/>
      <c r="AJ23" s="3761"/>
      <c r="AK23" s="3761"/>
      <c r="AL23" s="3761"/>
      <c r="AM23" s="3761"/>
      <c r="AN23" s="3761"/>
      <c r="AO23" s="3763"/>
      <c r="AP23" s="3766"/>
      <c r="AQ23" s="2914"/>
    </row>
    <row r="24" spans="1:43" s="496" customFormat="1" ht="37.5" customHeight="1" x14ac:dyDescent="0.25">
      <c r="A24" s="482"/>
      <c r="B24" s="2213"/>
      <c r="C24" s="2213"/>
      <c r="D24" s="493"/>
      <c r="E24" s="494"/>
      <c r="F24" s="495"/>
      <c r="G24" s="2241"/>
      <c r="H24" s="2241"/>
      <c r="I24" s="2238"/>
      <c r="J24" s="2914"/>
      <c r="K24" s="3480"/>
      <c r="L24" s="3480"/>
      <c r="M24" s="3060"/>
      <c r="N24" s="3115"/>
      <c r="O24" s="3498"/>
      <c r="P24" s="3480"/>
      <c r="Q24" s="3756"/>
      <c r="R24" s="3768"/>
      <c r="S24" s="3517"/>
      <c r="T24" s="2776"/>
      <c r="U24" s="2776"/>
      <c r="V24" s="1408">
        <v>200000000</v>
      </c>
      <c r="W24" s="2187">
        <v>35</v>
      </c>
      <c r="X24" s="1380" t="s">
        <v>1781</v>
      </c>
      <c r="Y24" s="3519"/>
      <c r="Z24" s="3761"/>
      <c r="AA24" s="3761"/>
      <c r="AB24" s="3761"/>
      <c r="AC24" s="3761"/>
      <c r="AD24" s="3761"/>
      <c r="AE24" s="3761"/>
      <c r="AF24" s="3761"/>
      <c r="AG24" s="3761"/>
      <c r="AH24" s="3761"/>
      <c r="AI24" s="3761"/>
      <c r="AJ24" s="3761"/>
      <c r="AK24" s="3761"/>
      <c r="AL24" s="3761"/>
      <c r="AM24" s="3761"/>
      <c r="AN24" s="3761"/>
      <c r="AO24" s="3763"/>
      <c r="AP24" s="3766"/>
      <c r="AQ24" s="2914"/>
    </row>
    <row r="25" spans="1:43" s="473" customFormat="1" ht="37.5" customHeight="1" x14ac:dyDescent="0.25">
      <c r="A25" s="482"/>
      <c r="B25" s="2213"/>
      <c r="C25" s="2213"/>
      <c r="D25" s="493"/>
      <c r="E25" s="494"/>
      <c r="F25" s="495"/>
      <c r="G25" s="2241"/>
      <c r="H25" s="2241"/>
      <c r="I25" s="2238"/>
      <c r="J25" s="2914"/>
      <c r="K25" s="3480"/>
      <c r="L25" s="3480"/>
      <c r="M25" s="3060"/>
      <c r="N25" s="3138"/>
      <c r="O25" s="3498"/>
      <c r="P25" s="3740"/>
      <c r="Q25" s="3757"/>
      <c r="R25" s="3768"/>
      <c r="S25" s="3517"/>
      <c r="T25" s="2776"/>
      <c r="U25" s="2776"/>
      <c r="V25" s="1407">
        <f>0+240000000</f>
        <v>240000000</v>
      </c>
      <c r="W25" s="1135">
        <v>88</v>
      </c>
      <c r="X25" s="1381" t="s">
        <v>942</v>
      </c>
      <c r="Y25" s="3519"/>
      <c r="Z25" s="3761"/>
      <c r="AA25" s="3761"/>
      <c r="AB25" s="3761"/>
      <c r="AC25" s="3761"/>
      <c r="AD25" s="3761"/>
      <c r="AE25" s="3761"/>
      <c r="AF25" s="3761"/>
      <c r="AG25" s="3761"/>
      <c r="AH25" s="3761"/>
      <c r="AI25" s="3761"/>
      <c r="AJ25" s="3761"/>
      <c r="AK25" s="3761"/>
      <c r="AL25" s="3761"/>
      <c r="AM25" s="3761"/>
      <c r="AN25" s="3761"/>
      <c r="AO25" s="3764"/>
      <c r="AP25" s="3767"/>
      <c r="AQ25" s="2914"/>
    </row>
    <row r="26" spans="1:43" s="473" customFormat="1" ht="19.5" customHeight="1" x14ac:dyDescent="0.25">
      <c r="A26" s="497"/>
      <c r="B26" s="498"/>
      <c r="C26" s="498"/>
      <c r="D26" s="497"/>
      <c r="E26" s="498"/>
      <c r="F26" s="499"/>
      <c r="G26" s="500">
        <v>17</v>
      </c>
      <c r="H26" s="267" t="s">
        <v>1797</v>
      </c>
      <c r="I26" s="267"/>
      <c r="J26" s="162"/>
      <c r="K26" s="157"/>
      <c r="L26" s="157"/>
      <c r="M26" s="162"/>
      <c r="N26" s="418"/>
      <c r="O26" s="162"/>
      <c r="P26" s="157"/>
      <c r="Q26" s="162"/>
      <c r="R26" s="332"/>
      <c r="S26" s="157"/>
      <c r="T26" s="1127"/>
      <c r="U26" s="1127"/>
      <c r="V26" s="1129"/>
      <c r="W26" s="1390"/>
      <c r="X26" s="1128"/>
      <c r="Y26" s="162"/>
      <c r="Z26" s="162"/>
      <c r="AA26" s="162"/>
      <c r="AB26" s="162"/>
      <c r="AC26" s="162"/>
      <c r="AD26" s="162"/>
      <c r="AE26" s="162"/>
      <c r="AF26" s="162"/>
      <c r="AG26" s="162"/>
      <c r="AH26" s="162"/>
      <c r="AI26" s="162"/>
      <c r="AJ26" s="162"/>
      <c r="AK26" s="162"/>
      <c r="AL26" s="162"/>
      <c r="AM26" s="162"/>
      <c r="AN26" s="491"/>
      <c r="AO26" s="491"/>
      <c r="AP26" s="491"/>
      <c r="AQ26" s="501"/>
    </row>
    <row r="27" spans="1:43" s="473" customFormat="1" ht="42" customHeight="1" x14ac:dyDescent="0.25">
      <c r="A27" s="502"/>
      <c r="B27" s="503"/>
      <c r="C27" s="503"/>
      <c r="D27" s="504"/>
      <c r="E27" s="233"/>
      <c r="F27" s="233"/>
      <c r="G27" s="505"/>
      <c r="H27" s="506"/>
      <c r="I27" s="507"/>
      <c r="J27" s="3772">
        <v>68</v>
      </c>
      <c r="K27" s="3479" t="s">
        <v>1798</v>
      </c>
      <c r="L27" s="3059" t="s">
        <v>1799</v>
      </c>
      <c r="M27" s="2804">
        <v>4500</v>
      </c>
      <c r="N27" s="3060" t="s">
        <v>1800</v>
      </c>
      <c r="O27" s="3060" t="s">
        <v>1801</v>
      </c>
      <c r="P27" s="3480" t="s">
        <v>1802</v>
      </c>
      <c r="Q27" s="3777">
        <f>SUM(V27:V28)/R27</f>
        <v>2.2571978928125899E-2</v>
      </c>
      <c r="R27" s="3768">
        <f>SUM(V27:V36)</f>
        <v>1107567931</v>
      </c>
      <c r="S27" s="3480" t="s">
        <v>1803</v>
      </c>
      <c r="T27" s="3740" t="s">
        <v>1804</v>
      </c>
      <c r="U27" s="3770" t="s">
        <v>1805</v>
      </c>
      <c r="V27" s="1130">
        <v>5000000</v>
      </c>
      <c r="W27" s="1131">
        <v>20</v>
      </c>
      <c r="X27" s="1382" t="s">
        <v>61</v>
      </c>
      <c r="Y27" s="3782"/>
      <c r="Z27" s="3761"/>
      <c r="AA27" s="3761"/>
      <c r="AB27" s="3761"/>
      <c r="AC27" s="3761"/>
      <c r="AD27" s="3761">
        <v>1762</v>
      </c>
      <c r="AE27" s="3761">
        <v>101</v>
      </c>
      <c r="AF27" s="3761">
        <v>277</v>
      </c>
      <c r="AG27" s="3761">
        <v>0</v>
      </c>
      <c r="AH27" s="3761">
        <v>0</v>
      </c>
      <c r="AI27" s="3761">
        <v>0</v>
      </c>
      <c r="AJ27" s="3761">
        <v>0</v>
      </c>
      <c r="AK27" s="3761">
        <v>2907</v>
      </c>
      <c r="AL27" s="3761">
        <v>2589</v>
      </c>
      <c r="AM27" s="3761">
        <v>2954</v>
      </c>
      <c r="AN27" s="3761">
        <v>10590</v>
      </c>
      <c r="AO27" s="3762">
        <v>43486</v>
      </c>
      <c r="AP27" s="3762">
        <v>43791</v>
      </c>
      <c r="AQ27" s="2914" t="s">
        <v>1806</v>
      </c>
    </row>
    <row r="28" spans="1:43" s="473" customFormat="1" ht="33" customHeight="1" x14ac:dyDescent="0.25">
      <c r="A28" s="502"/>
      <c r="B28" s="503"/>
      <c r="C28" s="503"/>
      <c r="D28" s="504"/>
      <c r="E28" s="233"/>
      <c r="F28" s="233"/>
      <c r="G28" s="504"/>
      <c r="H28" s="233"/>
      <c r="I28" s="509"/>
      <c r="J28" s="3773"/>
      <c r="K28" s="3740"/>
      <c r="L28" s="3061"/>
      <c r="M28" s="2968"/>
      <c r="N28" s="3060"/>
      <c r="O28" s="3060"/>
      <c r="P28" s="3480"/>
      <c r="Q28" s="3778"/>
      <c r="R28" s="3768"/>
      <c r="S28" s="3480"/>
      <c r="T28" s="3052"/>
      <c r="U28" s="3771"/>
      <c r="V28" s="1655">
        <f>0+20000000</f>
        <v>20000000</v>
      </c>
      <c r="W28" s="1124">
        <v>88</v>
      </c>
      <c r="X28" s="2262" t="s">
        <v>942</v>
      </c>
      <c r="Y28" s="3782"/>
      <c r="Z28" s="3761"/>
      <c r="AA28" s="3761"/>
      <c r="AB28" s="3761"/>
      <c r="AC28" s="3761"/>
      <c r="AD28" s="3761"/>
      <c r="AE28" s="3761"/>
      <c r="AF28" s="3761"/>
      <c r="AG28" s="3761"/>
      <c r="AH28" s="3761"/>
      <c r="AI28" s="3761"/>
      <c r="AJ28" s="3761"/>
      <c r="AK28" s="3761"/>
      <c r="AL28" s="3761"/>
      <c r="AM28" s="3761"/>
      <c r="AN28" s="3761"/>
      <c r="AO28" s="3763"/>
      <c r="AP28" s="3763"/>
      <c r="AQ28" s="2914"/>
    </row>
    <row r="29" spans="1:43" s="473" customFormat="1" ht="68.25" customHeight="1" x14ac:dyDescent="0.25">
      <c r="A29" s="502"/>
      <c r="B29" s="503"/>
      <c r="C29" s="503"/>
      <c r="D29" s="504"/>
      <c r="E29" s="233"/>
      <c r="F29" s="233"/>
      <c r="G29" s="504"/>
      <c r="H29" s="233"/>
      <c r="I29" s="509"/>
      <c r="J29" s="510">
        <v>69</v>
      </c>
      <c r="K29" s="425" t="s">
        <v>1807</v>
      </c>
      <c r="L29" s="508" t="s">
        <v>1808</v>
      </c>
      <c r="M29" s="2191">
        <v>1</v>
      </c>
      <c r="N29" s="3060"/>
      <c r="O29" s="3060"/>
      <c r="P29" s="3480"/>
      <c r="Q29" s="2257">
        <f>+V29/R27</f>
        <v>4.5143957856251795E-3</v>
      </c>
      <c r="R29" s="3768"/>
      <c r="S29" s="3480"/>
      <c r="T29" s="3052"/>
      <c r="U29" s="2189" t="s">
        <v>1809</v>
      </c>
      <c r="V29" s="1600">
        <v>5000000</v>
      </c>
      <c r="W29" s="2236">
        <v>20</v>
      </c>
      <c r="X29" s="1383" t="s">
        <v>61</v>
      </c>
      <c r="Y29" s="3761"/>
      <c r="Z29" s="3761"/>
      <c r="AA29" s="3761"/>
      <c r="AB29" s="3761"/>
      <c r="AC29" s="3761"/>
      <c r="AD29" s="3761"/>
      <c r="AE29" s="3761"/>
      <c r="AF29" s="3761"/>
      <c r="AG29" s="3761"/>
      <c r="AH29" s="3761"/>
      <c r="AI29" s="3761"/>
      <c r="AJ29" s="3761"/>
      <c r="AK29" s="3761"/>
      <c r="AL29" s="3761"/>
      <c r="AM29" s="3761"/>
      <c r="AN29" s="3761"/>
      <c r="AO29" s="3763"/>
      <c r="AP29" s="3763"/>
      <c r="AQ29" s="2914"/>
    </row>
    <row r="30" spans="1:43" s="473" customFormat="1" ht="56.25" customHeight="1" x14ac:dyDescent="0.25">
      <c r="A30" s="502"/>
      <c r="B30" s="503"/>
      <c r="C30" s="503"/>
      <c r="D30" s="504"/>
      <c r="E30" s="233"/>
      <c r="F30" s="233"/>
      <c r="G30" s="504"/>
      <c r="H30" s="233"/>
      <c r="I30" s="509"/>
      <c r="J30" s="3781">
        <v>70</v>
      </c>
      <c r="K30" s="3479" t="s">
        <v>1810</v>
      </c>
      <c r="L30" s="3052" t="s">
        <v>1811</v>
      </c>
      <c r="M30" s="3728">
        <v>490</v>
      </c>
      <c r="N30" s="3060"/>
      <c r="O30" s="3060"/>
      <c r="P30" s="3480"/>
      <c r="Q30" s="3777">
        <f>+(V30+V31)/R27</f>
        <v>9.0287915712503591E-3</v>
      </c>
      <c r="R30" s="3768"/>
      <c r="S30" s="3480"/>
      <c r="T30" s="3052"/>
      <c r="U30" s="2190" t="s">
        <v>1812</v>
      </c>
      <c r="V30" s="1622">
        <v>10000000</v>
      </c>
      <c r="W30" s="2250">
        <v>20</v>
      </c>
      <c r="X30" s="1384" t="s">
        <v>61</v>
      </c>
      <c r="Y30" s="3761"/>
      <c r="Z30" s="3761"/>
      <c r="AA30" s="3761"/>
      <c r="AB30" s="3761"/>
      <c r="AC30" s="3761"/>
      <c r="AD30" s="3761"/>
      <c r="AE30" s="3761"/>
      <c r="AF30" s="3761"/>
      <c r="AG30" s="3761"/>
      <c r="AH30" s="3761"/>
      <c r="AI30" s="3761"/>
      <c r="AJ30" s="3761"/>
      <c r="AK30" s="3761"/>
      <c r="AL30" s="3761"/>
      <c r="AM30" s="3761"/>
      <c r="AN30" s="3761"/>
      <c r="AO30" s="3763"/>
      <c r="AP30" s="3763"/>
      <c r="AQ30" s="2914"/>
    </row>
    <row r="31" spans="1:43" s="473" customFormat="1" ht="80.25" customHeight="1" x14ac:dyDescent="0.25">
      <c r="A31" s="502"/>
      <c r="B31" s="503"/>
      <c r="C31" s="503"/>
      <c r="D31" s="504"/>
      <c r="E31" s="233"/>
      <c r="F31" s="233"/>
      <c r="G31" s="504"/>
      <c r="H31" s="233"/>
      <c r="I31" s="509"/>
      <c r="J31" s="3782"/>
      <c r="K31" s="3480"/>
      <c r="L31" s="3052"/>
      <c r="M31" s="3783"/>
      <c r="N31" s="3060"/>
      <c r="O31" s="3060"/>
      <c r="P31" s="3480"/>
      <c r="Q31" s="3784"/>
      <c r="R31" s="3768"/>
      <c r="S31" s="3480"/>
      <c r="T31" s="3052"/>
      <c r="U31" s="2173" t="s">
        <v>1813</v>
      </c>
      <c r="V31" s="2256"/>
      <c r="W31" s="2250"/>
      <c r="X31" s="1385"/>
      <c r="Y31" s="3761"/>
      <c r="Z31" s="3761"/>
      <c r="AA31" s="3761"/>
      <c r="AB31" s="3761"/>
      <c r="AC31" s="3761"/>
      <c r="AD31" s="3761"/>
      <c r="AE31" s="3761"/>
      <c r="AF31" s="3761"/>
      <c r="AG31" s="3761"/>
      <c r="AH31" s="3761"/>
      <c r="AI31" s="3761"/>
      <c r="AJ31" s="3761"/>
      <c r="AK31" s="3761"/>
      <c r="AL31" s="3761"/>
      <c r="AM31" s="3761"/>
      <c r="AN31" s="3761"/>
      <c r="AO31" s="3763"/>
      <c r="AP31" s="3763"/>
      <c r="AQ31" s="2914"/>
    </row>
    <row r="32" spans="1:43" s="473" customFormat="1" ht="95.25" customHeight="1" x14ac:dyDescent="0.25">
      <c r="A32" s="502"/>
      <c r="B32" s="503"/>
      <c r="C32" s="503"/>
      <c r="D32" s="504"/>
      <c r="E32" s="233"/>
      <c r="F32" s="233"/>
      <c r="G32" s="504"/>
      <c r="H32" s="233"/>
      <c r="I32" s="509"/>
      <c r="J32" s="510">
        <v>71</v>
      </c>
      <c r="K32" s="425" t="s">
        <v>1814</v>
      </c>
      <c r="L32" s="425" t="s">
        <v>1815</v>
      </c>
      <c r="M32" s="2228">
        <v>2570</v>
      </c>
      <c r="N32" s="3060"/>
      <c r="O32" s="3060"/>
      <c r="P32" s="3480"/>
      <c r="Q32" s="2257">
        <f>+V32/R27</f>
        <v>0</v>
      </c>
      <c r="R32" s="3768"/>
      <c r="S32" s="3480"/>
      <c r="T32" s="3052"/>
      <c r="U32" s="2190" t="s">
        <v>1816</v>
      </c>
      <c r="V32" s="2261">
        <v>0</v>
      </c>
      <c r="W32" s="2250"/>
      <c r="X32" s="1385"/>
      <c r="Y32" s="3761"/>
      <c r="Z32" s="3761"/>
      <c r="AA32" s="3761"/>
      <c r="AB32" s="3761"/>
      <c r="AC32" s="3761"/>
      <c r="AD32" s="3761"/>
      <c r="AE32" s="3761"/>
      <c r="AF32" s="3761"/>
      <c r="AG32" s="3761">
        <v>0</v>
      </c>
      <c r="AH32" s="3761"/>
      <c r="AI32" s="3761"/>
      <c r="AJ32" s="3761"/>
      <c r="AK32" s="3761"/>
      <c r="AL32" s="3761"/>
      <c r="AM32" s="3761"/>
      <c r="AN32" s="3761"/>
      <c r="AO32" s="3763"/>
      <c r="AP32" s="3763"/>
      <c r="AQ32" s="2914"/>
    </row>
    <row r="33" spans="1:43" s="473" customFormat="1" ht="37.5" customHeight="1" x14ac:dyDescent="0.25">
      <c r="A33" s="502"/>
      <c r="B33" s="503"/>
      <c r="C33" s="503"/>
      <c r="D33" s="504"/>
      <c r="E33" s="233"/>
      <c r="F33" s="233"/>
      <c r="G33" s="504"/>
      <c r="H33" s="233"/>
      <c r="I33" s="509"/>
      <c r="J33" s="3772">
        <v>72</v>
      </c>
      <c r="K33" s="3728" t="s">
        <v>1817</v>
      </c>
      <c r="L33" s="3786" t="s">
        <v>1818</v>
      </c>
      <c r="M33" s="3788">
        <v>455</v>
      </c>
      <c r="N33" s="3060"/>
      <c r="O33" s="3060"/>
      <c r="P33" s="3480"/>
      <c r="Q33" s="3777">
        <f>SUM(V33:V34)/R27</f>
        <v>4.9018430816231355E-2</v>
      </c>
      <c r="R33" s="3768"/>
      <c r="S33" s="3480"/>
      <c r="T33" s="3052"/>
      <c r="U33" s="3779" t="s">
        <v>1819</v>
      </c>
      <c r="V33" s="1601">
        <v>5000000</v>
      </c>
      <c r="W33" s="2250">
        <v>20</v>
      </c>
      <c r="X33" s="1384" t="s">
        <v>61</v>
      </c>
      <c r="Y33" s="3761"/>
      <c r="Z33" s="3761"/>
      <c r="AA33" s="3761"/>
      <c r="AB33" s="3761"/>
      <c r="AC33" s="3761"/>
      <c r="AD33" s="3761"/>
      <c r="AE33" s="3761"/>
      <c r="AF33" s="3761"/>
      <c r="AG33" s="3761"/>
      <c r="AH33" s="3761"/>
      <c r="AI33" s="3761"/>
      <c r="AJ33" s="3761"/>
      <c r="AK33" s="3761"/>
      <c r="AL33" s="3761"/>
      <c r="AM33" s="3761"/>
      <c r="AN33" s="3761"/>
      <c r="AO33" s="3763"/>
      <c r="AP33" s="3763"/>
      <c r="AQ33" s="2914"/>
    </row>
    <row r="34" spans="1:43" s="473" customFormat="1" ht="39.75" customHeight="1" x14ac:dyDescent="0.25">
      <c r="A34" s="502"/>
      <c r="B34" s="503"/>
      <c r="C34" s="503"/>
      <c r="D34" s="504"/>
      <c r="E34" s="233"/>
      <c r="F34" s="233"/>
      <c r="G34" s="504"/>
      <c r="H34" s="233"/>
      <c r="I34" s="509"/>
      <c r="J34" s="3773"/>
      <c r="K34" s="3785"/>
      <c r="L34" s="3787"/>
      <c r="M34" s="3789"/>
      <c r="N34" s="3060"/>
      <c r="O34" s="3060"/>
      <c r="P34" s="3480"/>
      <c r="Q34" s="3778"/>
      <c r="R34" s="3768"/>
      <c r="S34" s="3480"/>
      <c r="T34" s="3052"/>
      <c r="U34" s="3780"/>
      <c r="V34" s="1409">
        <v>49291242</v>
      </c>
      <c r="W34" s="1410">
        <v>25</v>
      </c>
      <c r="X34" s="1411" t="s">
        <v>1820</v>
      </c>
      <c r="Y34" s="3761"/>
      <c r="Z34" s="3761"/>
      <c r="AA34" s="3761"/>
      <c r="AB34" s="3761"/>
      <c r="AC34" s="3761"/>
      <c r="AD34" s="3761"/>
      <c r="AE34" s="3761"/>
      <c r="AF34" s="3761"/>
      <c r="AG34" s="3761"/>
      <c r="AH34" s="3761"/>
      <c r="AI34" s="3761"/>
      <c r="AJ34" s="3761"/>
      <c r="AK34" s="3761"/>
      <c r="AL34" s="3761"/>
      <c r="AM34" s="3761"/>
      <c r="AN34" s="3761"/>
      <c r="AO34" s="3763"/>
      <c r="AP34" s="3763"/>
      <c r="AQ34" s="2914"/>
    </row>
    <row r="35" spans="1:43" s="473" customFormat="1" ht="64.5" customHeight="1" x14ac:dyDescent="0.25">
      <c r="A35" s="502"/>
      <c r="B35" s="503"/>
      <c r="C35" s="503"/>
      <c r="D35" s="504"/>
      <c r="E35" s="233"/>
      <c r="F35" s="233"/>
      <c r="G35" s="504"/>
      <c r="H35" s="233"/>
      <c r="I35" s="509"/>
      <c r="J35" s="3772">
        <v>73</v>
      </c>
      <c r="K35" s="3775" t="s">
        <v>1821</v>
      </c>
      <c r="L35" s="580"/>
      <c r="M35" s="2234"/>
      <c r="N35" s="3060"/>
      <c r="O35" s="3060"/>
      <c r="P35" s="3480"/>
      <c r="Q35" s="3777">
        <f>SUM(V35:V36)/R27</f>
        <v>0.91486640289876719</v>
      </c>
      <c r="R35" s="3768"/>
      <c r="S35" s="3480"/>
      <c r="T35" s="3052"/>
      <c r="U35" s="1602" t="s">
        <v>1822</v>
      </c>
      <c r="V35" s="1603">
        <f>1508000000-200000000-5000000-4411045-490312266</f>
        <v>808276689</v>
      </c>
      <c r="W35" s="1410">
        <v>25</v>
      </c>
      <c r="X35" s="1411" t="s">
        <v>1823</v>
      </c>
      <c r="Y35" s="3761"/>
      <c r="Z35" s="3761"/>
      <c r="AA35" s="3761"/>
      <c r="AB35" s="3761"/>
      <c r="AC35" s="3761"/>
      <c r="AD35" s="3761"/>
      <c r="AE35" s="3761"/>
      <c r="AF35" s="3761"/>
      <c r="AG35" s="3761"/>
      <c r="AH35" s="3761"/>
      <c r="AI35" s="3761"/>
      <c r="AJ35" s="3761"/>
      <c r="AK35" s="3761"/>
      <c r="AL35" s="3761"/>
      <c r="AM35" s="3761"/>
      <c r="AN35" s="3761"/>
      <c r="AO35" s="3763"/>
      <c r="AP35" s="3763"/>
      <c r="AQ35" s="2914"/>
    </row>
    <row r="36" spans="1:43" s="473" customFormat="1" ht="66" customHeight="1" x14ac:dyDescent="0.25">
      <c r="A36" s="502"/>
      <c r="B36" s="503"/>
      <c r="C36" s="503"/>
      <c r="D36" s="504"/>
      <c r="E36" s="233"/>
      <c r="F36" s="233"/>
      <c r="G36" s="504"/>
      <c r="H36" s="233"/>
      <c r="I36" s="509"/>
      <c r="J36" s="3774"/>
      <c r="K36" s="3776"/>
      <c r="L36" s="511" t="s">
        <v>1037</v>
      </c>
      <c r="M36" s="2234">
        <v>1</v>
      </c>
      <c r="N36" s="3060"/>
      <c r="O36" s="3060"/>
      <c r="P36" s="3480"/>
      <c r="Q36" s="3778"/>
      <c r="R36" s="3768"/>
      <c r="S36" s="3480"/>
      <c r="T36" s="3530"/>
      <c r="U36" s="1417" t="s">
        <v>1824</v>
      </c>
      <c r="V36" s="1604">
        <f>0+200000000+5000000</f>
        <v>205000000</v>
      </c>
      <c r="W36" s="1410">
        <v>25</v>
      </c>
      <c r="X36" s="1411" t="s">
        <v>1823</v>
      </c>
      <c r="Y36" s="3773"/>
      <c r="Z36" s="3773"/>
      <c r="AA36" s="3773"/>
      <c r="AB36" s="3773"/>
      <c r="AC36" s="3773"/>
      <c r="AD36" s="3773"/>
      <c r="AE36" s="3773"/>
      <c r="AF36" s="3773"/>
      <c r="AG36" s="3773"/>
      <c r="AH36" s="3773"/>
      <c r="AI36" s="3773"/>
      <c r="AJ36" s="3773"/>
      <c r="AK36" s="3773"/>
      <c r="AL36" s="3773"/>
      <c r="AM36" s="3773"/>
      <c r="AN36" s="3773"/>
      <c r="AO36" s="3764"/>
      <c r="AP36" s="3764"/>
      <c r="AQ36" s="2773"/>
    </row>
    <row r="37" spans="1:43" s="473" customFormat="1" ht="33" customHeight="1" x14ac:dyDescent="0.25">
      <c r="A37" s="502"/>
      <c r="B37" s="503"/>
      <c r="C37" s="503"/>
      <c r="D37" s="3797"/>
      <c r="E37" s="233"/>
      <c r="F37" s="3799"/>
      <c r="G37" s="3797"/>
      <c r="H37" s="233"/>
      <c r="I37" s="3801"/>
      <c r="J37" s="3803">
        <v>74</v>
      </c>
      <c r="K37" s="3804" t="s">
        <v>1825</v>
      </c>
      <c r="L37" s="3790" t="s">
        <v>1826</v>
      </c>
      <c r="M37" s="3788">
        <v>2232</v>
      </c>
      <c r="N37" s="3049" t="s">
        <v>2561</v>
      </c>
      <c r="O37" s="3049" t="s">
        <v>1827</v>
      </c>
      <c r="P37" s="3052" t="s">
        <v>1828</v>
      </c>
      <c r="Q37" s="3794">
        <v>1</v>
      </c>
      <c r="R37" s="3805">
        <f>SUM(V37:V41)</f>
        <v>146385422990.29001</v>
      </c>
      <c r="S37" s="3480" t="s">
        <v>1829</v>
      </c>
      <c r="T37" s="3480" t="s">
        <v>1830</v>
      </c>
      <c r="U37" s="2971" t="s">
        <v>1831</v>
      </c>
      <c r="V37" s="1408">
        <f>120411000000-687241301-236869760-230956200</f>
        <v>119255932739</v>
      </c>
      <c r="W37" s="1124">
        <v>25</v>
      </c>
      <c r="X37" s="2262" t="s">
        <v>1823</v>
      </c>
      <c r="Y37" s="3806">
        <v>20555</v>
      </c>
      <c r="Z37" s="3728">
        <v>21361</v>
      </c>
      <c r="AA37" s="3788">
        <v>30460</v>
      </c>
      <c r="AB37" s="3788">
        <v>9593</v>
      </c>
      <c r="AC37" s="3788">
        <v>1762</v>
      </c>
      <c r="AD37" s="3788">
        <v>101</v>
      </c>
      <c r="AE37" s="3788">
        <v>308</v>
      </c>
      <c r="AF37" s="3788">
        <v>277</v>
      </c>
      <c r="AG37" s="3788">
        <v>0</v>
      </c>
      <c r="AH37" s="3788">
        <v>0</v>
      </c>
      <c r="AI37" s="3788">
        <v>0</v>
      </c>
      <c r="AJ37" s="3788">
        <v>0</v>
      </c>
      <c r="AK37" s="3807">
        <v>2907</v>
      </c>
      <c r="AL37" s="3807">
        <v>2589</v>
      </c>
      <c r="AM37" s="3807">
        <v>2954</v>
      </c>
      <c r="AN37" s="3810">
        <v>41916</v>
      </c>
      <c r="AO37" s="3813">
        <v>43466</v>
      </c>
      <c r="AP37" s="3813">
        <v>43830</v>
      </c>
      <c r="AQ37" s="3816" t="s">
        <v>1806</v>
      </c>
    </row>
    <row r="38" spans="1:43" s="473" customFormat="1" ht="39" customHeight="1" x14ac:dyDescent="0.25">
      <c r="A38" s="502"/>
      <c r="B38" s="503"/>
      <c r="C38" s="503"/>
      <c r="D38" s="3797"/>
      <c r="E38" s="233"/>
      <c r="F38" s="3799"/>
      <c r="G38" s="3797"/>
      <c r="H38" s="233"/>
      <c r="I38" s="3801"/>
      <c r="J38" s="3803"/>
      <c r="K38" s="3804"/>
      <c r="L38" s="3791"/>
      <c r="M38" s="3793"/>
      <c r="N38" s="3049"/>
      <c r="O38" s="3049"/>
      <c r="P38" s="3052"/>
      <c r="Q38" s="3795"/>
      <c r="R38" s="3805"/>
      <c r="S38" s="3480"/>
      <c r="T38" s="3480"/>
      <c r="U38" s="2971"/>
      <c r="V38" s="1408">
        <f>22161000000+2749098635-1190979714-1894288307</f>
        <v>21824830614</v>
      </c>
      <c r="W38" s="1124">
        <v>26</v>
      </c>
      <c r="X38" s="2263" t="s">
        <v>1832</v>
      </c>
      <c r="Y38" s="3799"/>
      <c r="Z38" s="3783"/>
      <c r="AA38" s="3793"/>
      <c r="AB38" s="3793"/>
      <c r="AC38" s="3793"/>
      <c r="AD38" s="3793"/>
      <c r="AE38" s="3793"/>
      <c r="AF38" s="3793"/>
      <c r="AG38" s="3793"/>
      <c r="AH38" s="3793"/>
      <c r="AI38" s="3793"/>
      <c r="AJ38" s="3793"/>
      <c r="AK38" s="3808"/>
      <c r="AL38" s="3808"/>
      <c r="AM38" s="3808"/>
      <c r="AN38" s="3811"/>
      <c r="AO38" s="3814"/>
      <c r="AP38" s="3814"/>
      <c r="AQ38" s="3817"/>
    </row>
    <row r="39" spans="1:43" s="473" customFormat="1" ht="40.5" customHeight="1" x14ac:dyDescent="0.25">
      <c r="A39" s="502"/>
      <c r="B39" s="503"/>
      <c r="C39" s="503"/>
      <c r="D39" s="3797"/>
      <c r="E39" s="233"/>
      <c r="F39" s="3799"/>
      <c r="G39" s="3797"/>
      <c r="H39" s="233"/>
      <c r="I39" s="3801"/>
      <c r="J39" s="3803"/>
      <c r="K39" s="3804"/>
      <c r="L39" s="3791"/>
      <c r="M39" s="3793"/>
      <c r="N39" s="3049"/>
      <c r="O39" s="3049"/>
      <c r="P39" s="3052"/>
      <c r="Q39" s="3795"/>
      <c r="R39" s="3805"/>
      <c r="S39" s="3480"/>
      <c r="T39" s="3480"/>
      <c r="U39" s="2971"/>
      <c r="V39" s="1408">
        <f>742459176.29-58483263</f>
        <v>683975913.28999996</v>
      </c>
      <c r="W39" s="2255">
        <v>9</v>
      </c>
      <c r="X39" s="2263" t="s">
        <v>1833</v>
      </c>
      <c r="Y39" s="3799"/>
      <c r="Z39" s="3783"/>
      <c r="AA39" s="3793"/>
      <c r="AB39" s="3793"/>
      <c r="AC39" s="3793"/>
      <c r="AD39" s="3793"/>
      <c r="AE39" s="3793"/>
      <c r="AF39" s="3793"/>
      <c r="AG39" s="3793"/>
      <c r="AH39" s="3793"/>
      <c r="AI39" s="3793"/>
      <c r="AJ39" s="3793"/>
      <c r="AK39" s="3808"/>
      <c r="AL39" s="3808"/>
      <c r="AM39" s="3808"/>
      <c r="AN39" s="3811"/>
      <c r="AO39" s="3814"/>
      <c r="AP39" s="3814"/>
      <c r="AQ39" s="3817"/>
    </row>
    <row r="40" spans="1:43" s="473" customFormat="1" ht="39.75" customHeight="1" x14ac:dyDescent="0.25">
      <c r="A40" s="502"/>
      <c r="B40" s="503"/>
      <c r="C40" s="503"/>
      <c r="D40" s="3797"/>
      <c r="E40" s="233"/>
      <c r="F40" s="3799"/>
      <c r="G40" s="3797"/>
      <c r="H40" s="233"/>
      <c r="I40" s="3801"/>
      <c r="J40" s="3803"/>
      <c r="K40" s="3804"/>
      <c r="L40" s="3791"/>
      <c r="M40" s="3793"/>
      <c r="N40" s="3049"/>
      <c r="O40" s="3049"/>
      <c r="P40" s="3052"/>
      <c r="Q40" s="3795"/>
      <c r="R40" s="3805"/>
      <c r="S40" s="3480"/>
      <c r="T40" s="3480"/>
      <c r="U40" s="2971"/>
      <c r="V40" s="1511">
        <f>917000000-917000000</f>
        <v>0</v>
      </c>
      <c r="W40" s="1696">
        <v>146</v>
      </c>
      <c r="X40" s="2263" t="s">
        <v>1832</v>
      </c>
      <c r="Y40" s="3799"/>
      <c r="Z40" s="3783"/>
      <c r="AA40" s="3793"/>
      <c r="AB40" s="3793"/>
      <c r="AC40" s="3793"/>
      <c r="AD40" s="3793"/>
      <c r="AE40" s="3793"/>
      <c r="AF40" s="3793"/>
      <c r="AG40" s="3793"/>
      <c r="AH40" s="3793"/>
      <c r="AI40" s="3793"/>
      <c r="AJ40" s="3793"/>
      <c r="AK40" s="3808"/>
      <c r="AL40" s="3808"/>
      <c r="AM40" s="3808"/>
      <c r="AN40" s="3811"/>
      <c r="AO40" s="3814"/>
      <c r="AP40" s="3814"/>
      <c r="AQ40" s="3817"/>
    </row>
    <row r="41" spans="1:43" s="473" customFormat="1" ht="30" customHeight="1" x14ac:dyDescent="0.25">
      <c r="A41" s="502"/>
      <c r="B41" s="503"/>
      <c r="C41" s="503"/>
      <c r="D41" s="3798"/>
      <c r="E41" s="512"/>
      <c r="F41" s="3800"/>
      <c r="G41" s="3798"/>
      <c r="H41" s="512"/>
      <c r="I41" s="3802"/>
      <c r="J41" s="3803"/>
      <c r="K41" s="3804"/>
      <c r="L41" s="3792"/>
      <c r="M41" s="3789"/>
      <c r="N41" s="3049"/>
      <c r="O41" s="3049"/>
      <c r="P41" s="3052"/>
      <c r="Q41" s="3796"/>
      <c r="R41" s="3805"/>
      <c r="S41" s="3740"/>
      <c r="T41" s="3740"/>
      <c r="U41" s="2972"/>
      <c r="V41" s="1407">
        <f>0+4000000000+620683724</f>
        <v>4620683724</v>
      </c>
      <c r="W41" s="1135">
        <v>88</v>
      </c>
      <c r="X41" s="1381" t="s">
        <v>942</v>
      </c>
      <c r="Y41" s="3800"/>
      <c r="Z41" s="3785"/>
      <c r="AA41" s="3789"/>
      <c r="AB41" s="3789"/>
      <c r="AC41" s="3789"/>
      <c r="AD41" s="3789"/>
      <c r="AE41" s="3789"/>
      <c r="AF41" s="3789"/>
      <c r="AG41" s="3789"/>
      <c r="AH41" s="3789"/>
      <c r="AI41" s="3789">
        <v>0</v>
      </c>
      <c r="AJ41" s="3789">
        <v>0</v>
      </c>
      <c r="AK41" s="3809"/>
      <c r="AL41" s="3809"/>
      <c r="AM41" s="3809"/>
      <c r="AN41" s="3812"/>
      <c r="AO41" s="3815"/>
      <c r="AP41" s="3815"/>
      <c r="AQ41" s="3818"/>
    </row>
    <row r="42" spans="1:43" s="473" customFormat="1" ht="15.75" x14ac:dyDescent="0.25">
      <c r="A42" s="497"/>
      <c r="B42" s="498"/>
      <c r="C42" s="499"/>
      <c r="D42" s="143">
        <v>6</v>
      </c>
      <c r="E42" s="513" t="s">
        <v>1834</v>
      </c>
      <c r="F42" s="513"/>
      <c r="G42" s="513"/>
      <c r="H42" s="513"/>
      <c r="I42" s="513"/>
      <c r="J42" s="513"/>
      <c r="K42" s="259"/>
      <c r="L42" s="321"/>
      <c r="M42" s="320"/>
      <c r="N42" s="322"/>
      <c r="O42" s="322"/>
      <c r="P42" s="321"/>
      <c r="Q42" s="514"/>
      <c r="R42" s="331"/>
      <c r="S42" s="321"/>
      <c r="T42" s="321"/>
      <c r="U42" s="321"/>
      <c r="V42" s="569"/>
      <c r="W42" s="1125"/>
      <c r="X42" s="513"/>
      <c r="Y42" s="322"/>
      <c r="Z42" s="322"/>
      <c r="AA42" s="320"/>
      <c r="AB42" s="320"/>
      <c r="AC42" s="320"/>
      <c r="AD42" s="320"/>
      <c r="AE42" s="320"/>
      <c r="AF42" s="320"/>
      <c r="AG42" s="320"/>
      <c r="AH42" s="516"/>
      <c r="AI42" s="516"/>
      <c r="AJ42" s="480"/>
      <c r="AK42" s="480"/>
      <c r="AL42" s="480"/>
      <c r="AM42" s="480"/>
      <c r="AN42" s="480"/>
      <c r="AO42" s="480"/>
      <c r="AP42" s="480"/>
      <c r="AQ42" s="517"/>
    </row>
    <row r="43" spans="1:43" s="473" customFormat="1" ht="15.75" x14ac:dyDescent="0.25">
      <c r="A43" s="497"/>
      <c r="B43" s="518"/>
      <c r="C43" s="518"/>
      <c r="D43" s="519"/>
      <c r="E43" s="520"/>
      <c r="F43" s="521"/>
      <c r="G43" s="522">
        <v>19</v>
      </c>
      <c r="H43" s="2175" t="s">
        <v>1835</v>
      </c>
      <c r="I43" s="2175"/>
      <c r="J43" s="2175"/>
      <c r="K43" s="157"/>
      <c r="L43" s="157"/>
      <c r="M43" s="162"/>
      <c r="N43" s="158"/>
      <c r="O43" s="162"/>
      <c r="P43" s="157"/>
      <c r="Q43" s="162"/>
      <c r="R43" s="332"/>
      <c r="S43" s="157"/>
      <c r="T43" s="157"/>
      <c r="U43" s="157"/>
      <c r="V43" s="523"/>
      <c r="W43" s="158"/>
      <c r="X43" s="2175"/>
      <c r="Y43" s="162"/>
      <c r="Z43" s="162"/>
      <c r="AA43" s="162"/>
      <c r="AB43" s="162"/>
      <c r="AC43" s="162"/>
      <c r="AD43" s="162"/>
      <c r="AE43" s="162"/>
      <c r="AF43" s="162"/>
      <c r="AG43" s="162"/>
      <c r="AH43" s="162"/>
      <c r="AI43" s="162"/>
      <c r="AJ43" s="491"/>
      <c r="AK43" s="491"/>
      <c r="AL43" s="491"/>
      <c r="AM43" s="491"/>
      <c r="AN43" s="491"/>
      <c r="AO43" s="491"/>
      <c r="AP43" s="491"/>
      <c r="AQ43" s="501"/>
    </row>
    <row r="44" spans="1:43" s="473" customFormat="1" ht="82.5" customHeight="1" x14ac:dyDescent="0.25">
      <c r="A44" s="168"/>
      <c r="B44" s="167"/>
      <c r="C44" s="167"/>
      <c r="D44" s="524"/>
      <c r="E44" s="518"/>
      <c r="F44" s="525"/>
      <c r="G44" s="167"/>
      <c r="H44" s="167"/>
      <c r="I44" s="167"/>
      <c r="J44" s="2245">
        <v>75</v>
      </c>
      <c r="K44" s="508" t="s">
        <v>1836</v>
      </c>
      <c r="L44" s="508" t="s">
        <v>1837</v>
      </c>
      <c r="M44" s="2197">
        <v>36</v>
      </c>
      <c r="N44" s="526"/>
      <c r="O44" s="3060" t="s">
        <v>1838</v>
      </c>
      <c r="P44" s="3480" t="s">
        <v>1839</v>
      </c>
      <c r="Q44" s="2254">
        <v>0</v>
      </c>
      <c r="R44" s="3823">
        <f>SUM(V44:V52)</f>
        <v>68355000</v>
      </c>
      <c r="S44" s="3480" t="s">
        <v>1840</v>
      </c>
      <c r="T44" s="508" t="s">
        <v>1841</v>
      </c>
      <c r="U44" s="1123" t="s">
        <v>1842</v>
      </c>
      <c r="V44" s="1045"/>
      <c r="W44" s="2207"/>
      <c r="X44" s="1386"/>
      <c r="Y44" s="3783">
        <v>20555</v>
      </c>
      <c r="Z44" s="3783">
        <v>21361</v>
      </c>
      <c r="AA44" s="3783">
        <v>30460</v>
      </c>
      <c r="AB44" s="3783">
        <v>9593</v>
      </c>
      <c r="AC44" s="3783">
        <v>1762</v>
      </c>
      <c r="AD44" s="3783">
        <v>101</v>
      </c>
      <c r="AE44" s="3783">
        <v>308</v>
      </c>
      <c r="AF44" s="3783">
        <v>277</v>
      </c>
      <c r="AG44" s="3783">
        <v>0</v>
      </c>
      <c r="AH44" s="3783">
        <v>0</v>
      </c>
      <c r="AI44" s="3783">
        <v>0</v>
      </c>
      <c r="AJ44" s="3783">
        <v>0</v>
      </c>
      <c r="AK44" s="3783">
        <v>2907</v>
      </c>
      <c r="AL44" s="3783">
        <v>2589</v>
      </c>
      <c r="AM44" s="3783">
        <v>2954</v>
      </c>
      <c r="AN44" s="3783">
        <v>41916</v>
      </c>
      <c r="AO44" s="3473">
        <v>43500</v>
      </c>
      <c r="AP44" s="3473">
        <v>43798</v>
      </c>
      <c r="AQ44" s="3060" t="s">
        <v>1782</v>
      </c>
    </row>
    <row r="45" spans="1:43" s="473" customFormat="1" ht="54" customHeight="1" x14ac:dyDescent="0.25">
      <c r="A45" s="168"/>
      <c r="B45" s="167"/>
      <c r="C45" s="167"/>
      <c r="D45" s="524"/>
      <c r="E45" s="518"/>
      <c r="F45" s="525"/>
      <c r="G45" s="167"/>
      <c r="H45" s="167"/>
      <c r="I45" s="167"/>
      <c r="J45" s="3772">
        <v>76</v>
      </c>
      <c r="K45" s="3479" t="s">
        <v>1843</v>
      </c>
      <c r="L45" s="3786" t="s">
        <v>1846</v>
      </c>
      <c r="M45" s="2804">
        <v>1200</v>
      </c>
      <c r="N45" s="526"/>
      <c r="O45" s="3060"/>
      <c r="P45" s="3517"/>
      <c r="Q45" s="3822">
        <f>+(V45+V46)/R44</f>
        <v>0.41481969131738716</v>
      </c>
      <c r="R45" s="3824"/>
      <c r="S45" s="3480"/>
      <c r="T45" s="3832" t="s">
        <v>1844</v>
      </c>
      <c r="U45" s="3769" t="s">
        <v>1845</v>
      </c>
      <c r="V45" s="1126">
        <v>10000000</v>
      </c>
      <c r="W45" s="2218">
        <v>20</v>
      </c>
      <c r="X45" s="2263" t="s">
        <v>1526</v>
      </c>
      <c r="Y45" s="3799"/>
      <c r="Z45" s="3783"/>
      <c r="AA45" s="3783"/>
      <c r="AB45" s="3783"/>
      <c r="AC45" s="3783"/>
      <c r="AD45" s="3783"/>
      <c r="AE45" s="3783"/>
      <c r="AF45" s="3783"/>
      <c r="AG45" s="3783"/>
      <c r="AH45" s="3783"/>
      <c r="AI45" s="3783"/>
      <c r="AJ45" s="3783"/>
      <c r="AK45" s="3783"/>
      <c r="AL45" s="3783"/>
      <c r="AM45" s="3783"/>
      <c r="AN45" s="3783"/>
      <c r="AO45" s="3474"/>
      <c r="AP45" s="3474"/>
      <c r="AQ45" s="3060"/>
    </row>
    <row r="46" spans="1:43" s="473" customFormat="1" ht="51.75" customHeight="1" x14ac:dyDescent="0.25">
      <c r="A46" s="504"/>
      <c r="B46" s="233"/>
      <c r="C46" s="233"/>
      <c r="D46" s="524"/>
      <c r="E46" s="518"/>
      <c r="F46" s="525"/>
      <c r="G46" s="167"/>
      <c r="H46" s="167"/>
      <c r="I46" s="167"/>
      <c r="J46" s="3773"/>
      <c r="K46" s="3740"/>
      <c r="L46" s="3787"/>
      <c r="M46" s="2968"/>
      <c r="N46" s="3060" t="s">
        <v>1847</v>
      </c>
      <c r="O46" s="3060"/>
      <c r="P46" s="3517"/>
      <c r="Q46" s="3822"/>
      <c r="R46" s="3824"/>
      <c r="S46" s="3480"/>
      <c r="T46" s="3833"/>
      <c r="U46" s="3769"/>
      <c r="V46" s="1392">
        <f>0+18355000</f>
        <v>18355000</v>
      </c>
      <c r="W46" s="1624">
        <v>88</v>
      </c>
      <c r="X46" s="1381" t="s">
        <v>942</v>
      </c>
      <c r="Y46" s="3799"/>
      <c r="Z46" s="3783"/>
      <c r="AA46" s="3783"/>
      <c r="AB46" s="3783"/>
      <c r="AC46" s="3783"/>
      <c r="AD46" s="3783"/>
      <c r="AE46" s="3783"/>
      <c r="AF46" s="3783"/>
      <c r="AG46" s="3783"/>
      <c r="AH46" s="3783"/>
      <c r="AI46" s="3783"/>
      <c r="AJ46" s="3783"/>
      <c r="AK46" s="3783"/>
      <c r="AL46" s="3783"/>
      <c r="AM46" s="3783"/>
      <c r="AN46" s="3783"/>
      <c r="AO46" s="3474"/>
      <c r="AP46" s="3474"/>
      <c r="AQ46" s="3060"/>
    </row>
    <row r="47" spans="1:43" s="473" customFormat="1" ht="67.5" customHeight="1" x14ac:dyDescent="0.25">
      <c r="A47" s="504"/>
      <c r="B47" s="233"/>
      <c r="C47" s="233"/>
      <c r="D47" s="524"/>
      <c r="E47" s="518"/>
      <c r="F47" s="525"/>
      <c r="G47" s="167"/>
      <c r="H47" s="167"/>
      <c r="I47" s="167"/>
      <c r="J47" s="2180">
        <v>77</v>
      </c>
      <c r="K47" s="425" t="s">
        <v>1848</v>
      </c>
      <c r="L47" s="425" t="s">
        <v>1849</v>
      </c>
      <c r="M47" s="2191">
        <v>80</v>
      </c>
      <c r="N47" s="3060"/>
      <c r="O47" s="3060"/>
      <c r="P47" s="3480"/>
      <c r="Q47" s="2247">
        <v>0</v>
      </c>
      <c r="R47" s="3823"/>
      <c r="S47" s="3480"/>
      <c r="T47" s="425" t="s">
        <v>1850</v>
      </c>
      <c r="U47" s="2189" t="s">
        <v>1851</v>
      </c>
      <c r="V47" s="1046"/>
      <c r="W47" s="2217"/>
      <c r="X47" s="2253"/>
      <c r="Y47" s="3783"/>
      <c r="Z47" s="3783"/>
      <c r="AA47" s="3783"/>
      <c r="AB47" s="3783"/>
      <c r="AC47" s="3783"/>
      <c r="AD47" s="3783"/>
      <c r="AE47" s="3783"/>
      <c r="AF47" s="3783"/>
      <c r="AG47" s="3783"/>
      <c r="AH47" s="3783"/>
      <c r="AI47" s="3783"/>
      <c r="AJ47" s="3783"/>
      <c r="AK47" s="3783"/>
      <c r="AL47" s="3783"/>
      <c r="AM47" s="3783"/>
      <c r="AN47" s="3783"/>
      <c r="AO47" s="3474"/>
      <c r="AP47" s="3474"/>
      <c r="AQ47" s="3060"/>
    </row>
    <row r="48" spans="1:43" s="473" customFormat="1" ht="106.5" customHeight="1" x14ac:dyDescent="0.25">
      <c r="A48" s="504"/>
      <c r="B48" s="233"/>
      <c r="C48" s="233"/>
      <c r="D48" s="524"/>
      <c r="E48" s="518"/>
      <c r="F48" s="525"/>
      <c r="G48" s="167"/>
      <c r="H48" s="167"/>
      <c r="I48" s="167"/>
      <c r="J48" s="2180">
        <v>78</v>
      </c>
      <c r="K48" s="425" t="s">
        <v>1852</v>
      </c>
      <c r="L48" s="425" t="s">
        <v>1853</v>
      </c>
      <c r="M48" s="2191">
        <v>15</v>
      </c>
      <c r="N48" s="3060"/>
      <c r="O48" s="3060"/>
      <c r="P48" s="3480"/>
      <c r="Q48" s="695">
        <f>V48/R44</f>
        <v>0.58518030868261284</v>
      </c>
      <c r="R48" s="3823"/>
      <c r="S48" s="3480"/>
      <c r="T48" s="425" t="s">
        <v>1854</v>
      </c>
      <c r="U48" s="1605" t="s">
        <v>1855</v>
      </c>
      <c r="V48" s="1606">
        <v>40000000</v>
      </c>
      <c r="W48" s="1625">
        <v>88</v>
      </c>
      <c r="X48" s="1607" t="s">
        <v>942</v>
      </c>
      <c r="Y48" s="3783"/>
      <c r="Z48" s="3783"/>
      <c r="AA48" s="3783"/>
      <c r="AB48" s="3783"/>
      <c r="AC48" s="3783"/>
      <c r="AD48" s="3783"/>
      <c r="AE48" s="3783"/>
      <c r="AF48" s="3783"/>
      <c r="AG48" s="3783"/>
      <c r="AH48" s="3783"/>
      <c r="AI48" s="3783"/>
      <c r="AJ48" s="3783"/>
      <c r="AK48" s="3783"/>
      <c r="AL48" s="3783"/>
      <c r="AM48" s="3783"/>
      <c r="AN48" s="3783"/>
      <c r="AO48" s="3474"/>
      <c r="AP48" s="3474"/>
      <c r="AQ48" s="3060"/>
    </row>
    <row r="49" spans="1:43" s="473" customFormat="1" ht="99" customHeight="1" x14ac:dyDescent="0.25">
      <c r="A49" s="504"/>
      <c r="B49" s="233"/>
      <c r="C49" s="233"/>
      <c r="D49" s="524"/>
      <c r="E49" s="518"/>
      <c r="F49" s="525"/>
      <c r="G49" s="167"/>
      <c r="H49" s="167"/>
      <c r="I49" s="167"/>
      <c r="J49" s="2180">
        <v>79</v>
      </c>
      <c r="K49" s="425" t="s">
        <v>1856</v>
      </c>
      <c r="L49" s="425" t="s">
        <v>1857</v>
      </c>
      <c r="M49" s="2191">
        <v>230</v>
      </c>
      <c r="N49" s="3060"/>
      <c r="O49" s="3060"/>
      <c r="P49" s="3480"/>
      <c r="Q49" s="695">
        <f>+V49/R44</f>
        <v>0</v>
      </c>
      <c r="R49" s="3823"/>
      <c r="S49" s="3480"/>
      <c r="T49" s="425" t="s">
        <v>1858</v>
      </c>
      <c r="U49" s="2190" t="s">
        <v>1859</v>
      </c>
      <c r="V49" s="1391"/>
      <c r="W49" s="1626"/>
      <c r="X49" s="1652"/>
      <c r="Y49" s="3783"/>
      <c r="Z49" s="3783"/>
      <c r="AA49" s="3783"/>
      <c r="AB49" s="3783"/>
      <c r="AC49" s="3783"/>
      <c r="AD49" s="3783"/>
      <c r="AE49" s="3783"/>
      <c r="AF49" s="3783"/>
      <c r="AG49" s="3783"/>
      <c r="AH49" s="3783"/>
      <c r="AI49" s="3783"/>
      <c r="AJ49" s="3783"/>
      <c r="AK49" s="3783"/>
      <c r="AL49" s="3783"/>
      <c r="AM49" s="3783"/>
      <c r="AN49" s="3783"/>
      <c r="AO49" s="3474"/>
      <c r="AP49" s="3474"/>
      <c r="AQ49" s="3060"/>
    </row>
    <row r="50" spans="1:43" s="473" customFormat="1" ht="79.5" customHeight="1" x14ac:dyDescent="0.25">
      <c r="A50" s="504"/>
      <c r="B50" s="233"/>
      <c r="C50" s="233"/>
      <c r="D50" s="524"/>
      <c r="E50" s="518"/>
      <c r="F50" s="525"/>
      <c r="G50" s="167"/>
      <c r="H50" s="167"/>
      <c r="I50" s="167"/>
      <c r="J50" s="2180">
        <v>80</v>
      </c>
      <c r="K50" s="425" t="s">
        <v>1860</v>
      </c>
      <c r="L50" s="425" t="s">
        <v>1861</v>
      </c>
      <c r="M50" s="2191">
        <v>4700</v>
      </c>
      <c r="N50" s="3060"/>
      <c r="O50" s="3060"/>
      <c r="P50" s="3480"/>
      <c r="Q50" s="695">
        <v>0</v>
      </c>
      <c r="R50" s="3823"/>
      <c r="S50" s="3480"/>
      <c r="T50" s="425" t="s">
        <v>1862</v>
      </c>
      <c r="U50" s="2190" t="s">
        <v>1863</v>
      </c>
      <c r="V50" s="1043"/>
      <c r="W50" s="1626"/>
      <c r="X50" s="1652"/>
      <c r="Y50" s="3783"/>
      <c r="Z50" s="3783"/>
      <c r="AA50" s="3783"/>
      <c r="AB50" s="3783"/>
      <c r="AC50" s="3783"/>
      <c r="AD50" s="3783"/>
      <c r="AE50" s="3783"/>
      <c r="AF50" s="3783"/>
      <c r="AG50" s="3783"/>
      <c r="AH50" s="3783"/>
      <c r="AI50" s="3783"/>
      <c r="AJ50" s="3783"/>
      <c r="AK50" s="3783"/>
      <c r="AL50" s="3783"/>
      <c r="AM50" s="3783"/>
      <c r="AN50" s="3783"/>
      <c r="AO50" s="3474"/>
      <c r="AP50" s="3474"/>
      <c r="AQ50" s="3060"/>
    </row>
    <row r="51" spans="1:43" s="473" customFormat="1" ht="90" customHeight="1" x14ac:dyDescent="0.25">
      <c r="A51" s="504"/>
      <c r="B51" s="233"/>
      <c r="C51" s="233"/>
      <c r="D51" s="524"/>
      <c r="E51" s="518"/>
      <c r="F51" s="525"/>
      <c r="G51" s="167"/>
      <c r="H51" s="167"/>
      <c r="I51" s="167"/>
      <c r="J51" s="2180">
        <v>81</v>
      </c>
      <c r="K51" s="425" t="s">
        <v>1864</v>
      </c>
      <c r="L51" s="425" t="s">
        <v>1865</v>
      </c>
      <c r="M51" s="2191">
        <v>41</v>
      </c>
      <c r="N51" s="3060"/>
      <c r="O51" s="3060"/>
      <c r="P51" s="3480"/>
      <c r="Q51" s="695">
        <v>0</v>
      </c>
      <c r="R51" s="3823"/>
      <c r="S51" s="3480"/>
      <c r="T51" s="425" t="s">
        <v>1841</v>
      </c>
      <c r="U51" s="2190" t="s">
        <v>1866</v>
      </c>
      <c r="V51" s="1043"/>
      <c r="W51" s="1626"/>
      <c r="X51" s="1652"/>
      <c r="Y51" s="3783"/>
      <c r="Z51" s="3783"/>
      <c r="AA51" s="3783"/>
      <c r="AB51" s="3783"/>
      <c r="AC51" s="3783"/>
      <c r="AD51" s="3783"/>
      <c r="AE51" s="3783"/>
      <c r="AF51" s="3783"/>
      <c r="AG51" s="3783"/>
      <c r="AH51" s="3783"/>
      <c r="AI51" s="3783"/>
      <c r="AJ51" s="3783"/>
      <c r="AK51" s="3783"/>
      <c r="AL51" s="3783"/>
      <c r="AM51" s="3783"/>
      <c r="AN51" s="3783"/>
      <c r="AO51" s="3474"/>
      <c r="AP51" s="3474"/>
      <c r="AQ51" s="3060"/>
    </row>
    <row r="52" spans="1:43" s="473" customFormat="1" ht="91.5" customHeight="1" x14ac:dyDescent="0.25">
      <c r="A52" s="504"/>
      <c r="B52" s="233"/>
      <c r="C52" s="233"/>
      <c r="D52" s="524"/>
      <c r="E52" s="518"/>
      <c r="F52" s="525"/>
      <c r="G52" s="167"/>
      <c r="H52" s="167"/>
      <c r="I52" s="167"/>
      <c r="J52" s="2244">
        <v>82</v>
      </c>
      <c r="K52" s="511" t="s">
        <v>1867</v>
      </c>
      <c r="L52" s="511" t="s">
        <v>1868</v>
      </c>
      <c r="M52" s="2192">
        <v>40</v>
      </c>
      <c r="N52" s="3061"/>
      <c r="O52" s="3060"/>
      <c r="P52" s="3480"/>
      <c r="Q52" s="2246">
        <v>0</v>
      </c>
      <c r="R52" s="3823"/>
      <c r="S52" s="3480"/>
      <c r="T52" s="511" t="s">
        <v>1841</v>
      </c>
      <c r="U52" s="2193" t="s">
        <v>1869</v>
      </c>
      <c r="V52" s="1044"/>
      <c r="W52" s="1626"/>
      <c r="X52" s="1652"/>
      <c r="Y52" s="3783"/>
      <c r="Z52" s="3783"/>
      <c r="AA52" s="3783"/>
      <c r="AB52" s="3783"/>
      <c r="AC52" s="3783"/>
      <c r="AD52" s="3783"/>
      <c r="AE52" s="3783"/>
      <c r="AF52" s="3783"/>
      <c r="AG52" s="3783"/>
      <c r="AH52" s="3783"/>
      <c r="AI52" s="3783"/>
      <c r="AJ52" s="3783"/>
      <c r="AK52" s="3783"/>
      <c r="AL52" s="3783"/>
      <c r="AM52" s="3783"/>
      <c r="AN52" s="3783"/>
      <c r="AO52" s="3522"/>
      <c r="AP52" s="3522"/>
      <c r="AQ52" s="3060"/>
    </row>
    <row r="53" spans="1:43" s="473" customFormat="1" ht="15.75" x14ac:dyDescent="0.25">
      <c r="A53" s="504"/>
      <c r="B53" s="233"/>
      <c r="C53" s="233"/>
      <c r="D53" s="504"/>
      <c r="E53" s="233"/>
      <c r="F53" s="509"/>
      <c r="G53" s="522">
        <v>20</v>
      </c>
      <c r="H53" s="2175" t="s">
        <v>1870</v>
      </c>
      <c r="I53" s="2175"/>
      <c r="J53" s="2175"/>
      <c r="K53" s="157"/>
      <c r="L53" s="157"/>
      <c r="M53" s="162"/>
      <c r="N53" s="158"/>
      <c r="O53" s="162"/>
      <c r="P53" s="157"/>
      <c r="Q53" s="162"/>
      <c r="R53" s="332"/>
      <c r="S53" s="157"/>
      <c r="T53" s="157"/>
      <c r="U53" s="157"/>
      <c r="V53" s="523"/>
      <c r="W53" s="418"/>
      <c r="X53" s="418"/>
      <c r="Y53" s="418"/>
      <c r="Z53" s="162"/>
      <c r="AA53" s="162"/>
      <c r="AB53" s="162"/>
      <c r="AC53" s="162"/>
      <c r="AD53" s="162"/>
      <c r="AE53" s="162"/>
      <c r="AF53" s="162"/>
      <c r="AG53" s="162"/>
      <c r="AH53" s="162"/>
      <c r="AI53" s="162"/>
      <c r="AJ53" s="491"/>
      <c r="AK53" s="491"/>
      <c r="AL53" s="491"/>
      <c r="AM53" s="491"/>
      <c r="AN53" s="491"/>
      <c r="AO53" s="491"/>
      <c r="AP53" s="491"/>
      <c r="AQ53" s="501"/>
    </row>
    <row r="54" spans="1:43" s="473" customFormat="1" ht="39.75" customHeight="1" x14ac:dyDescent="0.25">
      <c r="A54" s="324"/>
      <c r="B54" s="124"/>
      <c r="C54" s="124"/>
      <c r="D54" s="527"/>
      <c r="E54" s="528"/>
      <c r="F54" s="529"/>
      <c r="G54" s="3490"/>
      <c r="H54" s="3490"/>
      <c r="I54" s="3491"/>
      <c r="J54" s="3772">
        <v>83</v>
      </c>
      <c r="K54" s="3020" t="s">
        <v>1871</v>
      </c>
      <c r="L54" s="1123" t="s">
        <v>1872</v>
      </c>
      <c r="M54" s="2804">
        <v>54</v>
      </c>
      <c r="N54" s="2185"/>
      <c r="O54" s="2914" t="s">
        <v>1873</v>
      </c>
      <c r="P54" s="2888" t="s">
        <v>1874</v>
      </c>
      <c r="Q54" s="3819">
        <f>(V54+V55)/$R$54</f>
        <v>0.53463398904943549</v>
      </c>
      <c r="R54" s="3821">
        <f>SUM(V54:V74)</f>
        <v>418183289.09000003</v>
      </c>
      <c r="S54" s="2888" t="s">
        <v>1875</v>
      </c>
      <c r="T54" s="3020" t="s">
        <v>1876</v>
      </c>
      <c r="U54" s="3825" t="s">
        <v>1877</v>
      </c>
      <c r="V54" s="1601">
        <f>19800000+100000000</f>
        <v>119800000</v>
      </c>
      <c r="W54" s="1479">
        <v>20</v>
      </c>
      <c r="X54" s="2260" t="s">
        <v>61</v>
      </c>
      <c r="Y54" s="3772">
        <v>20555</v>
      </c>
      <c r="Z54" s="3772">
        <v>21361</v>
      </c>
      <c r="AA54" s="2802">
        <v>30460</v>
      </c>
      <c r="AB54" s="2802">
        <v>9593</v>
      </c>
      <c r="AC54" s="2802">
        <v>1762</v>
      </c>
      <c r="AD54" s="2802">
        <v>101</v>
      </c>
      <c r="AE54" s="2802">
        <v>308</v>
      </c>
      <c r="AF54" s="2802">
        <v>277</v>
      </c>
      <c r="AG54" s="2802">
        <v>0</v>
      </c>
      <c r="AH54" s="2802">
        <v>0</v>
      </c>
      <c r="AI54" s="2802">
        <v>0</v>
      </c>
      <c r="AJ54" s="2802">
        <v>0</v>
      </c>
      <c r="AK54" s="2802">
        <v>2907</v>
      </c>
      <c r="AL54" s="2802">
        <v>2589</v>
      </c>
      <c r="AM54" s="2802">
        <v>2954</v>
      </c>
      <c r="AN54" s="2802">
        <v>41916</v>
      </c>
      <c r="AO54" s="3834">
        <v>43500</v>
      </c>
      <c r="AP54" s="3834">
        <v>43798</v>
      </c>
      <c r="AQ54" s="3816" t="s">
        <v>1782</v>
      </c>
    </row>
    <row r="55" spans="1:43" s="473" customFormat="1" ht="39" customHeight="1" x14ac:dyDescent="0.25">
      <c r="A55" s="324"/>
      <c r="B55" s="124"/>
      <c r="C55" s="124"/>
      <c r="D55" s="527"/>
      <c r="E55" s="528"/>
      <c r="F55" s="529"/>
      <c r="G55" s="3490"/>
      <c r="H55" s="3490"/>
      <c r="I55" s="3491"/>
      <c r="J55" s="3773"/>
      <c r="K55" s="3021"/>
      <c r="L55" s="1123"/>
      <c r="M55" s="2968"/>
      <c r="N55" s="2185"/>
      <c r="O55" s="2914"/>
      <c r="P55" s="2888"/>
      <c r="Q55" s="3820"/>
      <c r="R55" s="3821"/>
      <c r="S55" s="2888"/>
      <c r="T55" s="3021"/>
      <c r="U55" s="3826"/>
      <c r="V55" s="1601">
        <f>0+103775000</f>
        <v>103775000</v>
      </c>
      <c r="W55" s="1479">
        <v>88</v>
      </c>
      <c r="X55" s="2260" t="s">
        <v>942</v>
      </c>
      <c r="Y55" s="3761"/>
      <c r="Z55" s="3761"/>
      <c r="AA55" s="2818"/>
      <c r="AB55" s="2818"/>
      <c r="AC55" s="2818"/>
      <c r="AD55" s="2818"/>
      <c r="AE55" s="2818"/>
      <c r="AF55" s="2818"/>
      <c r="AG55" s="2818"/>
      <c r="AH55" s="2818"/>
      <c r="AI55" s="2818"/>
      <c r="AJ55" s="2818"/>
      <c r="AK55" s="2818"/>
      <c r="AL55" s="2818"/>
      <c r="AM55" s="2818"/>
      <c r="AN55" s="2818"/>
      <c r="AO55" s="3835"/>
      <c r="AP55" s="3835"/>
      <c r="AQ55" s="3817"/>
    </row>
    <row r="56" spans="1:43" s="473" customFormat="1" ht="61.5" customHeight="1" x14ac:dyDescent="0.25">
      <c r="A56" s="324"/>
      <c r="B56" s="124"/>
      <c r="C56" s="124"/>
      <c r="D56" s="527"/>
      <c r="E56" s="528"/>
      <c r="F56" s="529"/>
      <c r="G56" s="3490"/>
      <c r="H56" s="3490"/>
      <c r="I56" s="3491"/>
      <c r="J56" s="2180">
        <v>84</v>
      </c>
      <c r="K56" s="2190" t="s">
        <v>1878</v>
      </c>
      <c r="L56" s="2190" t="s">
        <v>1879</v>
      </c>
      <c r="M56" s="2180">
        <v>30</v>
      </c>
      <c r="N56" s="2185"/>
      <c r="O56" s="2914"/>
      <c r="P56" s="2888"/>
      <c r="Q56" s="531">
        <f>+V56/R54</f>
        <v>0</v>
      </c>
      <c r="R56" s="3821"/>
      <c r="S56" s="2888"/>
      <c r="T56" s="2173" t="s">
        <v>1880</v>
      </c>
      <c r="U56" s="1691" t="s">
        <v>1881</v>
      </c>
      <c r="V56" s="1606"/>
      <c r="W56" s="1412"/>
      <c r="X56" s="2260"/>
      <c r="Y56" s="3761"/>
      <c r="Z56" s="3761"/>
      <c r="AA56" s="2818"/>
      <c r="AB56" s="2818"/>
      <c r="AC56" s="2818"/>
      <c r="AD56" s="2818"/>
      <c r="AE56" s="2818"/>
      <c r="AF56" s="2818"/>
      <c r="AG56" s="2818"/>
      <c r="AH56" s="2818"/>
      <c r="AI56" s="2818"/>
      <c r="AJ56" s="2818"/>
      <c r="AK56" s="2818"/>
      <c r="AL56" s="2818"/>
      <c r="AM56" s="2818"/>
      <c r="AN56" s="2818"/>
      <c r="AO56" s="3835"/>
      <c r="AP56" s="3835"/>
      <c r="AQ56" s="3817"/>
    </row>
    <row r="57" spans="1:43" s="473" customFormat="1" ht="60" customHeight="1" x14ac:dyDescent="0.25">
      <c r="A57" s="324"/>
      <c r="B57" s="124"/>
      <c r="C57" s="124"/>
      <c r="D57" s="527"/>
      <c r="E57" s="528"/>
      <c r="F57" s="529"/>
      <c r="G57" s="3490"/>
      <c r="H57" s="3490"/>
      <c r="I57" s="3491"/>
      <c r="J57" s="2180">
        <v>85</v>
      </c>
      <c r="K57" s="2190" t="s">
        <v>1882</v>
      </c>
      <c r="L57" s="2190" t="s">
        <v>1883</v>
      </c>
      <c r="M57" s="2180">
        <v>30</v>
      </c>
      <c r="N57" s="2185"/>
      <c r="O57" s="2914"/>
      <c r="P57" s="2888"/>
      <c r="Q57" s="531">
        <f>+V57/R54</f>
        <v>0</v>
      </c>
      <c r="R57" s="3821"/>
      <c r="S57" s="2888"/>
      <c r="T57" s="2174" t="s">
        <v>1884</v>
      </c>
      <c r="U57" s="1691" t="s">
        <v>1885</v>
      </c>
      <c r="V57" s="1601">
        <f>16050000-16050000</f>
        <v>0</v>
      </c>
      <c r="W57" s="1412"/>
      <c r="X57" s="2260"/>
      <c r="Y57" s="3761"/>
      <c r="Z57" s="3761"/>
      <c r="AA57" s="2818"/>
      <c r="AB57" s="2818"/>
      <c r="AC57" s="2818"/>
      <c r="AD57" s="2818"/>
      <c r="AE57" s="2818"/>
      <c r="AF57" s="2818"/>
      <c r="AG57" s="2818"/>
      <c r="AH57" s="2818"/>
      <c r="AI57" s="2818"/>
      <c r="AJ57" s="2818"/>
      <c r="AK57" s="2818"/>
      <c r="AL57" s="2818"/>
      <c r="AM57" s="2818"/>
      <c r="AN57" s="2818"/>
      <c r="AO57" s="3835"/>
      <c r="AP57" s="3835"/>
      <c r="AQ57" s="3817"/>
    </row>
    <row r="58" spans="1:43" s="473" customFormat="1" ht="63" customHeight="1" x14ac:dyDescent="0.25">
      <c r="A58" s="324"/>
      <c r="B58" s="124"/>
      <c r="C58" s="124"/>
      <c r="D58" s="527"/>
      <c r="E58" s="528"/>
      <c r="F58" s="529"/>
      <c r="G58" s="3490"/>
      <c r="H58" s="3490"/>
      <c r="I58" s="3491"/>
      <c r="J58" s="3772">
        <v>87</v>
      </c>
      <c r="K58" s="3837" t="s">
        <v>1886</v>
      </c>
      <c r="L58" s="3837" t="s">
        <v>1887</v>
      </c>
      <c r="M58" s="3772">
        <v>30</v>
      </c>
      <c r="N58" s="2185"/>
      <c r="O58" s="2914"/>
      <c r="P58" s="2888"/>
      <c r="Q58" s="3819">
        <f>(+V58+V59)/R54</f>
        <v>4.7527006742066558E-2</v>
      </c>
      <c r="R58" s="3821"/>
      <c r="S58" s="2888"/>
      <c r="T58" s="2768" t="s">
        <v>1888</v>
      </c>
      <c r="U58" s="3827" t="s">
        <v>1889</v>
      </c>
      <c r="V58" s="1601">
        <f>80000000-80000000</f>
        <v>0</v>
      </c>
      <c r="W58" s="1412">
        <v>21</v>
      </c>
      <c r="X58" s="2260" t="s">
        <v>1890</v>
      </c>
      <c r="Y58" s="3761"/>
      <c r="Z58" s="3761"/>
      <c r="AA58" s="2818"/>
      <c r="AB58" s="2818"/>
      <c r="AC58" s="2818"/>
      <c r="AD58" s="2818"/>
      <c r="AE58" s="2818"/>
      <c r="AF58" s="2818"/>
      <c r="AG58" s="2818"/>
      <c r="AH58" s="2818"/>
      <c r="AI58" s="2818"/>
      <c r="AJ58" s="2818"/>
      <c r="AK58" s="2818"/>
      <c r="AL58" s="2818"/>
      <c r="AM58" s="2818"/>
      <c r="AN58" s="2818"/>
      <c r="AO58" s="3835"/>
      <c r="AP58" s="3835"/>
      <c r="AQ58" s="3817"/>
    </row>
    <row r="59" spans="1:43" s="473" customFormat="1" ht="53.25" customHeight="1" x14ac:dyDescent="0.25">
      <c r="A59" s="324"/>
      <c r="B59" s="124"/>
      <c r="C59" s="124"/>
      <c r="D59" s="527"/>
      <c r="E59" s="528"/>
      <c r="F59" s="529"/>
      <c r="G59" s="3490"/>
      <c r="H59" s="3490"/>
      <c r="I59" s="3491"/>
      <c r="J59" s="3773"/>
      <c r="K59" s="3838"/>
      <c r="L59" s="3838"/>
      <c r="M59" s="3773"/>
      <c r="N59" s="2185"/>
      <c r="O59" s="2914"/>
      <c r="P59" s="2888"/>
      <c r="Q59" s="3820"/>
      <c r="R59" s="3821"/>
      <c r="S59" s="2888"/>
      <c r="T59" s="2766"/>
      <c r="U59" s="3828"/>
      <c r="V59" s="1601">
        <v>19875000</v>
      </c>
      <c r="W59" s="1412">
        <v>20</v>
      </c>
      <c r="X59" s="2260" t="s">
        <v>61</v>
      </c>
      <c r="Y59" s="3761"/>
      <c r="Z59" s="3761"/>
      <c r="AA59" s="2818"/>
      <c r="AB59" s="2818"/>
      <c r="AC59" s="2818"/>
      <c r="AD59" s="2818"/>
      <c r="AE59" s="2818"/>
      <c r="AF59" s="2818"/>
      <c r="AG59" s="2818"/>
      <c r="AH59" s="2818"/>
      <c r="AI59" s="2818"/>
      <c r="AJ59" s="2818"/>
      <c r="AK59" s="2818"/>
      <c r="AL59" s="2818"/>
      <c r="AM59" s="2818"/>
      <c r="AN59" s="2818"/>
      <c r="AO59" s="3835"/>
      <c r="AP59" s="3835"/>
      <c r="AQ59" s="3817"/>
    </row>
    <row r="60" spans="1:43" s="473" customFormat="1" ht="67.5" customHeight="1" x14ac:dyDescent="0.25">
      <c r="A60" s="324"/>
      <c r="B60" s="124"/>
      <c r="C60" s="124"/>
      <c r="D60" s="527"/>
      <c r="E60" s="528"/>
      <c r="F60" s="529"/>
      <c r="G60" s="3490"/>
      <c r="H60" s="3490"/>
      <c r="I60" s="3491"/>
      <c r="J60" s="2795">
        <v>88</v>
      </c>
      <c r="K60" s="2768" t="s">
        <v>1891</v>
      </c>
      <c r="L60" s="2768" t="s">
        <v>1892</v>
      </c>
      <c r="M60" s="2795">
        <v>36</v>
      </c>
      <c r="N60" s="2185"/>
      <c r="O60" s="2914"/>
      <c r="P60" s="2888"/>
      <c r="Q60" s="3819">
        <f>(+V60+V61+V62)/R54</f>
        <v>0.1538822848230805</v>
      </c>
      <c r="R60" s="3821"/>
      <c r="S60" s="2888"/>
      <c r="T60" s="2768" t="s">
        <v>1893</v>
      </c>
      <c r="U60" s="1691" t="s">
        <v>1894</v>
      </c>
      <c r="V60" s="1608">
        <f>17175500+15000000-4016958+196458</f>
        <v>28355000</v>
      </c>
      <c r="W60" s="1412">
        <v>20</v>
      </c>
      <c r="X60" s="2260" t="s">
        <v>61</v>
      </c>
      <c r="Y60" s="3761"/>
      <c r="Z60" s="3761"/>
      <c r="AA60" s="2818"/>
      <c r="AB60" s="2818"/>
      <c r="AC60" s="2818"/>
      <c r="AD60" s="2818"/>
      <c r="AE60" s="2818"/>
      <c r="AF60" s="2818"/>
      <c r="AG60" s="2818"/>
      <c r="AH60" s="2818"/>
      <c r="AI60" s="2818"/>
      <c r="AJ60" s="2818"/>
      <c r="AK60" s="2818"/>
      <c r="AL60" s="2818"/>
      <c r="AM60" s="2818"/>
      <c r="AN60" s="2818"/>
      <c r="AO60" s="3835"/>
      <c r="AP60" s="3835"/>
      <c r="AQ60" s="3817"/>
    </row>
    <row r="61" spans="1:43" s="473" customFormat="1" ht="67.5" customHeight="1" x14ac:dyDescent="0.25">
      <c r="A61" s="324"/>
      <c r="B61" s="124"/>
      <c r="C61" s="124"/>
      <c r="D61" s="527"/>
      <c r="E61" s="528"/>
      <c r="F61" s="529"/>
      <c r="G61" s="3490"/>
      <c r="H61" s="3490"/>
      <c r="I61" s="3491"/>
      <c r="J61" s="2914"/>
      <c r="K61" s="2888"/>
      <c r="L61" s="2888"/>
      <c r="M61" s="2914"/>
      <c r="N61" s="2185"/>
      <c r="O61" s="2914"/>
      <c r="P61" s="2888"/>
      <c r="Q61" s="3839"/>
      <c r="R61" s="3821"/>
      <c r="S61" s="2888"/>
      <c r="T61" s="2888"/>
      <c r="U61" s="2239" t="s">
        <v>1895</v>
      </c>
      <c r="V61" s="1609">
        <f>17175500+15000000-4016958-196458</f>
        <v>27962084</v>
      </c>
      <c r="W61" s="1410">
        <v>20</v>
      </c>
      <c r="X61" s="2195" t="s">
        <v>61</v>
      </c>
      <c r="Y61" s="3761"/>
      <c r="Z61" s="3761"/>
      <c r="AA61" s="2818"/>
      <c r="AB61" s="2818"/>
      <c r="AC61" s="2818"/>
      <c r="AD61" s="2818"/>
      <c r="AE61" s="2818"/>
      <c r="AF61" s="2818"/>
      <c r="AG61" s="2818"/>
      <c r="AH61" s="2818"/>
      <c r="AI61" s="2818"/>
      <c r="AJ61" s="2818"/>
      <c r="AK61" s="2818"/>
      <c r="AL61" s="2818"/>
      <c r="AM61" s="2818"/>
      <c r="AN61" s="2818"/>
      <c r="AO61" s="3835"/>
      <c r="AP61" s="3835"/>
      <c r="AQ61" s="3817"/>
    </row>
    <row r="62" spans="1:43" s="473" customFormat="1" ht="88.5" customHeight="1" x14ac:dyDescent="0.25">
      <c r="A62" s="324"/>
      <c r="B62" s="124"/>
      <c r="C62" s="124"/>
      <c r="D62" s="527"/>
      <c r="E62" s="528"/>
      <c r="F62" s="529"/>
      <c r="G62" s="3490"/>
      <c r="H62" s="3490"/>
      <c r="I62" s="3491"/>
      <c r="J62" s="2773"/>
      <c r="K62" s="2766"/>
      <c r="L62" s="2766"/>
      <c r="M62" s="2773"/>
      <c r="N62" s="2185" t="s">
        <v>1896</v>
      </c>
      <c r="O62" s="2914"/>
      <c r="P62" s="2888"/>
      <c r="Q62" s="3820"/>
      <c r="R62" s="3821"/>
      <c r="S62" s="2888"/>
      <c r="T62" s="2837"/>
      <c r="U62" s="1610" t="s">
        <v>1897</v>
      </c>
      <c r="V62" s="1611">
        <f>0+8033916</f>
        <v>8033916</v>
      </c>
      <c r="W62" s="1612">
        <v>20</v>
      </c>
      <c r="X62" s="2259" t="s">
        <v>61</v>
      </c>
      <c r="Y62" s="3782"/>
      <c r="Z62" s="3761"/>
      <c r="AA62" s="2818"/>
      <c r="AB62" s="2818"/>
      <c r="AC62" s="2818"/>
      <c r="AD62" s="2818"/>
      <c r="AE62" s="2818"/>
      <c r="AF62" s="2818"/>
      <c r="AG62" s="2818"/>
      <c r="AH62" s="2818"/>
      <c r="AI62" s="2818"/>
      <c r="AJ62" s="2818"/>
      <c r="AK62" s="2818"/>
      <c r="AL62" s="2818"/>
      <c r="AM62" s="2818"/>
      <c r="AN62" s="2818"/>
      <c r="AO62" s="3835"/>
      <c r="AP62" s="3835"/>
      <c r="AQ62" s="3817"/>
    </row>
    <row r="63" spans="1:43" s="473" customFormat="1" ht="30" customHeight="1" x14ac:dyDescent="0.25">
      <c r="A63" s="324"/>
      <c r="B63" s="124"/>
      <c r="C63" s="124"/>
      <c r="D63" s="527"/>
      <c r="E63" s="528"/>
      <c r="F63" s="529"/>
      <c r="G63" s="3490"/>
      <c r="H63" s="3490"/>
      <c r="I63" s="3491"/>
      <c r="J63" s="3772">
        <v>86</v>
      </c>
      <c r="K63" s="2768" t="s">
        <v>1898</v>
      </c>
      <c r="L63" s="2768" t="s">
        <v>1899</v>
      </c>
      <c r="M63" s="2795">
        <v>1</v>
      </c>
      <c r="N63" s="2185" t="s">
        <v>1900</v>
      </c>
      <c r="O63" s="2914"/>
      <c r="P63" s="2888"/>
      <c r="Q63" s="3819">
        <f>(V63+V64+V65)/R54</f>
        <v>0</v>
      </c>
      <c r="R63" s="3821"/>
      <c r="S63" s="2888"/>
      <c r="T63" s="2768" t="s">
        <v>1888</v>
      </c>
      <c r="U63" s="2240" t="s">
        <v>1901</v>
      </c>
      <c r="V63" s="1613"/>
      <c r="W63" s="1614"/>
      <c r="X63" s="2196"/>
      <c r="Y63" s="3761"/>
      <c r="Z63" s="3761"/>
      <c r="AA63" s="2818"/>
      <c r="AB63" s="2818"/>
      <c r="AC63" s="2818"/>
      <c r="AD63" s="2818"/>
      <c r="AE63" s="2818"/>
      <c r="AF63" s="2818"/>
      <c r="AG63" s="2818"/>
      <c r="AH63" s="2818"/>
      <c r="AI63" s="2818"/>
      <c r="AJ63" s="2818"/>
      <c r="AK63" s="2818"/>
      <c r="AL63" s="2818"/>
      <c r="AM63" s="2818"/>
      <c r="AN63" s="2818"/>
      <c r="AO63" s="3835"/>
      <c r="AP63" s="3835"/>
      <c r="AQ63" s="3817"/>
    </row>
    <row r="64" spans="1:43" s="473" customFormat="1" ht="32.25" customHeight="1" x14ac:dyDescent="0.25">
      <c r="A64" s="324"/>
      <c r="B64" s="124"/>
      <c r="C64" s="124"/>
      <c r="D64" s="527"/>
      <c r="E64" s="528"/>
      <c r="F64" s="529"/>
      <c r="G64" s="3490"/>
      <c r="H64" s="3490"/>
      <c r="I64" s="3491"/>
      <c r="J64" s="3761"/>
      <c r="K64" s="2888"/>
      <c r="L64" s="2888"/>
      <c r="M64" s="2914"/>
      <c r="N64" s="2185" t="s">
        <v>1902</v>
      </c>
      <c r="O64" s="2914"/>
      <c r="P64" s="2888"/>
      <c r="Q64" s="3839"/>
      <c r="R64" s="3821"/>
      <c r="S64" s="2888"/>
      <c r="T64" s="2888"/>
      <c r="U64" s="1691" t="s">
        <v>1903</v>
      </c>
      <c r="V64" s="1606"/>
      <c r="W64" s="1412"/>
      <c r="X64" s="2260"/>
      <c r="Y64" s="3761"/>
      <c r="Z64" s="3761"/>
      <c r="AA64" s="2818"/>
      <c r="AB64" s="2818"/>
      <c r="AC64" s="2818"/>
      <c r="AD64" s="2818"/>
      <c r="AE64" s="2818"/>
      <c r="AF64" s="2818"/>
      <c r="AG64" s="2818"/>
      <c r="AH64" s="2818"/>
      <c r="AI64" s="2818"/>
      <c r="AJ64" s="2818"/>
      <c r="AK64" s="2818"/>
      <c r="AL64" s="2818"/>
      <c r="AM64" s="2818"/>
      <c r="AN64" s="2818"/>
      <c r="AO64" s="3835"/>
      <c r="AP64" s="3835"/>
      <c r="AQ64" s="3817"/>
    </row>
    <row r="65" spans="1:43" s="473" customFormat="1" ht="35.25" customHeight="1" x14ac:dyDescent="0.25">
      <c r="A65" s="324"/>
      <c r="B65" s="124"/>
      <c r="C65" s="124"/>
      <c r="D65" s="527"/>
      <c r="E65" s="528"/>
      <c r="F65" s="529"/>
      <c r="G65" s="3490"/>
      <c r="H65" s="3490"/>
      <c r="I65" s="3491"/>
      <c r="J65" s="3773"/>
      <c r="K65" s="2766"/>
      <c r="L65" s="2766"/>
      <c r="M65" s="2773"/>
      <c r="N65" s="2185" t="s">
        <v>1904</v>
      </c>
      <c r="O65" s="2914"/>
      <c r="P65" s="2888"/>
      <c r="Q65" s="3820"/>
      <c r="R65" s="3821"/>
      <c r="S65" s="2888"/>
      <c r="T65" s="2766"/>
      <c r="U65" s="1691" t="s">
        <v>1905</v>
      </c>
      <c r="V65" s="1615"/>
      <c r="W65" s="1412"/>
      <c r="X65" s="2260"/>
      <c r="Y65" s="3761"/>
      <c r="Z65" s="3761"/>
      <c r="AA65" s="2818"/>
      <c r="AB65" s="2818"/>
      <c r="AC65" s="2818"/>
      <c r="AD65" s="2818"/>
      <c r="AE65" s="2818"/>
      <c r="AF65" s="2818"/>
      <c r="AG65" s="2818"/>
      <c r="AH65" s="2818"/>
      <c r="AI65" s="2818"/>
      <c r="AJ65" s="2818"/>
      <c r="AK65" s="2818"/>
      <c r="AL65" s="2818"/>
      <c r="AM65" s="2818"/>
      <c r="AN65" s="2818"/>
      <c r="AO65" s="3835"/>
      <c r="AP65" s="3835"/>
      <c r="AQ65" s="3817"/>
    </row>
    <row r="66" spans="1:43" s="473" customFormat="1" ht="77.25" customHeight="1" x14ac:dyDescent="0.25">
      <c r="A66" s="324"/>
      <c r="B66" s="124"/>
      <c r="C66" s="124"/>
      <c r="D66" s="527"/>
      <c r="E66" s="528"/>
      <c r="F66" s="529"/>
      <c r="G66" s="3490"/>
      <c r="H66" s="3490"/>
      <c r="I66" s="3491"/>
      <c r="J66" s="2180">
        <v>89</v>
      </c>
      <c r="K66" s="2190" t="s">
        <v>1906</v>
      </c>
      <c r="L66" s="2190" t="s">
        <v>1907</v>
      </c>
      <c r="M66" s="2180">
        <v>20000</v>
      </c>
      <c r="N66" s="2185"/>
      <c r="O66" s="2914"/>
      <c r="P66" s="2888"/>
      <c r="Q66" s="531">
        <f>+V66/R54</f>
        <v>0</v>
      </c>
      <c r="R66" s="3821"/>
      <c r="S66" s="2888"/>
      <c r="T66" s="2174" t="s">
        <v>1908</v>
      </c>
      <c r="U66" s="1691" t="s">
        <v>1909</v>
      </c>
      <c r="V66" s="1606"/>
      <c r="W66" s="1412"/>
      <c r="X66" s="2260"/>
      <c r="Y66" s="3761"/>
      <c r="Z66" s="3761"/>
      <c r="AA66" s="2818"/>
      <c r="AB66" s="2818"/>
      <c r="AC66" s="2818"/>
      <c r="AD66" s="2818"/>
      <c r="AE66" s="2818"/>
      <c r="AF66" s="2818"/>
      <c r="AG66" s="2818"/>
      <c r="AH66" s="2818"/>
      <c r="AI66" s="2818"/>
      <c r="AJ66" s="2818"/>
      <c r="AK66" s="2818"/>
      <c r="AL66" s="2818"/>
      <c r="AM66" s="2818"/>
      <c r="AN66" s="2818"/>
      <c r="AO66" s="3835"/>
      <c r="AP66" s="3835"/>
      <c r="AQ66" s="3817"/>
    </row>
    <row r="67" spans="1:43" s="473" customFormat="1" ht="48" customHeight="1" x14ac:dyDescent="0.25">
      <c r="A67" s="324"/>
      <c r="B67" s="124"/>
      <c r="C67" s="124"/>
      <c r="D67" s="527"/>
      <c r="E67" s="528"/>
      <c r="F67" s="529"/>
      <c r="G67" s="3490"/>
      <c r="H67" s="3490"/>
      <c r="I67" s="3491"/>
      <c r="J67" s="3772">
        <v>90</v>
      </c>
      <c r="K67" s="2768" t="s">
        <v>1910</v>
      </c>
      <c r="L67" s="2768" t="s">
        <v>1911</v>
      </c>
      <c r="M67" s="2804">
        <v>130</v>
      </c>
      <c r="N67" s="2185"/>
      <c r="O67" s="2914"/>
      <c r="P67" s="2888"/>
      <c r="Q67" s="3840">
        <f>SUM(V67:V70)/R54</f>
        <v>7.1439966109144076E-2</v>
      </c>
      <c r="R67" s="3821"/>
      <c r="S67" s="2836"/>
      <c r="T67" s="2858" t="s">
        <v>1912</v>
      </c>
      <c r="U67" s="3829" t="s">
        <v>1913</v>
      </c>
      <c r="V67" s="1606">
        <f>15475000+11156000</f>
        <v>26631000</v>
      </c>
      <c r="W67" s="1412">
        <v>20</v>
      </c>
      <c r="X67" s="1413" t="s">
        <v>61</v>
      </c>
      <c r="Y67" s="3761"/>
      <c r="Z67" s="3761"/>
      <c r="AA67" s="2818"/>
      <c r="AB67" s="2818"/>
      <c r="AC67" s="2818"/>
      <c r="AD67" s="2818"/>
      <c r="AE67" s="2818"/>
      <c r="AF67" s="2818"/>
      <c r="AG67" s="2818"/>
      <c r="AH67" s="2818"/>
      <c r="AI67" s="2818"/>
      <c r="AJ67" s="2818"/>
      <c r="AK67" s="2818"/>
      <c r="AL67" s="2818"/>
      <c r="AM67" s="2818"/>
      <c r="AN67" s="2818"/>
      <c r="AO67" s="3835"/>
      <c r="AP67" s="3835"/>
      <c r="AQ67" s="3817"/>
    </row>
    <row r="68" spans="1:43" s="473" customFormat="1" ht="52.5" customHeight="1" x14ac:dyDescent="0.25">
      <c r="A68" s="324"/>
      <c r="B68" s="124"/>
      <c r="C68" s="124"/>
      <c r="D68" s="527"/>
      <c r="E68" s="528"/>
      <c r="F68" s="529"/>
      <c r="G68" s="3490"/>
      <c r="H68" s="3490"/>
      <c r="I68" s="3491"/>
      <c r="J68" s="3761"/>
      <c r="K68" s="2888"/>
      <c r="L68" s="2888"/>
      <c r="M68" s="2967"/>
      <c r="N68" s="2185"/>
      <c r="O68" s="2914"/>
      <c r="P68" s="2888"/>
      <c r="Q68" s="3841"/>
      <c r="R68" s="3821"/>
      <c r="S68" s="2836"/>
      <c r="T68" s="2858"/>
      <c r="U68" s="3830"/>
      <c r="V68" s="1606">
        <f>0+17146218-17146218</f>
        <v>0</v>
      </c>
      <c r="W68" s="1412">
        <v>25</v>
      </c>
      <c r="X68" s="1413" t="s">
        <v>1820</v>
      </c>
      <c r="Y68" s="3761"/>
      <c r="Z68" s="3761"/>
      <c r="AA68" s="2818"/>
      <c r="AB68" s="2818"/>
      <c r="AC68" s="2818"/>
      <c r="AD68" s="2818"/>
      <c r="AE68" s="2818"/>
      <c r="AF68" s="2818"/>
      <c r="AG68" s="2818"/>
      <c r="AH68" s="2818"/>
      <c r="AI68" s="2818"/>
      <c r="AJ68" s="2818"/>
      <c r="AK68" s="2818"/>
      <c r="AL68" s="2818"/>
      <c r="AM68" s="2818"/>
      <c r="AN68" s="2818"/>
      <c r="AO68" s="3835"/>
      <c r="AP68" s="3835"/>
      <c r="AQ68" s="3817"/>
    </row>
    <row r="69" spans="1:43" s="473" customFormat="1" ht="81.75" customHeight="1" x14ac:dyDescent="0.25">
      <c r="A69" s="324"/>
      <c r="B69" s="124"/>
      <c r="C69" s="124"/>
      <c r="D69" s="527"/>
      <c r="E69" s="528"/>
      <c r="F69" s="529"/>
      <c r="G69" s="3490"/>
      <c r="H69" s="3490"/>
      <c r="I69" s="3491"/>
      <c r="J69" s="3761"/>
      <c r="K69" s="2888"/>
      <c r="L69" s="2888"/>
      <c r="M69" s="2967"/>
      <c r="N69" s="2185"/>
      <c r="O69" s="2914"/>
      <c r="P69" s="2888"/>
      <c r="Q69" s="3841"/>
      <c r="R69" s="3821"/>
      <c r="S69" s="2836"/>
      <c r="T69" s="2858"/>
      <c r="U69" s="1616" t="s">
        <v>1914</v>
      </c>
      <c r="V69" s="1601">
        <f>29875000-29875000</f>
        <v>0</v>
      </c>
      <c r="W69" s="1412">
        <v>20</v>
      </c>
      <c r="X69" s="1413" t="s">
        <v>61</v>
      </c>
      <c r="Y69" s="3761"/>
      <c r="Z69" s="3761"/>
      <c r="AA69" s="2818"/>
      <c r="AB69" s="2818"/>
      <c r="AC69" s="2818"/>
      <c r="AD69" s="2818"/>
      <c r="AE69" s="2818"/>
      <c r="AF69" s="2818"/>
      <c r="AG69" s="2818"/>
      <c r="AH69" s="2818"/>
      <c r="AI69" s="2818"/>
      <c r="AJ69" s="2818"/>
      <c r="AK69" s="2818"/>
      <c r="AL69" s="2818"/>
      <c r="AM69" s="2818"/>
      <c r="AN69" s="2818"/>
      <c r="AO69" s="3835"/>
      <c r="AP69" s="3835"/>
      <c r="AQ69" s="3817"/>
    </row>
    <row r="70" spans="1:43" s="473" customFormat="1" ht="81.75" customHeight="1" x14ac:dyDescent="0.25">
      <c r="A70" s="324"/>
      <c r="B70" s="124"/>
      <c r="C70" s="124"/>
      <c r="D70" s="527"/>
      <c r="E70" s="528"/>
      <c r="F70" s="529"/>
      <c r="G70" s="3490"/>
      <c r="H70" s="3490"/>
      <c r="I70" s="3491"/>
      <c r="J70" s="3773"/>
      <c r="K70" s="2766"/>
      <c r="L70" s="2766"/>
      <c r="M70" s="2968"/>
      <c r="N70" s="2185"/>
      <c r="O70" s="2914"/>
      <c r="P70" s="2888"/>
      <c r="Q70" s="3842"/>
      <c r="R70" s="3821"/>
      <c r="S70" s="2836"/>
      <c r="T70" s="2858"/>
      <c r="U70" s="1414" t="s">
        <v>1915</v>
      </c>
      <c r="V70" s="1601">
        <f>14400000-11156000</f>
        <v>3244000</v>
      </c>
      <c r="W70" s="1412">
        <v>20</v>
      </c>
      <c r="X70" s="1413" t="s">
        <v>61</v>
      </c>
      <c r="Y70" s="3761"/>
      <c r="Z70" s="3761"/>
      <c r="AA70" s="2818"/>
      <c r="AB70" s="2818"/>
      <c r="AC70" s="2818"/>
      <c r="AD70" s="2818"/>
      <c r="AE70" s="2818"/>
      <c r="AF70" s="2818"/>
      <c r="AG70" s="2818"/>
      <c r="AH70" s="2818"/>
      <c r="AI70" s="2818"/>
      <c r="AJ70" s="2818"/>
      <c r="AK70" s="2818"/>
      <c r="AL70" s="2818"/>
      <c r="AM70" s="2818"/>
      <c r="AN70" s="2818"/>
      <c r="AO70" s="3835"/>
      <c r="AP70" s="3835"/>
      <c r="AQ70" s="3817"/>
    </row>
    <row r="71" spans="1:43" s="473" customFormat="1" ht="41.25" customHeight="1" x14ac:dyDescent="0.25">
      <c r="A71" s="324"/>
      <c r="B71" s="124"/>
      <c r="C71" s="124"/>
      <c r="D71" s="527"/>
      <c r="E71" s="528"/>
      <c r="F71" s="529"/>
      <c r="G71" s="3490"/>
      <c r="H71" s="3490"/>
      <c r="I71" s="3491"/>
      <c r="J71" s="3772">
        <v>91</v>
      </c>
      <c r="K71" s="2768" t="s">
        <v>1916</v>
      </c>
      <c r="L71" s="2768" t="s">
        <v>1917</v>
      </c>
      <c r="M71" s="2804">
        <v>54</v>
      </c>
      <c r="N71" s="2185"/>
      <c r="O71" s="2914"/>
      <c r="P71" s="2888"/>
      <c r="Q71" s="3819">
        <f>SUM(V71:V73)/R54</f>
        <v>0.19251675327627329</v>
      </c>
      <c r="R71" s="3821"/>
      <c r="S71" s="2888"/>
      <c r="T71" s="2888" t="s">
        <v>1918</v>
      </c>
      <c r="U71" s="3827" t="s">
        <v>1919</v>
      </c>
      <c r="V71" s="1601">
        <f>60000000+31988604.86-21367079.77</f>
        <v>70621525.090000004</v>
      </c>
      <c r="W71" s="1412">
        <v>21</v>
      </c>
      <c r="X71" s="2260" t="s">
        <v>1890</v>
      </c>
      <c r="Y71" s="3761"/>
      <c r="Z71" s="3761"/>
      <c r="AA71" s="2818"/>
      <c r="AB71" s="2818"/>
      <c r="AC71" s="2818"/>
      <c r="AD71" s="2818"/>
      <c r="AE71" s="2818"/>
      <c r="AF71" s="2818"/>
      <c r="AG71" s="2818"/>
      <c r="AH71" s="2818"/>
      <c r="AI71" s="2818"/>
      <c r="AJ71" s="2818"/>
      <c r="AK71" s="2818"/>
      <c r="AL71" s="2818"/>
      <c r="AM71" s="2818"/>
      <c r="AN71" s="2818"/>
      <c r="AO71" s="3835"/>
      <c r="AP71" s="3835"/>
      <c r="AQ71" s="3817"/>
    </row>
    <row r="72" spans="1:43" s="473" customFormat="1" ht="41.25" customHeight="1" x14ac:dyDescent="0.25">
      <c r="A72" s="324"/>
      <c r="B72" s="124"/>
      <c r="C72" s="124"/>
      <c r="D72" s="527"/>
      <c r="E72" s="528"/>
      <c r="F72" s="529"/>
      <c r="G72" s="3490"/>
      <c r="H72" s="3490"/>
      <c r="I72" s="3491"/>
      <c r="J72" s="3761"/>
      <c r="K72" s="2888"/>
      <c r="L72" s="2888"/>
      <c r="M72" s="2967"/>
      <c r="N72" s="2185"/>
      <c r="O72" s="2914"/>
      <c r="P72" s="2888"/>
      <c r="Q72" s="3839"/>
      <c r="R72" s="3821"/>
      <c r="S72" s="2888"/>
      <c r="T72" s="2888"/>
      <c r="U72" s="3831"/>
      <c r="V72" s="1601">
        <v>9885764</v>
      </c>
      <c r="W72" s="1412">
        <v>20</v>
      </c>
      <c r="X72" s="1413" t="s">
        <v>61</v>
      </c>
      <c r="Y72" s="3761"/>
      <c r="Z72" s="3761"/>
      <c r="AA72" s="2818"/>
      <c r="AB72" s="2818"/>
      <c r="AC72" s="2818"/>
      <c r="AD72" s="2818"/>
      <c r="AE72" s="2818"/>
      <c r="AF72" s="2818"/>
      <c r="AG72" s="2818"/>
      <c r="AH72" s="2818"/>
      <c r="AI72" s="2818"/>
      <c r="AJ72" s="2818"/>
      <c r="AK72" s="2818"/>
      <c r="AL72" s="2818"/>
      <c r="AM72" s="2818"/>
      <c r="AN72" s="2818"/>
      <c r="AO72" s="3835"/>
      <c r="AP72" s="3835"/>
      <c r="AQ72" s="3817"/>
    </row>
    <row r="73" spans="1:43" s="473" customFormat="1" ht="37.5" customHeight="1" x14ac:dyDescent="0.25">
      <c r="A73" s="324"/>
      <c r="B73" s="124"/>
      <c r="C73" s="124"/>
      <c r="D73" s="527"/>
      <c r="E73" s="528"/>
      <c r="F73" s="529"/>
      <c r="G73" s="3490"/>
      <c r="H73" s="3490"/>
      <c r="I73" s="3491"/>
      <c r="J73" s="3773"/>
      <c r="K73" s="2766"/>
      <c r="L73" s="2766"/>
      <c r="M73" s="2968"/>
      <c r="N73" s="2185"/>
      <c r="O73" s="2914"/>
      <c r="P73" s="2888"/>
      <c r="Q73" s="3820"/>
      <c r="R73" s="3821"/>
      <c r="S73" s="2888"/>
      <c r="T73" s="2766"/>
      <c r="U73" s="3828"/>
      <c r="V73" s="1601">
        <f>17146218-17146218</f>
        <v>0</v>
      </c>
      <c r="W73" s="1412">
        <v>25</v>
      </c>
      <c r="X73" s="1413" t="s">
        <v>1920</v>
      </c>
      <c r="Y73" s="3761"/>
      <c r="Z73" s="3761"/>
      <c r="AA73" s="2818"/>
      <c r="AB73" s="2818"/>
      <c r="AC73" s="2818"/>
      <c r="AD73" s="2818"/>
      <c r="AE73" s="2818"/>
      <c r="AF73" s="2818"/>
      <c r="AG73" s="2818"/>
      <c r="AH73" s="2818"/>
      <c r="AI73" s="2818"/>
      <c r="AJ73" s="2818"/>
      <c r="AK73" s="2818"/>
      <c r="AL73" s="2818"/>
      <c r="AM73" s="2818"/>
      <c r="AN73" s="2818"/>
      <c r="AO73" s="3835"/>
      <c r="AP73" s="3835"/>
      <c r="AQ73" s="3817"/>
    </row>
    <row r="74" spans="1:43" s="473" customFormat="1" ht="120.75" customHeight="1" x14ac:dyDescent="0.25">
      <c r="A74" s="324"/>
      <c r="B74" s="124"/>
      <c r="C74" s="124"/>
      <c r="D74" s="527"/>
      <c r="E74" s="528"/>
      <c r="F74" s="529"/>
      <c r="G74" s="3490"/>
      <c r="H74" s="3490"/>
      <c r="I74" s="3491"/>
      <c r="J74" s="2244">
        <v>92</v>
      </c>
      <c r="K74" s="2193" t="s">
        <v>1921</v>
      </c>
      <c r="L74" s="2193" t="s">
        <v>1922</v>
      </c>
      <c r="M74" s="2192">
        <v>1</v>
      </c>
      <c r="N74" s="2185"/>
      <c r="O74" s="2914"/>
      <c r="P74" s="2888"/>
      <c r="Q74" s="532">
        <f>+V74/R54</f>
        <v>0</v>
      </c>
      <c r="R74" s="3821"/>
      <c r="S74" s="2888"/>
      <c r="T74" s="2174" t="s">
        <v>1923</v>
      </c>
      <c r="U74" s="2239" t="s">
        <v>1924</v>
      </c>
      <c r="V74" s="1415">
        <f>30000000-30000000</f>
        <v>0</v>
      </c>
      <c r="W74" s="1412">
        <v>20</v>
      </c>
      <c r="X74" s="2260" t="s">
        <v>61</v>
      </c>
      <c r="Y74" s="3773"/>
      <c r="Z74" s="3773"/>
      <c r="AA74" s="2771"/>
      <c r="AB74" s="2771"/>
      <c r="AC74" s="2771"/>
      <c r="AD74" s="2771"/>
      <c r="AE74" s="2771"/>
      <c r="AF74" s="2771"/>
      <c r="AG74" s="2771"/>
      <c r="AH74" s="2771"/>
      <c r="AI74" s="2771"/>
      <c r="AJ74" s="2771"/>
      <c r="AK74" s="2771"/>
      <c r="AL74" s="2771"/>
      <c r="AM74" s="2771"/>
      <c r="AN74" s="2771"/>
      <c r="AO74" s="3836"/>
      <c r="AP74" s="3836"/>
      <c r="AQ74" s="3818"/>
    </row>
    <row r="75" spans="1:43" s="473" customFormat="1" ht="15.75" x14ac:dyDescent="0.25">
      <c r="A75" s="504"/>
      <c r="B75" s="233"/>
      <c r="C75" s="233"/>
      <c r="D75" s="504"/>
      <c r="E75" s="233"/>
      <c r="F75" s="509"/>
      <c r="G75" s="522">
        <v>21</v>
      </c>
      <c r="H75" s="2175" t="s">
        <v>1925</v>
      </c>
      <c r="I75" s="2175"/>
      <c r="J75" s="2175"/>
      <c r="K75" s="157"/>
      <c r="L75" s="157"/>
      <c r="M75" s="162"/>
      <c r="N75" s="158"/>
      <c r="O75" s="162"/>
      <c r="P75" s="157"/>
      <c r="Q75" s="267"/>
      <c r="R75" s="332"/>
      <c r="S75" s="157"/>
      <c r="T75" s="263"/>
      <c r="U75" s="263"/>
      <c r="V75" s="1133"/>
      <c r="W75" s="210"/>
      <c r="X75" s="1387"/>
      <c r="Y75" s="162"/>
      <c r="Z75" s="162"/>
      <c r="AA75" s="162"/>
      <c r="AB75" s="162"/>
      <c r="AC75" s="162"/>
      <c r="AD75" s="162"/>
      <c r="AE75" s="162"/>
      <c r="AF75" s="162"/>
      <c r="AG75" s="162"/>
      <c r="AH75" s="162"/>
      <c r="AI75" s="162"/>
      <c r="AJ75" s="491"/>
      <c r="AK75" s="491"/>
      <c r="AL75" s="491"/>
      <c r="AM75" s="491"/>
      <c r="AN75" s="491"/>
      <c r="AO75" s="491"/>
      <c r="AP75" s="491"/>
      <c r="AQ75" s="501"/>
    </row>
    <row r="76" spans="1:43" s="473" customFormat="1" ht="48" customHeight="1" x14ac:dyDescent="0.25">
      <c r="A76" s="168"/>
      <c r="B76" s="167"/>
      <c r="C76" s="167"/>
      <c r="D76" s="524"/>
      <c r="E76" s="518"/>
      <c r="F76" s="525"/>
      <c r="G76" s="167"/>
      <c r="H76" s="167"/>
      <c r="I76" s="188"/>
      <c r="J76" s="3772">
        <v>93</v>
      </c>
      <c r="K76" s="3775" t="s">
        <v>1926</v>
      </c>
      <c r="L76" s="3728" t="s">
        <v>1927</v>
      </c>
      <c r="M76" s="2804">
        <v>36</v>
      </c>
      <c r="N76" s="2184"/>
      <c r="O76" s="3059" t="s">
        <v>1928</v>
      </c>
      <c r="P76" s="3520" t="s">
        <v>1929</v>
      </c>
      <c r="Q76" s="3822">
        <f>+(V76+V77)/$R$76</f>
        <v>0.66005486017583714</v>
      </c>
      <c r="R76" s="3824">
        <f>SUM(V76:V82)</f>
        <v>49129992</v>
      </c>
      <c r="S76" s="3517" t="s">
        <v>1930</v>
      </c>
      <c r="T76" s="3844" t="s">
        <v>1931</v>
      </c>
      <c r="U76" s="3844" t="s">
        <v>1932</v>
      </c>
      <c r="V76" s="1132">
        <f>11861000+4073490</f>
        <v>15934490</v>
      </c>
      <c r="W76" s="2187">
        <v>20</v>
      </c>
      <c r="X76" s="2259" t="s">
        <v>61</v>
      </c>
      <c r="Y76" s="3799">
        <v>20555</v>
      </c>
      <c r="Z76" s="3783">
        <v>21361</v>
      </c>
      <c r="AA76" s="3793">
        <v>30460</v>
      </c>
      <c r="AB76" s="3793">
        <v>9593</v>
      </c>
      <c r="AC76" s="3793">
        <v>1762</v>
      </c>
      <c r="AD76" s="3793">
        <v>101</v>
      </c>
      <c r="AE76" s="3793">
        <v>308</v>
      </c>
      <c r="AF76" s="3793">
        <v>277</v>
      </c>
      <c r="AG76" s="3793">
        <v>0</v>
      </c>
      <c r="AH76" s="3793">
        <v>0</v>
      </c>
      <c r="AI76" s="3793">
        <v>0</v>
      </c>
      <c r="AJ76" s="3808">
        <v>0</v>
      </c>
      <c r="AK76" s="3808">
        <v>2907</v>
      </c>
      <c r="AL76" s="2818">
        <v>2589</v>
      </c>
      <c r="AM76" s="3808">
        <v>2954</v>
      </c>
      <c r="AN76" s="3811">
        <v>41916</v>
      </c>
      <c r="AO76" s="3813">
        <v>43500</v>
      </c>
      <c r="AP76" s="3813">
        <v>43798</v>
      </c>
      <c r="AQ76" s="3817" t="s">
        <v>1782</v>
      </c>
    </row>
    <row r="77" spans="1:43" s="473" customFormat="1" ht="35.25" customHeight="1" x14ac:dyDescent="0.25">
      <c r="A77" s="168"/>
      <c r="B77" s="167"/>
      <c r="C77" s="167"/>
      <c r="D77" s="524"/>
      <c r="E77" s="518"/>
      <c r="F77" s="525"/>
      <c r="G77" s="167"/>
      <c r="H77" s="167"/>
      <c r="I77" s="188"/>
      <c r="J77" s="3773"/>
      <c r="K77" s="3843"/>
      <c r="L77" s="3785"/>
      <c r="M77" s="2968"/>
      <c r="N77" s="2185"/>
      <c r="O77" s="3060"/>
      <c r="P77" s="3517"/>
      <c r="Q77" s="3822"/>
      <c r="R77" s="3824"/>
      <c r="S77" s="3517"/>
      <c r="T77" s="3844"/>
      <c r="U77" s="3844"/>
      <c r="V77" s="1617">
        <f>0+16494000</f>
        <v>16494000</v>
      </c>
      <c r="W77" s="2187">
        <v>88</v>
      </c>
      <c r="X77" s="2259" t="s">
        <v>942</v>
      </c>
      <c r="Y77" s="3799"/>
      <c r="Z77" s="3783"/>
      <c r="AA77" s="3793"/>
      <c r="AB77" s="3793"/>
      <c r="AC77" s="3793"/>
      <c r="AD77" s="3793"/>
      <c r="AE77" s="3793"/>
      <c r="AF77" s="3793"/>
      <c r="AG77" s="3793"/>
      <c r="AH77" s="3793"/>
      <c r="AI77" s="3793"/>
      <c r="AJ77" s="3808"/>
      <c r="AK77" s="3808"/>
      <c r="AL77" s="2818"/>
      <c r="AM77" s="3808"/>
      <c r="AN77" s="3811"/>
      <c r="AO77" s="3814"/>
      <c r="AP77" s="3814"/>
      <c r="AQ77" s="3817"/>
    </row>
    <row r="78" spans="1:43" s="473" customFormat="1" ht="46.5" customHeight="1" x14ac:dyDescent="0.25">
      <c r="A78" s="168"/>
      <c r="B78" s="167"/>
      <c r="C78" s="167"/>
      <c r="D78" s="524"/>
      <c r="E78" s="518"/>
      <c r="F78" s="525"/>
      <c r="G78" s="167"/>
      <c r="H78" s="167"/>
      <c r="I78" s="188"/>
      <c r="J78" s="3772">
        <v>94</v>
      </c>
      <c r="K78" s="3775" t="s">
        <v>1933</v>
      </c>
      <c r="L78" s="3479" t="s">
        <v>1936</v>
      </c>
      <c r="M78" s="2804">
        <v>65</v>
      </c>
      <c r="N78" s="2185"/>
      <c r="O78" s="3060"/>
      <c r="P78" s="3480"/>
      <c r="Q78" s="3845">
        <f>(V78+V79)/R76</f>
        <v>0.20354165740552124</v>
      </c>
      <c r="R78" s="3823"/>
      <c r="S78" s="3480"/>
      <c r="T78" s="3480" t="s">
        <v>1934</v>
      </c>
      <c r="U78" s="3480" t="s">
        <v>1935</v>
      </c>
      <c r="V78" s="2485">
        <f>60000000-60000000</f>
        <v>0</v>
      </c>
      <c r="W78" s="2186">
        <v>21</v>
      </c>
      <c r="X78" s="2196" t="s">
        <v>1890</v>
      </c>
      <c r="Y78" s="3783"/>
      <c r="Z78" s="3783"/>
      <c r="AA78" s="3793"/>
      <c r="AB78" s="3793"/>
      <c r="AC78" s="3793"/>
      <c r="AD78" s="3793"/>
      <c r="AE78" s="3793"/>
      <c r="AF78" s="3793"/>
      <c r="AG78" s="3793"/>
      <c r="AH78" s="3793"/>
      <c r="AI78" s="3793"/>
      <c r="AJ78" s="3808"/>
      <c r="AK78" s="3808"/>
      <c r="AL78" s="2818"/>
      <c r="AM78" s="3808"/>
      <c r="AN78" s="3811"/>
      <c r="AO78" s="3814"/>
      <c r="AP78" s="3814"/>
      <c r="AQ78" s="3817"/>
    </row>
    <row r="79" spans="1:43" s="473" customFormat="1" ht="35.25" customHeight="1" x14ac:dyDescent="0.25">
      <c r="A79" s="168"/>
      <c r="B79" s="167"/>
      <c r="C79" s="167"/>
      <c r="D79" s="524"/>
      <c r="E79" s="518"/>
      <c r="F79" s="525"/>
      <c r="G79" s="167"/>
      <c r="H79" s="167"/>
      <c r="I79" s="188"/>
      <c r="J79" s="3773"/>
      <c r="K79" s="3843"/>
      <c r="L79" s="3740"/>
      <c r="M79" s="2968"/>
      <c r="N79" s="2185" t="s">
        <v>1937</v>
      </c>
      <c r="O79" s="3060"/>
      <c r="P79" s="3480"/>
      <c r="Q79" s="3846"/>
      <c r="R79" s="3823"/>
      <c r="S79" s="3480"/>
      <c r="T79" s="3740"/>
      <c r="U79" s="3740"/>
      <c r="V79" s="1173">
        <v>10000000</v>
      </c>
      <c r="W79" s="2172">
        <v>20</v>
      </c>
      <c r="X79" s="2260" t="s">
        <v>61</v>
      </c>
      <c r="Y79" s="3783"/>
      <c r="Z79" s="3783"/>
      <c r="AA79" s="3793"/>
      <c r="AB79" s="3793"/>
      <c r="AC79" s="3793"/>
      <c r="AD79" s="3793"/>
      <c r="AE79" s="3793"/>
      <c r="AF79" s="3793"/>
      <c r="AG79" s="3793"/>
      <c r="AH79" s="3793"/>
      <c r="AI79" s="3793"/>
      <c r="AJ79" s="3808"/>
      <c r="AK79" s="3808"/>
      <c r="AL79" s="2818"/>
      <c r="AM79" s="3808"/>
      <c r="AN79" s="3811"/>
      <c r="AO79" s="3814"/>
      <c r="AP79" s="3814"/>
      <c r="AQ79" s="3817"/>
    </row>
    <row r="80" spans="1:43" s="473" customFormat="1" ht="33" customHeight="1" x14ac:dyDescent="0.25">
      <c r="A80" s="168"/>
      <c r="B80" s="167"/>
      <c r="C80" s="167"/>
      <c r="D80" s="524"/>
      <c r="E80" s="518"/>
      <c r="F80" s="525"/>
      <c r="G80" s="167"/>
      <c r="H80" s="167"/>
      <c r="I80" s="188"/>
      <c r="J80" s="3772">
        <v>95</v>
      </c>
      <c r="K80" s="3479" t="s">
        <v>1938</v>
      </c>
      <c r="L80" s="3479" t="s">
        <v>1939</v>
      </c>
      <c r="M80" s="2804">
        <v>500</v>
      </c>
      <c r="N80" s="2185" t="s">
        <v>1940</v>
      </c>
      <c r="O80" s="3060"/>
      <c r="P80" s="3480"/>
      <c r="Q80" s="3848">
        <f>+V80/R76</f>
        <v>0</v>
      </c>
      <c r="R80" s="3823"/>
      <c r="S80" s="3480"/>
      <c r="T80" s="3479" t="s">
        <v>1941</v>
      </c>
      <c r="U80" s="2768" t="s">
        <v>1942</v>
      </c>
      <c r="V80" s="2912">
        <f>10000000-10000000</f>
        <v>0</v>
      </c>
      <c r="W80" s="2765"/>
      <c r="X80" s="3775"/>
      <c r="Y80" s="3783"/>
      <c r="Z80" s="3783"/>
      <c r="AA80" s="3793"/>
      <c r="AB80" s="3793"/>
      <c r="AC80" s="3793"/>
      <c r="AD80" s="3793"/>
      <c r="AE80" s="3793"/>
      <c r="AF80" s="3793"/>
      <c r="AG80" s="3793"/>
      <c r="AH80" s="3793"/>
      <c r="AI80" s="3793"/>
      <c r="AJ80" s="3808"/>
      <c r="AK80" s="3808"/>
      <c r="AL80" s="2818"/>
      <c r="AM80" s="3808"/>
      <c r="AN80" s="3811"/>
      <c r="AO80" s="3814"/>
      <c r="AP80" s="3814"/>
      <c r="AQ80" s="3817"/>
    </row>
    <row r="81" spans="1:43" s="473" customFormat="1" ht="59.25" customHeight="1" x14ac:dyDescent="0.25">
      <c r="A81" s="168"/>
      <c r="B81" s="167"/>
      <c r="C81" s="167"/>
      <c r="D81" s="524"/>
      <c r="E81" s="518"/>
      <c r="F81" s="525"/>
      <c r="G81" s="167"/>
      <c r="H81" s="167"/>
      <c r="I81" s="188"/>
      <c r="J81" s="3773"/>
      <c r="K81" s="3740"/>
      <c r="L81" s="3740"/>
      <c r="M81" s="2968"/>
      <c r="N81" s="2185" t="s">
        <v>1943</v>
      </c>
      <c r="O81" s="3060"/>
      <c r="P81" s="3480"/>
      <c r="Q81" s="3849"/>
      <c r="R81" s="3823"/>
      <c r="S81" s="3480"/>
      <c r="T81" s="3740"/>
      <c r="U81" s="2766"/>
      <c r="V81" s="3847"/>
      <c r="W81" s="2763"/>
      <c r="X81" s="3843"/>
      <c r="Y81" s="3783"/>
      <c r="Z81" s="3783"/>
      <c r="AA81" s="3793"/>
      <c r="AB81" s="3793"/>
      <c r="AC81" s="3793"/>
      <c r="AD81" s="3793"/>
      <c r="AE81" s="3793"/>
      <c r="AF81" s="3793"/>
      <c r="AG81" s="3793"/>
      <c r="AH81" s="3793"/>
      <c r="AI81" s="3793"/>
      <c r="AJ81" s="3808"/>
      <c r="AK81" s="3808"/>
      <c r="AL81" s="2818"/>
      <c r="AM81" s="3808"/>
      <c r="AN81" s="3811"/>
      <c r="AO81" s="3814"/>
      <c r="AP81" s="3814"/>
      <c r="AQ81" s="3817"/>
    </row>
    <row r="82" spans="1:43" s="473" customFormat="1" ht="78.75" customHeight="1" x14ac:dyDescent="0.25">
      <c r="A82" s="168"/>
      <c r="B82" s="167"/>
      <c r="C82" s="167"/>
      <c r="D82" s="524"/>
      <c r="E82" s="518"/>
      <c r="F82" s="525"/>
      <c r="G82" s="167"/>
      <c r="H82" s="167"/>
      <c r="I82" s="188"/>
      <c r="J82" s="2244">
        <v>96</v>
      </c>
      <c r="K82" s="511" t="s">
        <v>1944</v>
      </c>
      <c r="L82" s="511" t="s">
        <v>1945</v>
      </c>
      <c r="M82" s="694">
        <v>2</v>
      </c>
      <c r="N82" s="2194"/>
      <c r="O82" s="3061"/>
      <c r="P82" s="3740"/>
      <c r="Q82" s="534">
        <f>+V82/R76</f>
        <v>0.13640348241864156</v>
      </c>
      <c r="R82" s="3823"/>
      <c r="S82" s="3480"/>
      <c r="T82" s="2209" t="s">
        <v>1946</v>
      </c>
      <c r="U82" s="2209" t="s">
        <v>1947</v>
      </c>
      <c r="V82" s="1173">
        <f>10774992-4073490</f>
        <v>6701502</v>
      </c>
      <c r="W82" s="2172">
        <v>20</v>
      </c>
      <c r="X82" s="2260" t="s">
        <v>61</v>
      </c>
      <c r="Y82" s="3783"/>
      <c r="Z82" s="3783"/>
      <c r="AA82" s="3793"/>
      <c r="AB82" s="3793"/>
      <c r="AC82" s="3793"/>
      <c r="AD82" s="3793"/>
      <c r="AE82" s="3793"/>
      <c r="AF82" s="3793"/>
      <c r="AG82" s="3793"/>
      <c r="AH82" s="3793"/>
      <c r="AI82" s="3793"/>
      <c r="AJ82" s="3808"/>
      <c r="AK82" s="3808"/>
      <c r="AL82" s="2818"/>
      <c r="AM82" s="3808"/>
      <c r="AN82" s="3811"/>
      <c r="AO82" s="3815"/>
      <c r="AP82" s="3815"/>
      <c r="AQ82" s="3817"/>
    </row>
    <row r="83" spans="1:43" s="473" customFormat="1" ht="15.75" x14ac:dyDescent="0.25">
      <c r="A83" s="504"/>
      <c r="B83" s="233"/>
      <c r="C83" s="233"/>
      <c r="D83" s="504"/>
      <c r="E83" s="233"/>
      <c r="F83" s="509"/>
      <c r="G83" s="522">
        <v>22</v>
      </c>
      <c r="H83" s="2175" t="s">
        <v>1948</v>
      </c>
      <c r="I83" s="2175"/>
      <c r="J83" s="2175"/>
      <c r="K83" s="157"/>
      <c r="L83" s="157"/>
      <c r="M83" s="162"/>
      <c r="N83" s="158"/>
      <c r="O83" s="162"/>
      <c r="P83" s="170"/>
      <c r="Q83" s="162"/>
      <c r="R83" s="332"/>
      <c r="S83" s="157"/>
      <c r="T83" s="157"/>
      <c r="U83" s="263"/>
      <c r="V83" s="1133"/>
      <c r="W83" s="210"/>
      <c r="X83" s="1387"/>
      <c r="Y83" s="162"/>
      <c r="Z83" s="162"/>
      <c r="AA83" s="162"/>
      <c r="AB83" s="162"/>
      <c r="AC83" s="162"/>
      <c r="AD83" s="162"/>
      <c r="AE83" s="162"/>
      <c r="AF83" s="162"/>
      <c r="AG83" s="162"/>
      <c r="AH83" s="162"/>
      <c r="AI83" s="162"/>
      <c r="AJ83" s="491"/>
      <c r="AK83" s="491"/>
      <c r="AL83" s="491"/>
      <c r="AM83" s="491"/>
      <c r="AN83" s="491"/>
      <c r="AO83" s="491"/>
      <c r="AP83" s="491"/>
      <c r="AQ83" s="501"/>
    </row>
    <row r="84" spans="1:43" s="473" customFormat="1" ht="45" customHeight="1" x14ac:dyDescent="0.25">
      <c r="A84" s="535"/>
      <c r="B84" s="359"/>
      <c r="C84" s="359"/>
      <c r="D84" s="535"/>
      <c r="E84" s="359"/>
      <c r="F84" s="536"/>
      <c r="G84" s="3850"/>
      <c r="H84" s="3850"/>
      <c r="I84" s="3519"/>
      <c r="J84" s="3761">
        <v>97</v>
      </c>
      <c r="K84" s="3480" t="s">
        <v>1949</v>
      </c>
      <c r="L84" s="3480" t="s">
        <v>1950</v>
      </c>
      <c r="M84" s="3783">
        <v>52</v>
      </c>
      <c r="N84" s="2237"/>
      <c r="O84" s="3060" t="s">
        <v>1951</v>
      </c>
      <c r="P84" s="3480" t="s">
        <v>1952</v>
      </c>
      <c r="Q84" s="3851">
        <f>(+V84+V85)/R84</f>
        <v>1</v>
      </c>
      <c r="R84" s="3823">
        <f>+V84+V85</f>
        <v>21000000</v>
      </c>
      <c r="S84" s="3480" t="s">
        <v>1953</v>
      </c>
      <c r="T84" s="3517" t="s">
        <v>1954</v>
      </c>
      <c r="U84" s="3852" t="s">
        <v>1955</v>
      </c>
      <c r="V84" s="1416">
        <f>10000000</f>
        <v>10000000</v>
      </c>
      <c r="W84" s="1779">
        <v>20</v>
      </c>
      <c r="X84" s="2263" t="s">
        <v>1956</v>
      </c>
      <c r="Y84" s="3799">
        <v>20555</v>
      </c>
      <c r="Z84" s="3783">
        <v>21361</v>
      </c>
      <c r="AA84" s="3783">
        <v>30460</v>
      </c>
      <c r="AB84" s="3783">
        <v>9593</v>
      </c>
      <c r="AC84" s="3783">
        <v>1762</v>
      </c>
      <c r="AD84" s="3783">
        <v>101</v>
      </c>
      <c r="AE84" s="3783">
        <v>308</v>
      </c>
      <c r="AF84" s="3783">
        <v>277</v>
      </c>
      <c r="AG84" s="3783">
        <v>0</v>
      </c>
      <c r="AH84" s="3783">
        <v>0</v>
      </c>
      <c r="AI84" s="3783">
        <v>0</v>
      </c>
      <c r="AJ84" s="3783">
        <v>0</v>
      </c>
      <c r="AK84" s="3793">
        <v>2907</v>
      </c>
      <c r="AL84" s="3793">
        <v>2589</v>
      </c>
      <c r="AM84" s="3793">
        <v>2954</v>
      </c>
      <c r="AN84" s="3783">
        <v>41916</v>
      </c>
      <c r="AO84" s="3835">
        <v>43497</v>
      </c>
      <c r="AP84" s="3835">
        <v>43800</v>
      </c>
      <c r="AQ84" s="3817" t="s">
        <v>1782</v>
      </c>
    </row>
    <row r="85" spans="1:43" s="473" customFormat="1" ht="57" customHeight="1" x14ac:dyDescent="0.25">
      <c r="A85" s="535"/>
      <c r="B85" s="359"/>
      <c r="C85" s="359"/>
      <c r="D85" s="535"/>
      <c r="E85" s="359"/>
      <c r="F85" s="536"/>
      <c r="G85" s="3850"/>
      <c r="H85" s="3850"/>
      <c r="I85" s="3519"/>
      <c r="J85" s="3761"/>
      <c r="K85" s="3480"/>
      <c r="L85" s="3480"/>
      <c r="M85" s="3783"/>
      <c r="N85" s="2237"/>
      <c r="O85" s="3060"/>
      <c r="P85" s="3480"/>
      <c r="Q85" s="3851"/>
      <c r="R85" s="3823"/>
      <c r="S85" s="3480"/>
      <c r="T85" s="3517"/>
      <c r="U85" s="3852"/>
      <c r="V85" s="1623">
        <f>0+20000000-9000000</f>
        <v>11000000</v>
      </c>
      <c r="W85" s="3853">
        <v>88</v>
      </c>
      <c r="X85" s="3854" t="s">
        <v>942</v>
      </c>
      <c r="Y85" s="3799"/>
      <c r="Z85" s="3783"/>
      <c r="AA85" s="3783"/>
      <c r="AB85" s="3783"/>
      <c r="AC85" s="3783"/>
      <c r="AD85" s="3783"/>
      <c r="AE85" s="3783"/>
      <c r="AF85" s="3783"/>
      <c r="AG85" s="3783"/>
      <c r="AH85" s="3783"/>
      <c r="AI85" s="3783"/>
      <c r="AJ85" s="3783"/>
      <c r="AK85" s="3783"/>
      <c r="AL85" s="3783"/>
      <c r="AM85" s="3783"/>
      <c r="AN85" s="3783"/>
      <c r="AO85" s="3811"/>
      <c r="AP85" s="3811"/>
      <c r="AQ85" s="3817"/>
    </row>
    <row r="86" spans="1:43" s="473" customFormat="1" ht="86.25" customHeight="1" x14ac:dyDescent="0.25">
      <c r="A86" s="535"/>
      <c r="B86" s="359"/>
      <c r="C86" s="359"/>
      <c r="D86" s="537"/>
      <c r="E86" s="538"/>
      <c r="F86" s="539"/>
      <c r="G86" s="3850"/>
      <c r="H86" s="3850"/>
      <c r="I86" s="3519"/>
      <c r="J86" s="3761"/>
      <c r="K86" s="3480"/>
      <c r="L86" s="3480"/>
      <c r="M86" s="3783"/>
      <c r="N86" s="2237"/>
      <c r="O86" s="3060"/>
      <c r="P86" s="3480"/>
      <c r="Q86" s="3851"/>
      <c r="R86" s="3823"/>
      <c r="S86" s="3480"/>
      <c r="T86" s="3480"/>
      <c r="U86" s="2199" t="s">
        <v>1957</v>
      </c>
      <c r="V86" s="1618">
        <f>0+9000000</f>
        <v>9000000</v>
      </c>
      <c r="W86" s="3853"/>
      <c r="X86" s="3854"/>
      <c r="Y86" s="3799"/>
      <c r="Z86" s="3783"/>
      <c r="AA86" s="3783"/>
      <c r="AB86" s="3783"/>
      <c r="AC86" s="3783"/>
      <c r="AD86" s="3783"/>
      <c r="AE86" s="3783"/>
      <c r="AF86" s="3783"/>
      <c r="AG86" s="3783"/>
      <c r="AH86" s="3783"/>
      <c r="AI86" s="3783"/>
      <c r="AJ86" s="3783"/>
      <c r="AK86" s="3783"/>
      <c r="AL86" s="3783"/>
      <c r="AM86" s="3783"/>
      <c r="AN86" s="3783"/>
      <c r="AO86" s="3811"/>
      <c r="AP86" s="3811"/>
      <c r="AQ86" s="3817"/>
    </row>
    <row r="87" spans="1:43" s="473" customFormat="1" ht="15.75" x14ac:dyDescent="0.25">
      <c r="A87" s="540"/>
      <c r="B87" s="541"/>
      <c r="C87" s="542"/>
      <c r="D87" s="143">
        <v>7</v>
      </c>
      <c r="E87" s="513" t="s">
        <v>1958</v>
      </c>
      <c r="F87" s="513"/>
      <c r="G87" s="2179"/>
      <c r="H87" s="2179"/>
      <c r="I87" s="2179"/>
      <c r="J87" s="2179"/>
      <c r="K87" s="543"/>
      <c r="L87" s="543"/>
      <c r="M87" s="2179"/>
      <c r="N87" s="544"/>
      <c r="O87" s="544"/>
      <c r="P87" s="1079"/>
      <c r="Q87" s="545"/>
      <c r="R87" s="546"/>
      <c r="S87" s="543"/>
      <c r="T87" s="543"/>
      <c r="U87" s="543"/>
      <c r="V87" s="1134"/>
      <c r="W87" s="149"/>
      <c r="X87" s="1388"/>
      <c r="Y87" s="544"/>
      <c r="Z87" s="544"/>
      <c r="AA87" s="319"/>
      <c r="AB87" s="319"/>
      <c r="AC87" s="319"/>
      <c r="AD87" s="319"/>
      <c r="AE87" s="319"/>
      <c r="AF87" s="319"/>
      <c r="AG87" s="319"/>
      <c r="AH87" s="547"/>
      <c r="AI87" s="547"/>
      <c r="AJ87" s="548"/>
      <c r="AK87" s="548"/>
      <c r="AL87" s="549"/>
      <c r="AM87" s="548"/>
      <c r="AN87" s="550"/>
      <c r="AO87" s="550"/>
      <c r="AP87" s="550"/>
      <c r="AQ87" s="551"/>
    </row>
    <row r="88" spans="1:43" s="473" customFormat="1" ht="15.75" x14ac:dyDescent="0.25">
      <c r="A88" s="540"/>
      <c r="B88" s="541"/>
      <c r="C88" s="541"/>
      <c r="D88" s="483"/>
      <c r="E88" s="484"/>
      <c r="F88" s="485"/>
      <c r="G88" s="552">
        <v>23</v>
      </c>
      <c r="H88" s="553" t="s">
        <v>1959</v>
      </c>
      <c r="I88" s="554"/>
      <c r="J88" s="554"/>
      <c r="K88" s="417"/>
      <c r="L88" s="417"/>
      <c r="M88" s="416"/>
      <c r="N88" s="418"/>
      <c r="O88" s="416"/>
      <c r="P88" s="1080"/>
      <c r="Q88" s="416"/>
      <c r="R88" s="555"/>
      <c r="S88" s="417"/>
      <c r="T88" s="417"/>
      <c r="U88" s="417"/>
      <c r="V88" s="556"/>
      <c r="W88" s="418"/>
      <c r="X88" s="554"/>
      <c r="Y88" s="416"/>
      <c r="Z88" s="416"/>
      <c r="AA88" s="416"/>
      <c r="AB88" s="416"/>
      <c r="AC88" s="416"/>
      <c r="AD88" s="416"/>
      <c r="AE88" s="416"/>
      <c r="AF88" s="416"/>
      <c r="AG88" s="416"/>
      <c r="AH88" s="416"/>
      <c r="AI88" s="416"/>
      <c r="AJ88" s="557"/>
      <c r="AK88" s="557"/>
      <c r="AL88" s="558"/>
      <c r="AM88" s="557"/>
      <c r="AN88" s="557"/>
      <c r="AO88" s="557"/>
      <c r="AP88" s="557"/>
      <c r="AQ88" s="559"/>
    </row>
    <row r="89" spans="1:43" s="473" customFormat="1" ht="89.25" customHeight="1" x14ac:dyDescent="0.25">
      <c r="A89" s="540"/>
      <c r="B89" s="541"/>
      <c r="C89" s="541"/>
      <c r="D89" s="493"/>
      <c r="E89" s="494"/>
      <c r="F89" s="495"/>
      <c r="G89" s="2219"/>
      <c r="H89" s="2220"/>
      <c r="I89" s="2221"/>
      <c r="J89" s="2245">
        <v>98</v>
      </c>
      <c r="K89" s="508" t="s">
        <v>1960</v>
      </c>
      <c r="L89" s="508" t="s">
        <v>1961</v>
      </c>
      <c r="M89" s="2197">
        <v>55</v>
      </c>
      <c r="N89" s="2237"/>
      <c r="O89" s="3060" t="s">
        <v>1962</v>
      </c>
      <c r="P89" s="3480" t="s">
        <v>1963</v>
      </c>
      <c r="Q89" s="533">
        <v>0</v>
      </c>
      <c r="R89" s="3823">
        <f>+V91+V93</f>
        <v>0</v>
      </c>
      <c r="S89" s="3480" t="s">
        <v>1964</v>
      </c>
      <c r="T89" s="508" t="s">
        <v>1965</v>
      </c>
      <c r="U89" s="2189" t="s">
        <v>1966</v>
      </c>
      <c r="V89" s="1044"/>
      <c r="W89" s="3856"/>
      <c r="X89" s="3859"/>
      <c r="Y89" s="3727">
        <v>20555</v>
      </c>
      <c r="Z89" s="3727">
        <v>21361</v>
      </c>
      <c r="AA89" s="3855">
        <v>30460</v>
      </c>
      <c r="AB89" s="3855">
        <v>9593</v>
      </c>
      <c r="AC89" s="3855">
        <v>1762</v>
      </c>
      <c r="AD89" s="3855">
        <v>93</v>
      </c>
      <c r="AE89" s="3855">
        <v>238</v>
      </c>
      <c r="AF89" s="3855">
        <v>245</v>
      </c>
      <c r="AG89" s="3855">
        <v>0</v>
      </c>
      <c r="AH89" s="3855">
        <v>0</v>
      </c>
      <c r="AI89" s="3855">
        <v>0</v>
      </c>
      <c r="AJ89" s="3866">
        <v>0</v>
      </c>
      <c r="AK89" s="3866">
        <v>2629</v>
      </c>
      <c r="AL89" s="3866">
        <v>2665</v>
      </c>
      <c r="AM89" s="3866">
        <v>2683</v>
      </c>
      <c r="AN89" s="3867">
        <v>43946</v>
      </c>
      <c r="AO89" s="3834"/>
      <c r="AP89" s="3473"/>
      <c r="AQ89" s="3818" t="s">
        <v>1782</v>
      </c>
    </row>
    <row r="90" spans="1:43" s="473" customFormat="1" ht="81" customHeight="1" x14ac:dyDescent="0.25">
      <c r="A90" s="540"/>
      <c r="B90" s="541"/>
      <c r="C90" s="541"/>
      <c r="D90" s="493"/>
      <c r="E90" s="494"/>
      <c r="F90" s="495"/>
      <c r="G90" s="2220"/>
      <c r="H90" s="2220"/>
      <c r="I90" s="2221"/>
      <c r="J90" s="2180">
        <v>99</v>
      </c>
      <c r="K90" s="425" t="s">
        <v>1967</v>
      </c>
      <c r="L90" s="425" t="s">
        <v>1968</v>
      </c>
      <c r="M90" s="2191">
        <v>150</v>
      </c>
      <c r="N90" s="560"/>
      <c r="O90" s="3060"/>
      <c r="P90" s="3480"/>
      <c r="Q90" s="561">
        <v>0</v>
      </c>
      <c r="R90" s="3823"/>
      <c r="S90" s="3480"/>
      <c r="T90" s="425" t="s">
        <v>1969</v>
      </c>
      <c r="U90" s="562" t="s">
        <v>1970</v>
      </c>
      <c r="V90" s="1045"/>
      <c r="W90" s="3857"/>
      <c r="X90" s="3860"/>
      <c r="Y90" s="3727"/>
      <c r="Z90" s="3727"/>
      <c r="AA90" s="3855"/>
      <c r="AB90" s="3855"/>
      <c r="AC90" s="3855"/>
      <c r="AD90" s="3855"/>
      <c r="AE90" s="3855"/>
      <c r="AF90" s="3855"/>
      <c r="AG90" s="3855"/>
      <c r="AH90" s="3855"/>
      <c r="AI90" s="3855"/>
      <c r="AJ90" s="3866"/>
      <c r="AK90" s="3866"/>
      <c r="AL90" s="3866"/>
      <c r="AM90" s="3866"/>
      <c r="AN90" s="3867"/>
      <c r="AO90" s="3835"/>
      <c r="AP90" s="3474"/>
      <c r="AQ90" s="3862"/>
    </row>
    <row r="91" spans="1:43" s="473" customFormat="1" ht="72" customHeight="1" x14ac:dyDescent="0.25">
      <c r="A91" s="540"/>
      <c r="B91" s="541"/>
      <c r="C91" s="541"/>
      <c r="D91" s="493"/>
      <c r="E91" s="494"/>
      <c r="F91" s="495"/>
      <c r="G91" s="2220"/>
      <c r="H91" s="2220"/>
      <c r="I91" s="2221"/>
      <c r="J91" s="2180">
        <v>100</v>
      </c>
      <c r="K91" s="425" t="s">
        <v>1971</v>
      </c>
      <c r="L91" s="425" t="s">
        <v>1972</v>
      </c>
      <c r="M91" s="2191">
        <v>6</v>
      </c>
      <c r="N91" s="2237"/>
      <c r="O91" s="3060"/>
      <c r="P91" s="3480"/>
      <c r="Q91" s="561">
        <v>0</v>
      </c>
      <c r="R91" s="3823"/>
      <c r="S91" s="3480"/>
      <c r="T91" s="425" t="s">
        <v>1971</v>
      </c>
      <c r="U91" s="562" t="s">
        <v>1973</v>
      </c>
      <c r="V91" s="2258"/>
      <c r="W91" s="3857"/>
      <c r="X91" s="3860"/>
      <c r="Y91" s="3727"/>
      <c r="Z91" s="3727"/>
      <c r="AA91" s="3855"/>
      <c r="AB91" s="3855"/>
      <c r="AC91" s="3855"/>
      <c r="AD91" s="3855"/>
      <c r="AE91" s="3855"/>
      <c r="AF91" s="3855"/>
      <c r="AG91" s="3855"/>
      <c r="AH91" s="3855"/>
      <c r="AI91" s="3855"/>
      <c r="AJ91" s="3866"/>
      <c r="AK91" s="3866"/>
      <c r="AL91" s="3866"/>
      <c r="AM91" s="3866"/>
      <c r="AN91" s="3867"/>
      <c r="AO91" s="3835"/>
      <c r="AP91" s="3474"/>
      <c r="AQ91" s="3862"/>
    </row>
    <row r="92" spans="1:43" s="473" customFormat="1" ht="49.5" customHeight="1" x14ac:dyDescent="0.25">
      <c r="A92" s="540"/>
      <c r="B92" s="541"/>
      <c r="C92" s="541"/>
      <c r="D92" s="493"/>
      <c r="E92" s="494"/>
      <c r="F92" s="495"/>
      <c r="G92" s="2220"/>
      <c r="H92" s="2220"/>
      <c r="I92" s="2221"/>
      <c r="J92" s="2180">
        <v>101</v>
      </c>
      <c r="K92" s="425" t="s">
        <v>1974</v>
      </c>
      <c r="L92" s="425" t="s">
        <v>1975</v>
      </c>
      <c r="M92" s="2191">
        <v>54</v>
      </c>
      <c r="N92" s="2237"/>
      <c r="O92" s="3060"/>
      <c r="P92" s="3480"/>
      <c r="Q92" s="561">
        <v>0</v>
      </c>
      <c r="R92" s="3823"/>
      <c r="S92" s="3480"/>
      <c r="T92" s="425" t="s">
        <v>1976</v>
      </c>
      <c r="U92" s="2190" t="s">
        <v>1977</v>
      </c>
      <c r="V92" s="1045"/>
      <c r="W92" s="3857"/>
      <c r="X92" s="3860"/>
      <c r="Y92" s="3727"/>
      <c r="Z92" s="3727"/>
      <c r="AA92" s="3855"/>
      <c r="AB92" s="3855"/>
      <c r="AC92" s="3855"/>
      <c r="AD92" s="3855"/>
      <c r="AE92" s="3855"/>
      <c r="AF92" s="3855"/>
      <c r="AG92" s="3855"/>
      <c r="AH92" s="3855"/>
      <c r="AI92" s="3855"/>
      <c r="AJ92" s="3866"/>
      <c r="AK92" s="3866"/>
      <c r="AL92" s="3866"/>
      <c r="AM92" s="3866"/>
      <c r="AN92" s="3867"/>
      <c r="AO92" s="3835"/>
      <c r="AP92" s="3474"/>
      <c r="AQ92" s="3862"/>
    </row>
    <row r="93" spans="1:43" s="473" customFormat="1" ht="60.75" customHeight="1" x14ac:dyDescent="0.25">
      <c r="A93" s="540"/>
      <c r="B93" s="541"/>
      <c r="C93" s="541"/>
      <c r="D93" s="493"/>
      <c r="E93" s="494"/>
      <c r="F93" s="495"/>
      <c r="G93" s="2220"/>
      <c r="H93" s="2220"/>
      <c r="I93" s="2221"/>
      <c r="J93" s="2244">
        <v>102</v>
      </c>
      <c r="K93" s="511" t="s">
        <v>1978</v>
      </c>
      <c r="L93" s="511" t="s">
        <v>1979</v>
      </c>
      <c r="M93" s="2229">
        <v>1</v>
      </c>
      <c r="N93" s="2237"/>
      <c r="O93" s="3060"/>
      <c r="P93" s="3480"/>
      <c r="Q93" s="534">
        <v>0</v>
      </c>
      <c r="R93" s="3823"/>
      <c r="S93" s="3480"/>
      <c r="T93" s="511" t="s">
        <v>1980</v>
      </c>
      <c r="U93" s="2174" t="s">
        <v>1981</v>
      </c>
      <c r="V93" s="2182"/>
      <c r="W93" s="3858"/>
      <c r="X93" s="3861"/>
      <c r="Y93" s="3727"/>
      <c r="Z93" s="3727"/>
      <c r="AA93" s="3855"/>
      <c r="AB93" s="3855"/>
      <c r="AC93" s="3855"/>
      <c r="AD93" s="3855"/>
      <c r="AE93" s="3855"/>
      <c r="AF93" s="3855"/>
      <c r="AG93" s="3855"/>
      <c r="AH93" s="3855"/>
      <c r="AI93" s="3855"/>
      <c r="AJ93" s="3866"/>
      <c r="AK93" s="3866"/>
      <c r="AL93" s="3866"/>
      <c r="AM93" s="3866"/>
      <c r="AN93" s="3867"/>
      <c r="AO93" s="3836"/>
      <c r="AP93" s="3522"/>
      <c r="AQ93" s="3816"/>
    </row>
    <row r="94" spans="1:43" s="473" customFormat="1" ht="15.75" x14ac:dyDescent="0.25">
      <c r="A94" s="563"/>
      <c r="B94" s="564"/>
      <c r="C94" s="564"/>
      <c r="D94" s="563"/>
      <c r="E94" s="564"/>
      <c r="F94" s="565"/>
      <c r="G94" s="522">
        <v>24</v>
      </c>
      <c r="H94" s="2175" t="s">
        <v>1982</v>
      </c>
      <c r="I94" s="2175"/>
      <c r="J94" s="2175"/>
      <c r="K94" s="157"/>
      <c r="L94" s="157"/>
      <c r="M94" s="2175"/>
      <c r="N94" s="158"/>
      <c r="O94" s="2175"/>
      <c r="P94" s="170"/>
      <c r="Q94" s="487"/>
      <c r="R94" s="566"/>
      <c r="S94" s="157"/>
      <c r="T94" s="157"/>
      <c r="U94" s="157"/>
      <c r="V94" s="556"/>
      <c r="W94" s="161"/>
      <c r="X94" s="2175"/>
      <c r="Y94" s="2175"/>
      <c r="Z94" s="2175"/>
      <c r="AA94" s="2175"/>
      <c r="AB94" s="2175"/>
      <c r="AC94" s="2175"/>
      <c r="AD94" s="2175"/>
      <c r="AE94" s="2175"/>
      <c r="AF94" s="2175"/>
      <c r="AG94" s="2175"/>
      <c r="AH94" s="490"/>
      <c r="AI94" s="490"/>
      <c r="AJ94" s="491"/>
      <c r="AK94" s="491"/>
      <c r="AL94" s="491"/>
      <c r="AM94" s="491"/>
      <c r="AN94" s="491"/>
      <c r="AO94" s="491"/>
      <c r="AP94" s="491"/>
      <c r="AQ94" s="501"/>
    </row>
    <row r="95" spans="1:43" s="473" customFormat="1" ht="58.5" customHeight="1" x14ac:dyDescent="0.25">
      <c r="A95" s="324"/>
      <c r="B95" s="124"/>
      <c r="C95" s="124"/>
      <c r="D95" s="324"/>
      <c r="E95" s="124"/>
      <c r="F95" s="325"/>
      <c r="G95" s="2220"/>
      <c r="H95" s="2220"/>
      <c r="I95" s="2221"/>
      <c r="J95" s="2245">
        <v>103</v>
      </c>
      <c r="K95" s="508" t="s">
        <v>1983</v>
      </c>
      <c r="L95" s="508" t="s">
        <v>1984</v>
      </c>
      <c r="M95" s="2197">
        <v>1</v>
      </c>
      <c r="N95" s="2237"/>
      <c r="O95" s="3059" t="s">
        <v>1985</v>
      </c>
      <c r="P95" s="3479" t="s">
        <v>1986</v>
      </c>
      <c r="Q95" s="533">
        <f>+V95/R95</f>
        <v>1.3996309129478067E-2</v>
      </c>
      <c r="R95" s="3863">
        <f>SUM(V95:V101)</f>
        <v>709972887</v>
      </c>
      <c r="S95" s="3775" t="s">
        <v>1987</v>
      </c>
      <c r="T95" s="3479" t="s">
        <v>1988</v>
      </c>
      <c r="U95" s="2225" t="s">
        <v>1989</v>
      </c>
      <c r="V95" s="2256">
        <v>9937000</v>
      </c>
      <c r="W95" s="1628" t="s">
        <v>60</v>
      </c>
      <c r="X95" s="2260" t="s">
        <v>61</v>
      </c>
      <c r="Y95" s="3059">
        <v>21554</v>
      </c>
      <c r="Z95" s="3059">
        <v>22392</v>
      </c>
      <c r="AA95" s="3059">
        <v>31677</v>
      </c>
      <c r="AB95" s="3059">
        <v>10302</v>
      </c>
      <c r="AC95" s="3059">
        <v>1874</v>
      </c>
      <c r="AD95" s="3059">
        <v>93</v>
      </c>
      <c r="AE95" s="3059">
        <v>238</v>
      </c>
      <c r="AF95" s="3059">
        <v>245</v>
      </c>
      <c r="AG95" s="3059">
        <v>0</v>
      </c>
      <c r="AH95" s="3059">
        <v>0</v>
      </c>
      <c r="AI95" s="3059">
        <v>0</v>
      </c>
      <c r="AJ95" s="3059">
        <v>0</v>
      </c>
      <c r="AK95" s="3059">
        <v>2629</v>
      </c>
      <c r="AL95" s="3059">
        <v>2629</v>
      </c>
      <c r="AM95" s="3059">
        <v>2683</v>
      </c>
      <c r="AN95" s="3059">
        <v>43946</v>
      </c>
      <c r="AO95" s="3834">
        <v>43500</v>
      </c>
      <c r="AP95" s="3813">
        <v>43798</v>
      </c>
      <c r="AQ95" s="3813" t="s">
        <v>1782</v>
      </c>
    </row>
    <row r="96" spans="1:43" s="473" customFormat="1" ht="30.75" customHeight="1" x14ac:dyDescent="0.25">
      <c r="A96" s="324"/>
      <c r="B96" s="124"/>
      <c r="C96" s="124"/>
      <c r="D96" s="324"/>
      <c r="E96" s="124"/>
      <c r="F96" s="325"/>
      <c r="G96" s="2220"/>
      <c r="H96" s="2220"/>
      <c r="I96" s="2221"/>
      <c r="J96" s="3772">
        <v>104</v>
      </c>
      <c r="K96" s="3059" t="s">
        <v>1990</v>
      </c>
      <c r="L96" s="3728" t="s">
        <v>1991</v>
      </c>
      <c r="M96" s="2804">
        <v>50</v>
      </c>
      <c r="N96" s="3060" t="s">
        <v>1992</v>
      </c>
      <c r="O96" s="3060"/>
      <c r="P96" s="3480"/>
      <c r="Q96" s="3868">
        <f>(+V96+V97)/R95</f>
        <v>3.9936736344693684E-2</v>
      </c>
      <c r="R96" s="3768"/>
      <c r="S96" s="3865"/>
      <c r="T96" s="3480"/>
      <c r="U96" s="3825" t="s">
        <v>1993</v>
      </c>
      <c r="V96" s="1601">
        <v>9937000</v>
      </c>
      <c r="W96" s="1513" t="s">
        <v>60</v>
      </c>
      <c r="X96" s="2260" t="s">
        <v>61</v>
      </c>
      <c r="Y96" s="3060"/>
      <c r="Z96" s="3060"/>
      <c r="AA96" s="3060"/>
      <c r="AB96" s="3060"/>
      <c r="AC96" s="3060"/>
      <c r="AD96" s="3060"/>
      <c r="AE96" s="3060"/>
      <c r="AF96" s="3060"/>
      <c r="AG96" s="3060"/>
      <c r="AH96" s="3060"/>
      <c r="AI96" s="3060"/>
      <c r="AJ96" s="3060"/>
      <c r="AK96" s="3060"/>
      <c r="AL96" s="3060"/>
      <c r="AM96" s="3060"/>
      <c r="AN96" s="3060"/>
      <c r="AO96" s="3835"/>
      <c r="AP96" s="3814"/>
      <c r="AQ96" s="3814"/>
    </row>
    <row r="97" spans="1:43" s="473" customFormat="1" ht="33.75" customHeight="1" x14ac:dyDescent="0.25">
      <c r="A97" s="324"/>
      <c r="B97" s="124"/>
      <c r="C97" s="124"/>
      <c r="D97" s="324"/>
      <c r="E97" s="124"/>
      <c r="F97" s="325"/>
      <c r="G97" s="2220"/>
      <c r="H97" s="2220"/>
      <c r="I97" s="2221"/>
      <c r="J97" s="3773"/>
      <c r="K97" s="3061"/>
      <c r="L97" s="3785"/>
      <c r="M97" s="2968"/>
      <c r="N97" s="3060"/>
      <c r="O97" s="3060"/>
      <c r="P97" s="3480"/>
      <c r="Q97" s="3846"/>
      <c r="R97" s="3768"/>
      <c r="S97" s="3865"/>
      <c r="T97" s="3480"/>
      <c r="U97" s="3826"/>
      <c r="V97" s="1409">
        <f>0+18417000</f>
        <v>18417000</v>
      </c>
      <c r="W97" s="1513">
        <v>88</v>
      </c>
      <c r="X97" s="2260" t="s">
        <v>1994</v>
      </c>
      <c r="Y97" s="3060"/>
      <c r="Z97" s="3060"/>
      <c r="AA97" s="3060"/>
      <c r="AB97" s="3060"/>
      <c r="AC97" s="3060"/>
      <c r="AD97" s="3060"/>
      <c r="AE97" s="3060"/>
      <c r="AF97" s="3060"/>
      <c r="AG97" s="3060"/>
      <c r="AH97" s="3060"/>
      <c r="AI97" s="3060"/>
      <c r="AJ97" s="3060"/>
      <c r="AK97" s="3060"/>
      <c r="AL97" s="3060"/>
      <c r="AM97" s="3060"/>
      <c r="AN97" s="3060"/>
      <c r="AO97" s="3835"/>
      <c r="AP97" s="3814"/>
      <c r="AQ97" s="3814"/>
    </row>
    <row r="98" spans="1:43" s="473" customFormat="1" ht="47.25" customHeight="1" x14ac:dyDescent="0.25">
      <c r="A98" s="324"/>
      <c r="B98" s="124"/>
      <c r="C98" s="124"/>
      <c r="D98" s="324"/>
      <c r="E98" s="124"/>
      <c r="F98" s="325"/>
      <c r="G98" s="2220"/>
      <c r="H98" s="2220"/>
      <c r="I98" s="2221"/>
      <c r="J98" s="3772">
        <v>105</v>
      </c>
      <c r="K98" s="3479" t="s">
        <v>1995</v>
      </c>
      <c r="L98" s="3479" t="s">
        <v>1991</v>
      </c>
      <c r="M98" s="2804">
        <v>47</v>
      </c>
      <c r="N98" s="3060"/>
      <c r="O98" s="3060"/>
      <c r="P98" s="3480"/>
      <c r="Q98" s="3868">
        <f>(+V98+V99)/R95</f>
        <v>0.87564172996369649</v>
      </c>
      <c r="R98" s="3768"/>
      <c r="S98" s="3865"/>
      <c r="T98" s="3480"/>
      <c r="U98" s="3827" t="s">
        <v>1996</v>
      </c>
      <c r="V98" s="1409">
        <v>9937000</v>
      </c>
      <c r="W98" s="1513" t="s">
        <v>60</v>
      </c>
      <c r="X98" s="2195" t="s">
        <v>61</v>
      </c>
      <c r="Y98" s="3060"/>
      <c r="Z98" s="3060"/>
      <c r="AA98" s="3060"/>
      <c r="AB98" s="3060"/>
      <c r="AC98" s="3060"/>
      <c r="AD98" s="3060"/>
      <c r="AE98" s="3060"/>
      <c r="AF98" s="3060"/>
      <c r="AG98" s="3060"/>
      <c r="AH98" s="3060"/>
      <c r="AI98" s="3060"/>
      <c r="AJ98" s="3060"/>
      <c r="AK98" s="3060"/>
      <c r="AL98" s="3060"/>
      <c r="AM98" s="3060"/>
      <c r="AN98" s="3060"/>
      <c r="AO98" s="3835"/>
      <c r="AP98" s="3814"/>
      <c r="AQ98" s="3814"/>
    </row>
    <row r="99" spans="1:43" s="473" customFormat="1" ht="42.75" customHeight="1" x14ac:dyDescent="0.25">
      <c r="A99" s="324"/>
      <c r="B99" s="124"/>
      <c r="C99" s="124"/>
      <c r="D99" s="324"/>
      <c r="E99" s="124"/>
      <c r="F99" s="325"/>
      <c r="G99" s="2220"/>
      <c r="H99" s="2220"/>
      <c r="I99" s="2221"/>
      <c r="J99" s="3773"/>
      <c r="K99" s="3740"/>
      <c r="L99" s="3740"/>
      <c r="M99" s="2968"/>
      <c r="N99" s="3060"/>
      <c r="O99" s="3060"/>
      <c r="P99" s="3480"/>
      <c r="Q99" s="3846"/>
      <c r="R99" s="3768"/>
      <c r="S99" s="3865"/>
      <c r="T99" s="3480"/>
      <c r="U99" s="2972"/>
      <c r="V99" s="1655">
        <v>611744887</v>
      </c>
      <c r="W99" s="1516">
        <v>88</v>
      </c>
      <c r="X99" s="2259" t="s">
        <v>1994</v>
      </c>
      <c r="Y99" s="3498"/>
      <c r="Z99" s="3060"/>
      <c r="AA99" s="3060"/>
      <c r="AB99" s="3060"/>
      <c r="AC99" s="3060"/>
      <c r="AD99" s="3060"/>
      <c r="AE99" s="3060"/>
      <c r="AF99" s="3060"/>
      <c r="AG99" s="3060"/>
      <c r="AH99" s="3060"/>
      <c r="AI99" s="3060"/>
      <c r="AJ99" s="3060"/>
      <c r="AK99" s="3060"/>
      <c r="AL99" s="3060"/>
      <c r="AM99" s="3060"/>
      <c r="AN99" s="3060"/>
      <c r="AO99" s="3835"/>
      <c r="AP99" s="3814"/>
      <c r="AQ99" s="3814"/>
    </row>
    <row r="100" spans="1:43" s="473" customFormat="1" ht="33" customHeight="1" x14ac:dyDescent="0.25">
      <c r="A100" s="324"/>
      <c r="B100" s="124"/>
      <c r="C100" s="124"/>
      <c r="D100" s="324"/>
      <c r="E100" s="124"/>
      <c r="F100" s="325"/>
      <c r="G100" s="2220"/>
      <c r="H100" s="2220"/>
      <c r="I100" s="2221"/>
      <c r="J100" s="3772">
        <v>106</v>
      </c>
      <c r="K100" s="3479" t="s">
        <v>1997</v>
      </c>
      <c r="L100" s="3059" t="s">
        <v>1998</v>
      </c>
      <c r="M100" s="3772">
        <v>1</v>
      </c>
      <c r="N100" s="3060"/>
      <c r="O100" s="3060"/>
      <c r="P100" s="3480"/>
      <c r="Q100" s="3868">
        <f>(+V100+V101)/R95</f>
        <v>7.0425224562131766E-2</v>
      </c>
      <c r="R100" s="3768"/>
      <c r="S100" s="3865"/>
      <c r="T100" s="3480"/>
      <c r="U100" s="2970" t="s">
        <v>1999</v>
      </c>
      <c r="V100" s="1655">
        <v>15900000</v>
      </c>
      <c r="W100" s="1516" t="s">
        <v>60</v>
      </c>
      <c r="X100" s="2259" t="s">
        <v>61</v>
      </c>
      <c r="Y100" s="3498"/>
      <c r="Z100" s="3060"/>
      <c r="AA100" s="3060"/>
      <c r="AB100" s="3060"/>
      <c r="AC100" s="3060"/>
      <c r="AD100" s="3060"/>
      <c r="AE100" s="3060"/>
      <c r="AF100" s="3060"/>
      <c r="AG100" s="3060"/>
      <c r="AH100" s="3060"/>
      <c r="AI100" s="3060"/>
      <c r="AJ100" s="3060"/>
      <c r="AK100" s="3060"/>
      <c r="AL100" s="3060"/>
      <c r="AM100" s="3060"/>
      <c r="AN100" s="3060"/>
      <c r="AO100" s="3835"/>
      <c r="AP100" s="3814"/>
      <c r="AQ100" s="3814"/>
    </row>
    <row r="101" spans="1:43" s="473" customFormat="1" ht="45" customHeight="1" x14ac:dyDescent="0.25">
      <c r="A101" s="324"/>
      <c r="B101" s="124"/>
      <c r="C101" s="124"/>
      <c r="D101" s="324"/>
      <c r="E101" s="124"/>
      <c r="F101" s="325"/>
      <c r="G101" s="2220"/>
      <c r="H101" s="2220"/>
      <c r="I101" s="2220"/>
      <c r="J101" s="3773"/>
      <c r="K101" s="3740"/>
      <c r="L101" s="3061"/>
      <c r="M101" s="3773"/>
      <c r="N101" s="2203"/>
      <c r="O101" s="2203"/>
      <c r="P101" s="2210"/>
      <c r="Q101" s="3846"/>
      <c r="R101" s="3864"/>
      <c r="S101" s="2252"/>
      <c r="T101" s="2210"/>
      <c r="U101" s="2972"/>
      <c r="V101" s="2486">
        <f>0+34100000</f>
        <v>34100000</v>
      </c>
      <c r="W101" s="1516">
        <v>88</v>
      </c>
      <c r="X101" s="2259" t="s">
        <v>1994</v>
      </c>
      <c r="Y101" s="2216"/>
      <c r="Z101" s="2204"/>
      <c r="AA101" s="2204"/>
      <c r="AB101" s="2204"/>
      <c r="AC101" s="2204"/>
      <c r="AD101" s="2204"/>
      <c r="AE101" s="2204"/>
      <c r="AF101" s="2204"/>
      <c r="AG101" s="2204"/>
      <c r="AH101" s="2204"/>
      <c r="AI101" s="2204"/>
      <c r="AJ101" s="2204"/>
      <c r="AK101" s="2204"/>
      <c r="AL101" s="2204"/>
      <c r="AM101" s="2204"/>
      <c r="AN101" s="2204"/>
      <c r="AO101" s="3836"/>
      <c r="AP101" s="3815"/>
      <c r="AQ101" s="2232"/>
    </row>
    <row r="102" spans="1:43" s="473" customFormat="1" ht="41.25" customHeight="1" x14ac:dyDescent="0.25">
      <c r="A102" s="324"/>
      <c r="B102" s="124"/>
      <c r="C102" s="124"/>
      <c r="D102" s="324"/>
      <c r="E102" s="124"/>
      <c r="F102" s="325"/>
      <c r="G102" s="2220"/>
      <c r="H102" s="2220"/>
      <c r="I102" s="2220"/>
      <c r="J102" s="2907">
        <v>107</v>
      </c>
      <c r="K102" s="2767" t="s">
        <v>2000</v>
      </c>
      <c r="L102" s="3869" t="s">
        <v>2001</v>
      </c>
      <c r="M102" s="2907">
        <v>1</v>
      </c>
      <c r="N102" s="2795" t="s">
        <v>2002</v>
      </c>
      <c r="O102" s="2907" t="s">
        <v>2003</v>
      </c>
      <c r="P102" s="2767" t="s">
        <v>2004</v>
      </c>
      <c r="Q102" s="3870">
        <f>SUM(V102:V105)/R102</f>
        <v>1</v>
      </c>
      <c r="R102" s="3873">
        <f>SUM(V102:V105)</f>
        <v>1294717884</v>
      </c>
      <c r="S102" s="3869" t="s">
        <v>1987</v>
      </c>
      <c r="T102" s="3869" t="s">
        <v>1988</v>
      </c>
      <c r="U102" s="3827" t="s">
        <v>2005</v>
      </c>
      <c r="V102" s="1601">
        <v>150000000</v>
      </c>
      <c r="W102" s="1629">
        <v>35</v>
      </c>
      <c r="X102" s="2196" t="s">
        <v>2006</v>
      </c>
      <c r="Y102" s="2774">
        <v>21554</v>
      </c>
      <c r="Z102" s="2907">
        <v>22392</v>
      </c>
      <c r="AA102" s="2764">
        <v>31677</v>
      </c>
      <c r="AB102" s="2772">
        <v>10302</v>
      </c>
      <c r="AC102" s="2764">
        <v>15916</v>
      </c>
      <c r="AD102" s="2772">
        <v>15683</v>
      </c>
      <c r="AE102" s="2772">
        <v>238</v>
      </c>
      <c r="AF102" s="2764">
        <v>245</v>
      </c>
      <c r="AG102" s="2772">
        <v>0</v>
      </c>
      <c r="AH102" s="2772">
        <v>0</v>
      </c>
      <c r="AI102" s="2772">
        <v>0</v>
      </c>
      <c r="AJ102" s="3874">
        <v>0</v>
      </c>
      <c r="AK102" s="3874">
        <v>2629</v>
      </c>
      <c r="AL102" s="3874">
        <v>2665</v>
      </c>
      <c r="AM102" s="3874">
        <v>2683</v>
      </c>
      <c r="AN102" s="3862">
        <v>43946</v>
      </c>
      <c r="AO102" s="3834">
        <v>43500</v>
      </c>
      <c r="AP102" s="3834">
        <v>43798</v>
      </c>
      <c r="AQ102" s="3862" t="s">
        <v>1782</v>
      </c>
    </row>
    <row r="103" spans="1:43" s="473" customFormat="1" ht="32.25" customHeight="1" x14ac:dyDescent="0.25">
      <c r="A103" s="324"/>
      <c r="B103" s="124"/>
      <c r="C103" s="124"/>
      <c r="D103" s="324"/>
      <c r="E103" s="124"/>
      <c r="F103" s="325"/>
      <c r="G103" s="2220"/>
      <c r="H103" s="2220"/>
      <c r="I103" s="2220"/>
      <c r="J103" s="2907"/>
      <c r="K103" s="2767"/>
      <c r="L103" s="3869"/>
      <c r="M103" s="2907"/>
      <c r="N103" s="2914"/>
      <c r="O103" s="2907"/>
      <c r="P103" s="2767"/>
      <c r="Q103" s="3871"/>
      <c r="R103" s="3873"/>
      <c r="S103" s="3869"/>
      <c r="T103" s="3869"/>
      <c r="U103" s="3828"/>
      <c r="V103" s="1601">
        <v>44717884</v>
      </c>
      <c r="W103" s="1625">
        <v>20</v>
      </c>
      <c r="X103" s="2260" t="s">
        <v>2007</v>
      </c>
      <c r="Y103" s="2774"/>
      <c r="Z103" s="2907"/>
      <c r="AA103" s="2764"/>
      <c r="AB103" s="2772"/>
      <c r="AC103" s="2764"/>
      <c r="AD103" s="2772"/>
      <c r="AE103" s="2772"/>
      <c r="AF103" s="2764"/>
      <c r="AG103" s="2772"/>
      <c r="AH103" s="2772"/>
      <c r="AI103" s="2772"/>
      <c r="AJ103" s="3874"/>
      <c r="AK103" s="3874"/>
      <c r="AL103" s="3874"/>
      <c r="AM103" s="3874"/>
      <c r="AN103" s="3862"/>
      <c r="AO103" s="3835"/>
      <c r="AP103" s="3835"/>
      <c r="AQ103" s="3862"/>
    </row>
    <row r="104" spans="1:43" s="473" customFormat="1" ht="41.25" customHeight="1" x14ac:dyDescent="0.25">
      <c r="A104" s="324"/>
      <c r="B104" s="124"/>
      <c r="C104" s="124"/>
      <c r="D104" s="327"/>
      <c r="E104" s="424"/>
      <c r="F104" s="328"/>
      <c r="G104" s="2220"/>
      <c r="H104" s="2220"/>
      <c r="I104" s="2220"/>
      <c r="J104" s="2907"/>
      <c r="K104" s="2767"/>
      <c r="L104" s="3869"/>
      <c r="M104" s="2907"/>
      <c r="N104" s="2914"/>
      <c r="O104" s="2907"/>
      <c r="P104" s="2767"/>
      <c r="Q104" s="3871"/>
      <c r="R104" s="3873"/>
      <c r="S104" s="3869"/>
      <c r="T104" s="3869"/>
      <c r="U104" s="1616" t="s">
        <v>2008</v>
      </c>
      <c r="V104" s="1601">
        <v>1000000000</v>
      </c>
      <c r="W104" s="1625">
        <v>88</v>
      </c>
      <c r="X104" s="2259" t="s">
        <v>1994</v>
      </c>
      <c r="Y104" s="2774"/>
      <c r="Z104" s="2907"/>
      <c r="AA104" s="2764"/>
      <c r="AB104" s="2772"/>
      <c r="AC104" s="2764"/>
      <c r="AD104" s="2772"/>
      <c r="AE104" s="2772"/>
      <c r="AF104" s="2764"/>
      <c r="AG104" s="2772"/>
      <c r="AH104" s="2772"/>
      <c r="AI104" s="2772"/>
      <c r="AJ104" s="3874"/>
      <c r="AK104" s="3874"/>
      <c r="AL104" s="3874"/>
      <c r="AM104" s="3874"/>
      <c r="AN104" s="3862"/>
      <c r="AO104" s="3835"/>
      <c r="AP104" s="3835"/>
      <c r="AQ104" s="3862"/>
    </row>
    <row r="105" spans="1:43" s="473" customFormat="1" ht="76.5" customHeight="1" x14ac:dyDescent="0.25">
      <c r="A105" s="324"/>
      <c r="B105" s="124"/>
      <c r="C105" s="124"/>
      <c r="D105" s="124"/>
      <c r="E105" s="124"/>
      <c r="F105" s="124"/>
      <c r="G105" s="2220"/>
      <c r="H105" s="2220"/>
      <c r="I105" s="2220"/>
      <c r="J105" s="2907"/>
      <c r="K105" s="2767"/>
      <c r="L105" s="3869"/>
      <c r="M105" s="2907"/>
      <c r="N105" s="2773"/>
      <c r="O105" s="2907"/>
      <c r="P105" s="2767"/>
      <c r="Q105" s="3872"/>
      <c r="R105" s="3873"/>
      <c r="S105" s="3869"/>
      <c r="T105" s="3869"/>
      <c r="U105" s="2183" t="s">
        <v>2009</v>
      </c>
      <c r="V105" s="2487">
        <v>100000000</v>
      </c>
      <c r="W105" s="1630">
        <v>20</v>
      </c>
      <c r="X105" s="2260" t="s">
        <v>2007</v>
      </c>
      <c r="Y105" s="2774"/>
      <c r="Z105" s="2907"/>
      <c r="AA105" s="2764"/>
      <c r="AB105" s="2772"/>
      <c r="AC105" s="2764"/>
      <c r="AD105" s="2772"/>
      <c r="AE105" s="2772"/>
      <c r="AF105" s="2764"/>
      <c r="AG105" s="2772"/>
      <c r="AH105" s="2772"/>
      <c r="AI105" s="2772"/>
      <c r="AJ105" s="3874"/>
      <c r="AK105" s="3874"/>
      <c r="AL105" s="3874"/>
      <c r="AM105" s="3874"/>
      <c r="AN105" s="3862"/>
      <c r="AO105" s="3836"/>
      <c r="AP105" s="3836"/>
      <c r="AQ105" s="3862"/>
    </row>
    <row r="106" spans="1:43" s="473" customFormat="1" ht="15.75" x14ac:dyDescent="0.25">
      <c r="A106" s="540"/>
      <c r="B106" s="541"/>
      <c r="C106" s="542"/>
      <c r="D106" s="143">
        <v>8</v>
      </c>
      <c r="E106" s="513" t="s">
        <v>2010</v>
      </c>
      <c r="F106" s="513"/>
      <c r="G106" s="476"/>
      <c r="H106" s="476"/>
      <c r="I106" s="476"/>
      <c r="J106" s="513"/>
      <c r="K106" s="259"/>
      <c r="L106" s="259"/>
      <c r="M106" s="278"/>
      <c r="N106" s="567"/>
      <c r="O106" s="567"/>
      <c r="P106" s="1081"/>
      <c r="Q106" s="568"/>
      <c r="R106" s="330"/>
      <c r="S106" s="259"/>
      <c r="T106" s="259"/>
      <c r="U106" s="259"/>
      <c r="V106" s="569"/>
      <c r="W106" s="277"/>
      <c r="X106" s="513"/>
      <c r="Y106" s="567"/>
      <c r="Z106" s="567"/>
      <c r="AA106" s="570"/>
      <c r="AB106" s="570"/>
      <c r="AC106" s="570"/>
      <c r="AD106" s="570"/>
      <c r="AE106" s="570"/>
      <c r="AF106" s="570"/>
      <c r="AG106" s="570"/>
      <c r="AH106" s="277"/>
      <c r="AI106" s="277"/>
      <c r="AJ106" s="571"/>
      <c r="AK106" s="571"/>
      <c r="AL106" s="571"/>
      <c r="AM106" s="571"/>
      <c r="AN106" s="572"/>
      <c r="AO106" s="572"/>
      <c r="AP106" s="572"/>
      <c r="AQ106" s="573"/>
    </row>
    <row r="107" spans="1:43" s="473" customFormat="1" ht="15.75" x14ac:dyDescent="0.25">
      <c r="A107" s="540"/>
      <c r="B107" s="541"/>
      <c r="C107" s="541"/>
      <c r="D107" s="574"/>
      <c r="E107" s="575"/>
      <c r="F107" s="576"/>
      <c r="G107" s="522">
        <v>25</v>
      </c>
      <c r="H107" s="2175" t="s">
        <v>2011</v>
      </c>
      <c r="I107" s="2175"/>
      <c r="J107" s="2175"/>
      <c r="K107" s="157"/>
      <c r="L107" s="157"/>
      <c r="M107" s="162"/>
      <c r="N107" s="158"/>
      <c r="O107" s="162"/>
      <c r="P107" s="170"/>
      <c r="Q107" s="162"/>
      <c r="R107" s="332"/>
      <c r="S107" s="157"/>
      <c r="T107" s="157"/>
      <c r="U107" s="157"/>
      <c r="V107" s="523"/>
      <c r="W107" s="158"/>
      <c r="X107" s="2175"/>
      <c r="Y107" s="162"/>
      <c r="Z107" s="162"/>
      <c r="AA107" s="162"/>
      <c r="AB107" s="162"/>
      <c r="AC107" s="162"/>
      <c r="AD107" s="162"/>
      <c r="AE107" s="162"/>
      <c r="AF107" s="162"/>
      <c r="AG107" s="162"/>
      <c r="AH107" s="162"/>
      <c r="AI107" s="162"/>
      <c r="AJ107" s="491"/>
      <c r="AK107" s="491"/>
      <c r="AL107" s="491"/>
      <c r="AM107" s="491"/>
      <c r="AN107" s="491"/>
      <c r="AO107" s="491"/>
      <c r="AP107" s="491"/>
      <c r="AQ107" s="501"/>
    </row>
    <row r="108" spans="1:43" s="473" customFormat="1" ht="73.5" customHeight="1" x14ac:dyDescent="0.25">
      <c r="A108" s="540"/>
      <c r="B108" s="541"/>
      <c r="C108" s="541"/>
      <c r="D108" s="577"/>
      <c r="E108" s="578"/>
      <c r="F108" s="579"/>
      <c r="G108" s="167"/>
      <c r="H108" s="167"/>
      <c r="I108" s="167"/>
      <c r="J108" s="2244">
        <v>108</v>
      </c>
      <c r="K108" s="2251" t="s">
        <v>2012</v>
      </c>
      <c r="L108" s="2251" t="s">
        <v>2013</v>
      </c>
      <c r="M108" s="2192">
        <v>4</v>
      </c>
      <c r="N108" s="3059" t="s">
        <v>2014</v>
      </c>
      <c r="O108" s="3059" t="s">
        <v>2015</v>
      </c>
      <c r="P108" s="3480" t="s">
        <v>2016</v>
      </c>
      <c r="Q108" s="2246">
        <f>(+V108)/R108</f>
        <v>0.27072585259981274</v>
      </c>
      <c r="R108" s="3768">
        <f>+V108+V109</f>
        <v>36705028</v>
      </c>
      <c r="S108" s="3480" t="s">
        <v>2017</v>
      </c>
      <c r="T108" s="2251" t="s">
        <v>2018</v>
      </c>
      <c r="U108" s="2195" t="s">
        <v>2019</v>
      </c>
      <c r="V108" s="1621">
        <v>9937000</v>
      </c>
      <c r="W108" s="1626">
        <v>20</v>
      </c>
      <c r="X108" s="1652" t="s">
        <v>1526</v>
      </c>
      <c r="Y108" s="3728">
        <v>21554</v>
      </c>
      <c r="Z108" s="3728">
        <v>22392</v>
      </c>
      <c r="AA108" s="3728">
        <v>31677</v>
      </c>
      <c r="AB108" s="3728">
        <v>10302</v>
      </c>
      <c r="AC108" s="3728">
        <v>15916</v>
      </c>
      <c r="AD108" s="3728">
        <v>15683</v>
      </c>
      <c r="AE108" s="3728">
        <v>238</v>
      </c>
      <c r="AF108" s="3728">
        <v>245</v>
      </c>
      <c r="AG108" s="3728">
        <v>0</v>
      </c>
      <c r="AH108" s="3728">
        <v>0</v>
      </c>
      <c r="AI108" s="3728">
        <v>0</v>
      </c>
      <c r="AJ108" s="3728">
        <v>0</v>
      </c>
      <c r="AK108" s="3728">
        <v>2629</v>
      </c>
      <c r="AL108" s="3728">
        <v>2665</v>
      </c>
      <c r="AM108" s="3728">
        <v>2683</v>
      </c>
      <c r="AN108" s="3728">
        <v>43946</v>
      </c>
      <c r="AO108" s="3813">
        <v>43739</v>
      </c>
      <c r="AP108" s="3813">
        <v>43800</v>
      </c>
      <c r="AQ108" s="3816" t="s">
        <v>1782</v>
      </c>
    </row>
    <row r="109" spans="1:43" s="473" customFormat="1" ht="95.25" customHeight="1" x14ac:dyDescent="0.25">
      <c r="A109" s="540"/>
      <c r="B109" s="541"/>
      <c r="C109" s="541"/>
      <c r="D109" s="577"/>
      <c r="E109" s="578"/>
      <c r="F109" s="579"/>
      <c r="G109" s="167"/>
      <c r="H109" s="167"/>
      <c r="I109" s="167"/>
      <c r="J109" s="2244">
        <v>109</v>
      </c>
      <c r="K109" s="511" t="s">
        <v>2020</v>
      </c>
      <c r="L109" s="511" t="s">
        <v>2021</v>
      </c>
      <c r="M109" s="2192">
        <v>52</v>
      </c>
      <c r="N109" s="3061"/>
      <c r="O109" s="3061"/>
      <c r="P109" s="3480"/>
      <c r="Q109" s="2246">
        <f>(V109)/R108</f>
        <v>0.72927414740018726</v>
      </c>
      <c r="R109" s="3768"/>
      <c r="S109" s="3480"/>
      <c r="T109" s="511" t="s">
        <v>2022</v>
      </c>
      <c r="U109" s="2193" t="s">
        <v>2023</v>
      </c>
      <c r="V109" s="1621">
        <v>26768028</v>
      </c>
      <c r="W109" s="1626">
        <v>20</v>
      </c>
      <c r="X109" s="1652" t="s">
        <v>61</v>
      </c>
      <c r="Y109" s="3785"/>
      <c r="Z109" s="3785"/>
      <c r="AA109" s="3785"/>
      <c r="AB109" s="3785"/>
      <c r="AC109" s="3785"/>
      <c r="AD109" s="3785"/>
      <c r="AE109" s="3785"/>
      <c r="AF109" s="3785"/>
      <c r="AG109" s="3785"/>
      <c r="AH109" s="3785"/>
      <c r="AI109" s="3785"/>
      <c r="AJ109" s="3785"/>
      <c r="AK109" s="3785"/>
      <c r="AL109" s="3785"/>
      <c r="AM109" s="3785"/>
      <c r="AN109" s="3785"/>
      <c r="AO109" s="3815"/>
      <c r="AP109" s="3815"/>
      <c r="AQ109" s="3818"/>
    </row>
    <row r="110" spans="1:43" s="473" customFormat="1" ht="15.75" x14ac:dyDescent="0.25">
      <c r="A110" s="563"/>
      <c r="B110" s="564"/>
      <c r="C110" s="564"/>
      <c r="D110" s="563"/>
      <c r="E110" s="564"/>
      <c r="F110" s="565"/>
      <c r="G110" s="522">
        <v>26</v>
      </c>
      <c r="H110" s="2175" t="s">
        <v>2024</v>
      </c>
      <c r="I110" s="2175"/>
      <c r="J110" s="2175"/>
      <c r="K110" s="157"/>
      <c r="L110" s="157"/>
      <c r="M110" s="162"/>
      <c r="N110" s="158"/>
      <c r="O110" s="162"/>
      <c r="P110" s="170"/>
      <c r="Q110" s="162"/>
      <c r="R110" s="332"/>
      <c r="S110" s="157"/>
      <c r="T110" s="157"/>
      <c r="U110" s="157"/>
      <c r="V110" s="1133"/>
      <c r="W110" s="158"/>
      <c r="X110" s="2175"/>
      <c r="Y110" s="162"/>
      <c r="Z110" s="162"/>
      <c r="AA110" s="162"/>
      <c r="AB110" s="162"/>
      <c r="AC110" s="162"/>
      <c r="AD110" s="162"/>
      <c r="AE110" s="162"/>
      <c r="AF110" s="162"/>
      <c r="AG110" s="162"/>
      <c r="AH110" s="162"/>
      <c r="AI110" s="162"/>
      <c r="AJ110" s="491"/>
      <c r="AK110" s="491"/>
      <c r="AL110" s="491"/>
      <c r="AM110" s="491"/>
      <c r="AN110" s="491"/>
      <c r="AO110" s="491"/>
      <c r="AP110" s="491"/>
      <c r="AQ110" s="501"/>
    </row>
    <row r="111" spans="1:43" s="473" customFormat="1" ht="53.25" customHeight="1" x14ac:dyDescent="0.25">
      <c r="A111" s="540" t="s">
        <v>739</v>
      </c>
      <c r="B111" s="541"/>
      <c r="C111" s="541"/>
      <c r="D111" s="540"/>
      <c r="E111" s="541"/>
      <c r="F111" s="542"/>
      <c r="G111" s="3875"/>
      <c r="H111" s="2214"/>
      <c r="I111" s="3497"/>
      <c r="J111" s="2774">
        <v>110</v>
      </c>
      <c r="K111" s="3052" t="s">
        <v>2025</v>
      </c>
      <c r="L111" s="3049" t="s">
        <v>2026</v>
      </c>
      <c r="M111" s="3876">
        <v>200</v>
      </c>
      <c r="N111" s="3049" t="s">
        <v>2027</v>
      </c>
      <c r="O111" s="3049" t="s">
        <v>2028</v>
      </c>
      <c r="P111" s="3052" t="s">
        <v>2029</v>
      </c>
      <c r="Q111" s="3877">
        <f>(+V111+V112+V113)/R111</f>
        <v>1</v>
      </c>
      <c r="R111" s="3878">
        <f>+V111+V112+V113</f>
        <v>258780149</v>
      </c>
      <c r="S111" s="3879" t="s">
        <v>2030</v>
      </c>
      <c r="T111" s="3052" t="s">
        <v>2031</v>
      </c>
      <c r="U111" s="2834" t="s">
        <v>2032</v>
      </c>
      <c r="V111" s="1655">
        <f>600000000+56195624-447415475</f>
        <v>208780149</v>
      </c>
      <c r="W111" s="1626">
        <v>25</v>
      </c>
      <c r="X111" s="1652" t="s">
        <v>2033</v>
      </c>
      <c r="Y111" s="3728">
        <v>21554</v>
      </c>
      <c r="Z111" s="3728">
        <v>22392</v>
      </c>
      <c r="AA111" s="3728">
        <v>31677</v>
      </c>
      <c r="AB111" s="3728">
        <v>10302</v>
      </c>
      <c r="AC111" s="3728">
        <v>15916</v>
      </c>
      <c r="AD111" s="3728">
        <v>15683</v>
      </c>
      <c r="AE111" s="3728">
        <v>238</v>
      </c>
      <c r="AF111" s="3728">
        <v>245</v>
      </c>
      <c r="AG111" s="3728">
        <v>0</v>
      </c>
      <c r="AH111" s="3728">
        <v>0</v>
      </c>
      <c r="AI111" s="3728">
        <v>0</v>
      </c>
      <c r="AJ111" s="3728">
        <v>0</v>
      </c>
      <c r="AK111" s="3728">
        <v>2629</v>
      </c>
      <c r="AL111" s="3728">
        <v>2665</v>
      </c>
      <c r="AM111" s="3728">
        <v>2683</v>
      </c>
      <c r="AN111" s="3728">
        <v>43946</v>
      </c>
      <c r="AO111" s="3880">
        <v>43466</v>
      </c>
      <c r="AP111" s="3729">
        <v>43830</v>
      </c>
      <c r="AQ111" s="3816" t="s">
        <v>1782</v>
      </c>
    </row>
    <row r="112" spans="1:43" s="473" customFormat="1" ht="53.25" customHeight="1" x14ac:dyDescent="0.25">
      <c r="A112" s="540"/>
      <c r="B112" s="541"/>
      <c r="C112" s="541"/>
      <c r="D112" s="540"/>
      <c r="E112" s="541"/>
      <c r="F112" s="542"/>
      <c r="G112" s="3875"/>
      <c r="H112" s="2488"/>
      <c r="I112" s="3498"/>
      <c r="J112" s="2774"/>
      <c r="K112" s="3052"/>
      <c r="L112" s="3049"/>
      <c r="M112" s="3876"/>
      <c r="N112" s="3049"/>
      <c r="O112" s="3049"/>
      <c r="P112" s="3052"/>
      <c r="Q112" s="3877"/>
      <c r="R112" s="3878"/>
      <c r="S112" s="3879"/>
      <c r="T112" s="3052"/>
      <c r="U112" s="2834"/>
      <c r="V112" s="1655">
        <v>10000000</v>
      </c>
      <c r="W112" s="2207">
        <v>20</v>
      </c>
      <c r="X112" s="2251" t="s">
        <v>61</v>
      </c>
      <c r="Y112" s="3783"/>
      <c r="Z112" s="3783"/>
      <c r="AA112" s="3783"/>
      <c r="AB112" s="3783"/>
      <c r="AC112" s="3783"/>
      <c r="AD112" s="3783"/>
      <c r="AE112" s="3783"/>
      <c r="AF112" s="3783"/>
      <c r="AG112" s="3783"/>
      <c r="AH112" s="3783"/>
      <c r="AI112" s="3783"/>
      <c r="AJ112" s="3783"/>
      <c r="AK112" s="3783"/>
      <c r="AL112" s="3783"/>
      <c r="AM112" s="3783"/>
      <c r="AN112" s="3783"/>
      <c r="AO112" s="3881"/>
      <c r="AP112" s="3730"/>
      <c r="AQ112" s="3817"/>
    </row>
    <row r="113" spans="1:43" s="473" customFormat="1" ht="48.75" customHeight="1" x14ac:dyDescent="0.25">
      <c r="A113" s="540"/>
      <c r="B113" s="541"/>
      <c r="C113" s="541"/>
      <c r="D113" s="540"/>
      <c r="E113" s="541"/>
      <c r="F113" s="542"/>
      <c r="G113" s="3875"/>
      <c r="H113" s="2215"/>
      <c r="I113" s="3545"/>
      <c r="J113" s="2774"/>
      <c r="K113" s="3052"/>
      <c r="L113" s="3049"/>
      <c r="M113" s="3876"/>
      <c r="N113" s="3049"/>
      <c r="O113" s="3049"/>
      <c r="P113" s="3052"/>
      <c r="Q113" s="3877"/>
      <c r="R113" s="3878"/>
      <c r="S113" s="3879"/>
      <c r="T113" s="3052"/>
      <c r="U113" s="2834"/>
      <c r="V113" s="1655">
        <v>40000000</v>
      </c>
      <c r="W113" s="1624">
        <v>88</v>
      </c>
      <c r="X113" s="1381" t="s">
        <v>942</v>
      </c>
      <c r="Y113" s="3800"/>
      <c r="Z113" s="3785"/>
      <c r="AA113" s="3785"/>
      <c r="AB113" s="3785"/>
      <c r="AC113" s="3785"/>
      <c r="AD113" s="3785"/>
      <c r="AE113" s="3785"/>
      <c r="AF113" s="3785"/>
      <c r="AG113" s="3785"/>
      <c r="AH113" s="3785"/>
      <c r="AI113" s="3785"/>
      <c r="AJ113" s="3785"/>
      <c r="AK113" s="3785"/>
      <c r="AL113" s="3785"/>
      <c r="AM113" s="3785"/>
      <c r="AN113" s="3785"/>
      <c r="AO113" s="3882"/>
      <c r="AP113" s="3785"/>
      <c r="AQ113" s="3817"/>
    </row>
    <row r="114" spans="1:43" s="473" customFormat="1" ht="15.75" x14ac:dyDescent="0.25">
      <c r="A114" s="563"/>
      <c r="B114" s="564"/>
      <c r="C114" s="564"/>
      <c r="D114" s="563"/>
      <c r="E114" s="564"/>
      <c r="F114" s="565"/>
      <c r="G114" s="522">
        <v>27</v>
      </c>
      <c r="H114" s="2175" t="s">
        <v>2034</v>
      </c>
      <c r="I114" s="2175"/>
      <c r="J114" s="2175"/>
      <c r="K114" s="157"/>
      <c r="L114" s="157"/>
      <c r="M114" s="162"/>
      <c r="N114" s="158"/>
      <c r="O114" s="162"/>
      <c r="P114" s="170"/>
      <c r="Q114" s="162"/>
      <c r="R114" s="332"/>
      <c r="S114" s="157"/>
      <c r="T114" s="157"/>
      <c r="U114" s="157"/>
      <c r="V114" s="1129"/>
      <c r="W114" s="418"/>
      <c r="X114" s="554"/>
      <c r="Y114" s="162"/>
      <c r="Z114" s="162"/>
      <c r="AA114" s="162"/>
      <c r="AB114" s="162"/>
      <c r="AC114" s="162"/>
      <c r="AD114" s="162"/>
      <c r="AE114" s="162"/>
      <c r="AF114" s="162"/>
      <c r="AG114" s="162"/>
      <c r="AH114" s="162"/>
      <c r="AI114" s="162"/>
      <c r="AJ114" s="491"/>
      <c r="AK114" s="491"/>
      <c r="AL114" s="491"/>
      <c r="AM114" s="491"/>
      <c r="AN114" s="491"/>
      <c r="AO114" s="491"/>
      <c r="AP114" s="491"/>
      <c r="AQ114" s="501"/>
    </row>
    <row r="115" spans="1:43" s="473" customFormat="1" ht="120" customHeight="1" x14ac:dyDescent="0.25">
      <c r="A115" s="563"/>
      <c r="B115" s="564"/>
      <c r="C115" s="564"/>
      <c r="D115" s="563"/>
      <c r="E115" s="564"/>
      <c r="F115" s="565"/>
      <c r="G115" s="167"/>
      <c r="H115" s="167"/>
      <c r="I115" s="167"/>
      <c r="J115" s="2249">
        <v>111</v>
      </c>
      <c r="K115" s="580" t="s">
        <v>2035</v>
      </c>
      <c r="L115" s="580" t="s">
        <v>2036</v>
      </c>
      <c r="M115" s="582">
        <v>1</v>
      </c>
      <c r="N115" s="2185" t="s">
        <v>2531</v>
      </c>
      <c r="O115" s="2203" t="s">
        <v>2037</v>
      </c>
      <c r="P115" s="2210" t="s">
        <v>2038</v>
      </c>
      <c r="Q115" s="2254">
        <f>+V115/R115</f>
        <v>1</v>
      </c>
      <c r="R115" s="2248">
        <f>+V115</f>
        <v>2323039667</v>
      </c>
      <c r="S115" s="580" t="s">
        <v>2039</v>
      </c>
      <c r="T115" s="580" t="s">
        <v>2040</v>
      </c>
      <c r="U115" s="193" t="s">
        <v>2041</v>
      </c>
      <c r="V115" s="1655">
        <f>3503000000-1179960333</f>
        <v>2323039667</v>
      </c>
      <c r="W115" s="2208">
        <v>25</v>
      </c>
      <c r="X115" s="2252" t="s">
        <v>1823</v>
      </c>
      <c r="Y115" s="2237">
        <v>21554</v>
      </c>
      <c r="Z115" s="2237">
        <v>22392</v>
      </c>
      <c r="AA115" s="2235">
        <v>31677</v>
      </c>
      <c r="AB115" s="2235">
        <v>10302</v>
      </c>
      <c r="AC115" s="2235">
        <v>15916</v>
      </c>
      <c r="AD115" s="2235">
        <v>15683</v>
      </c>
      <c r="AE115" s="2235">
        <v>238</v>
      </c>
      <c r="AF115" s="2235">
        <v>245</v>
      </c>
      <c r="AG115" s="2235">
        <v>0</v>
      </c>
      <c r="AH115" s="2235">
        <v>0</v>
      </c>
      <c r="AI115" s="581">
        <v>0</v>
      </c>
      <c r="AJ115" s="2230">
        <v>0</v>
      </c>
      <c r="AK115" s="2230">
        <v>2629</v>
      </c>
      <c r="AL115" s="2230">
        <v>2665</v>
      </c>
      <c r="AM115" s="2230">
        <v>2683</v>
      </c>
      <c r="AN115" s="2231">
        <f>Y115+Z115</f>
        <v>43946</v>
      </c>
      <c r="AO115" s="530">
        <v>43466</v>
      </c>
      <c r="AP115" s="530">
        <v>43830</v>
      </c>
      <c r="AQ115" s="2233" t="s">
        <v>1782</v>
      </c>
    </row>
    <row r="116" spans="1:43" s="473" customFormat="1" ht="15.75" x14ac:dyDescent="0.25">
      <c r="A116" s="563"/>
      <c r="B116" s="564"/>
      <c r="C116" s="564"/>
      <c r="D116" s="563"/>
      <c r="E116" s="564"/>
      <c r="F116" s="565"/>
      <c r="G116" s="522">
        <v>28</v>
      </c>
      <c r="H116" s="2175" t="s">
        <v>2042</v>
      </c>
      <c r="I116" s="2175"/>
      <c r="J116" s="2175"/>
      <c r="K116" s="157"/>
      <c r="L116" s="157"/>
      <c r="M116" s="162"/>
      <c r="N116" s="158"/>
      <c r="O116" s="158"/>
      <c r="P116" s="170"/>
      <c r="Q116" s="411"/>
      <c r="R116" s="332"/>
      <c r="S116" s="157"/>
      <c r="T116" s="157"/>
      <c r="U116" s="157"/>
      <c r="V116" s="556"/>
      <c r="W116" s="583"/>
      <c r="X116" s="2175"/>
      <c r="Y116" s="158"/>
      <c r="Z116" s="158"/>
      <c r="AA116" s="162"/>
      <c r="AB116" s="162"/>
      <c r="AC116" s="162"/>
      <c r="AD116" s="162"/>
      <c r="AE116" s="162"/>
      <c r="AF116" s="162"/>
      <c r="AG116" s="162"/>
      <c r="AH116" s="329"/>
      <c r="AI116" s="329"/>
      <c r="AJ116" s="491"/>
      <c r="AK116" s="491"/>
      <c r="AL116" s="491"/>
      <c r="AM116" s="491"/>
      <c r="AN116" s="491"/>
      <c r="AO116" s="973"/>
      <c r="AP116" s="491"/>
      <c r="AQ116" s="501"/>
    </row>
    <row r="117" spans="1:43" s="473" customFormat="1" ht="78" customHeight="1" x14ac:dyDescent="0.25">
      <c r="A117" s="563"/>
      <c r="B117" s="564"/>
      <c r="C117" s="564"/>
      <c r="D117" s="577"/>
      <c r="E117" s="578"/>
      <c r="F117" s="579"/>
      <c r="G117" s="2220"/>
      <c r="H117" s="2220"/>
      <c r="I117" s="2220"/>
      <c r="J117" s="2249">
        <v>112</v>
      </c>
      <c r="K117" s="2210" t="s">
        <v>2043</v>
      </c>
      <c r="L117" s="2210" t="s">
        <v>2044</v>
      </c>
      <c r="M117" s="2237">
        <v>12</v>
      </c>
      <c r="N117" s="3060" t="s">
        <v>2045</v>
      </c>
      <c r="O117" s="3060" t="s">
        <v>2046</v>
      </c>
      <c r="P117" s="3480" t="s">
        <v>2047</v>
      </c>
      <c r="Q117" s="2254">
        <f>+V117/R117</f>
        <v>0.14375937670534561</v>
      </c>
      <c r="R117" s="3823">
        <f>+V117+V118</f>
        <v>20868204</v>
      </c>
      <c r="S117" s="3479" t="s">
        <v>2048</v>
      </c>
      <c r="T117" s="2210" t="s">
        <v>2049</v>
      </c>
      <c r="U117" s="2210" t="s">
        <v>2050</v>
      </c>
      <c r="V117" s="2181">
        <v>3000000</v>
      </c>
      <c r="W117" s="2201">
        <v>20</v>
      </c>
      <c r="X117" s="1652" t="s">
        <v>61</v>
      </c>
      <c r="Y117" s="3783">
        <v>21554</v>
      </c>
      <c r="Z117" s="3783">
        <v>22392</v>
      </c>
      <c r="AA117" s="3783">
        <v>31677</v>
      </c>
      <c r="AB117" s="3783">
        <v>10302</v>
      </c>
      <c r="AC117" s="3783">
        <v>15916</v>
      </c>
      <c r="AD117" s="3783">
        <v>15683</v>
      </c>
      <c r="AE117" s="3783">
        <v>238</v>
      </c>
      <c r="AF117" s="3783">
        <v>245</v>
      </c>
      <c r="AG117" s="3783">
        <v>0</v>
      </c>
      <c r="AH117" s="3783">
        <v>0</v>
      </c>
      <c r="AI117" s="3783">
        <v>0</v>
      </c>
      <c r="AJ117" s="3783">
        <v>0</v>
      </c>
      <c r="AK117" s="3783">
        <v>2629</v>
      </c>
      <c r="AL117" s="3783">
        <v>2665</v>
      </c>
      <c r="AM117" s="3783">
        <v>2683</v>
      </c>
      <c r="AN117" s="3797">
        <f>Y117+Z117</f>
        <v>43946</v>
      </c>
      <c r="AO117" s="3813">
        <v>43591</v>
      </c>
      <c r="AP117" s="3834">
        <v>43763</v>
      </c>
      <c r="AQ117" s="3817" t="s">
        <v>1782</v>
      </c>
    </row>
    <row r="118" spans="1:43" s="473" customFormat="1" ht="88.5" customHeight="1" x14ac:dyDescent="0.25">
      <c r="A118" s="563"/>
      <c r="B118" s="564"/>
      <c r="C118" s="564"/>
      <c r="D118" s="577"/>
      <c r="E118" s="578"/>
      <c r="F118" s="579"/>
      <c r="G118" s="2220"/>
      <c r="H118" s="2220"/>
      <c r="I118" s="2220"/>
      <c r="J118" s="2244">
        <v>113</v>
      </c>
      <c r="K118" s="2209" t="s">
        <v>2051</v>
      </c>
      <c r="L118" s="2209" t="s">
        <v>2052</v>
      </c>
      <c r="M118" s="2229">
        <v>1</v>
      </c>
      <c r="N118" s="3060"/>
      <c r="O118" s="3060"/>
      <c r="P118" s="3480"/>
      <c r="Q118" s="2246">
        <f>+V118/R117</f>
        <v>0.85624062329465445</v>
      </c>
      <c r="R118" s="3823"/>
      <c r="S118" s="3480"/>
      <c r="T118" s="2209" t="s">
        <v>2053</v>
      </c>
      <c r="U118" s="2209" t="s">
        <v>2054</v>
      </c>
      <c r="V118" s="1627">
        <v>17868204</v>
      </c>
      <c r="W118" s="2250">
        <v>20</v>
      </c>
      <c r="X118" s="1384" t="s">
        <v>61</v>
      </c>
      <c r="Y118" s="3783"/>
      <c r="Z118" s="3783"/>
      <c r="AA118" s="3783"/>
      <c r="AB118" s="3783"/>
      <c r="AC118" s="3783"/>
      <c r="AD118" s="3783"/>
      <c r="AE118" s="3783"/>
      <c r="AF118" s="3783"/>
      <c r="AG118" s="3783"/>
      <c r="AH118" s="3783"/>
      <c r="AI118" s="3783"/>
      <c r="AJ118" s="3783"/>
      <c r="AK118" s="3783"/>
      <c r="AL118" s="3783"/>
      <c r="AM118" s="3783"/>
      <c r="AN118" s="3783"/>
      <c r="AO118" s="3815"/>
      <c r="AP118" s="3836"/>
      <c r="AQ118" s="3817"/>
    </row>
    <row r="119" spans="1:43" s="473" customFormat="1" ht="15.75" x14ac:dyDescent="0.25">
      <c r="A119" s="563"/>
      <c r="B119" s="564"/>
      <c r="C119" s="565"/>
      <c r="D119" s="143">
        <v>16</v>
      </c>
      <c r="E119" s="513" t="s">
        <v>2055</v>
      </c>
      <c r="F119" s="513"/>
      <c r="G119" s="476"/>
      <c r="H119" s="476"/>
      <c r="I119" s="476"/>
      <c r="J119" s="476"/>
      <c r="K119" s="321"/>
      <c r="L119" s="321"/>
      <c r="M119" s="320"/>
      <c r="N119" s="322"/>
      <c r="O119" s="322"/>
      <c r="P119" s="1082"/>
      <c r="Q119" s="514"/>
      <c r="R119" s="331"/>
      <c r="S119" s="321"/>
      <c r="T119" s="321"/>
      <c r="U119" s="321"/>
      <c r="V119" s="515"/>
      <c r="W119" s="584"/>
      <c r="X119" s="476"/>
      <c r="Y119" s="322"/>
      <c r="Z119" s="322"/>
      <c r="AA119" s="320"/>
      <c r="AB119" s="320"/>
      <c r="AC119" s="320"/>
      <c r="AD119" s="320"/>
      <c r="AE119" s="320"/>
      <c r="AF119" s="320"/>
      <c r="AG119" s="320"/>
      <c r="AH119" s="516"/>
      <c r="AI119" s="516"/>
      <c r="AJ119" s="480"/>
      <c r="AK119" s="480"/>
      <c r="AL119" s="480"/>
      <c r="AM119" s="480"/>
      <c r="AN119" s="480"/>
      <c r="AO119" s="480"/>
      <c r="AP119" s="480"/>
      <c r="AQ119" s="517"/>
    </row>
    <row r="120" spans="1:43" s="473" customFormat="1" ht="15.75" x14ac:dyDescent="0.25">
      <c r="A120" s="563"/>
      <c r="B120" s="564"/>
      <c r="C120" s="565"/>
      <c r="D120" s="585"/>
      <c r="E120" s="585"/>
      <c r="F120" s="586"/>
      <c r="G120" s="522">
        <v>57</v>
      </c>
      <c r="H120" s="162" t="s">
        <v>2056</v>
      </c>
      <c r="I120" s="162"/>
      <c r="J120" s="162"/>
      <c r="K120" s="170"/>
      <c r="L120" s="170"/>
      <c r="M120" s="357"/>
      <c r="N120" s="358"/>
      <c r="O120" s="158"/>
      <c r="P120" s="170"/>
      <c r="Q120" s="411"/>
      <c r="R120" s="332"/>
      <c r="S120" s="157"/>
      <c r="T120" s="157"/>
      <c r="U120" s="157"/>
      <c r="V120" s="523"/>
      <c r="W120" s="161"/>
      <c r="X120" s="2175"/>
      <c r="Y120" s="158"/>
      <c r="Z120" s="158"/>
      <c r="AA120" s="162"/>
      <c r="AB120" s="162"/>
      <c r="AC120" s="162"/>
      <c r="AD120" s="162"/>
      <c r="AE120" s="162"/>
      <c r="AF120" s="162"/>
      <c r="AG120" s="162"/>
      <c r="AH120" s="329"/>
      <c r="AI120" s="329"/>
      <c r="AJ120" s="491"/>
      <c r="AK120" s="491"/>
      <c r="AL120" s="491"/>
      <c r="AM120" s="491"/>
      <c r="AN120" s="491"/>
      <c r="AO120" s="491"/>
      <c r="AP120" s="491"/>
      <c r="AQ120" s="501"/>
    </row>
    <row r="121" spans="1:43" s="473" customFormat="1" ht="87" customHeight="1" x14ac:dyDescent="0.25">
      <c r="A121" s="587"/>
      <c r="B121" s="588"/>
      <c r="C121" s="589"/>
      <c r="D121" s="590"/>
      <c r="E121" s="590"/>
      <c r="F121" s="529"/>
      <c r="G121" s="208"/>
      <c r="H121" s="208"/>
      <c r="I121" s="209"/>
      <c r="J121" s="3772">
        <v>182</v>
      </c>
      <c r="K121" s="3728" t="s">
        <v>2057</v>
      </c>
      <c r="L121" s="3786" t="s">
        <v>2058</v>
      </c>
      <c r="M121" s="3728">
        <v>1</v>
      </c>
      <c r="N121" s="3059" t="s">
        <v>2059</v>
      </c>
      <c r="O121" s="3059" t="s">
        <v>2060</v>
      </c>
      <c r="P121" s="3479" t="s">
        <v>2061</v>
      </c>
      <c r="Q121" s="3868">
        <f>(+V121+V122)/R121</f>
        <v>1</v>
      </c>
      <c r="R121" s="3886">
        <f>V121+V122</f>
        <v>18817998</v>
      </c>
      <c r="S121" s="3786" t="s">
        <v>2062</v>
      </c>
      <c r="T121" s="3786" t="s">
        <v>2057</v>
      </c>
      <c r="U121" s="1619" t="s">
        <v>2063</v>
      </c>
      <c r="V121" s="1600">
        <f>18817998-11342000</f>
        <v>7475998</v>
      </c>
      <c r="W121" s="2236">
        <v>20</v>
      </c>
      <c r="X121" s="2253" t="s">
        <v>61</v>
      </c>
      <c r="Y121" s="3728">
        <v>21554</v>
      </c>
      <c r="Z121" s="3728">
        <v>22392</v>
      </c>
      <c r="AA121" s="3788">
        <v>31677</v>
      </c>
      <c r="AB121" s="3788">
        <v>10302</v>
      </c>
      <c r="AC121" s="3788">
        <v>15916</v>
      </c>
      <c r="AD121" s="3788">
        <v>15683</v>
      </c>
      <c r="AE121" s="3788">
        <v>238</v>
      </c>
      <c r="AF121" s="3788">
        <v>245</v>
      </c>
      <c r="AG121" s="3788">
        <v>0</v>
      </c>
      <c r="AH121" s="3788">
        <v>0</v>
      </c>
      <c r="AI121" s="3788">
        <v>0</v>
      </c>
      <c r="AJ121" s="3807">
        <v>0</v>
      </c>
      <c r="AK121" s="3807">
        <v>2629</v>
      </c>
      <c r="AL121" s="3807">
        <v>2665</v>
      </c>
      <c r="AM121" s="3807">
        <v>2683</v>
      </c>
      <c r="AN121" s="3810">
        <v>43946</v>
      </c>
      <c r="AO121" s="3834">
        <v>43500</v>
      </c>
      <c r="AP121" s="3834">
        <v>43798</v>
      </c>
      <c r="AQ121" s="3816" t="s">
        <v>1782</v>
      </c>
    </row>
    <row r="122" spans="1:43" s="473" customFormat="1" ht="57" customHeight="1" x14ac:dyDescent="0.25">
      <c r="A122" s="587"/>
      <c r="B122" s="588"/>
      <c r="C122" s="588"/>
      <c r="D122" s="590"/>
      <c r="E122" s="590"/>
      <c r="F122" s="591"/>
      <c r="G122" s="592"/>
      <c r="H122" s="592"/>
      <c r="I122" s="2489"/>
      <c r="J122" s="3773"/>
      <c r="K122" s="3785"/>
      <c r="L122" s="3787"/>
      <c r="M122" s="3785"/>
      <c r="N122" s="3061"/>
      <c r="O122" s="3061"/>
      <c r="P122" s="3740"/>
      <c r="Q122" s="3846"/>
      <c r="R122" s="3887"/>
      <c r="S122" s="3787"/>
      <c r="T122" s="3787"/>
      <c r="U122" s="1619" t="s">
        <v>2064</v>
      </c>
      <c r="V122" s="1600">
        <f>0+11342000</f>
        <v>11342000</v>
      </c>
      <c r="W122" s="2236">
        <v>20</v>
      </c>
      <c r="X122" s="2253" t="s">
        <v>61</v>
      </c>
      <c r="Y122" s="3785"/>
      <c r="Z122" s="3785"/>
      <c r="AA122" s="3789"/>
      <c r="AB122" s="3789"/>
      <c r="AC122" s="3789"/>
      <c r="AD122" s="3789"/>
      <c r="AE122" s="3789"/>
      <c r="AF122" s="3789"/>
      <c r="AG122" s="3789"/>
      <c r="AH122" s="3789"/>
      <c r="AI122" s="3789"/>
      <c r="AJ122" s="3809"/>
      <c r="AK122" s="3809"/>
      <c r="AL122" s="3809"/>
      <c r="AM122" s="3809"/>
      <c r="AN122" s="3812"/>
      <c r="AO122" s="3836"/>
      <c r="AP122" s="3836"/>
      <c r="AQ122" s="3818"/>
    </row>
    <row r="123" spans="1:43" s="601" customFormat="1" ht="31.5" customHeight="1" x14ac:dyDescent="0.25">
      <c r="A123" s="3883"/>
      <c r="B123" s="3884"/>
      <c r="C123" s="3884"/>
      <c r="D123" s="3884"/>
      <c r="E123" s="3884"/>
      <c r="F123" s="3884"/>
      <c r="G123" s="3884"/>
      <c r="H123" s="3884"/>
      <c r="I123" s="3695"/>
      <c r="J123" s="2176"/>
      <c r="K123" s="593"/>
      <c r="L123" s="593"/>
      <c r="M123" s="2226"/>
      <c r="N123" s="2226"/>
      <c r="O123" s="594"/>
      <c r="P123" s="593"/>
      <c r="Q123" s="595"/>
      <c r="R123" s="596">
        <f>SUM(R11:R122)</f>
        <v>175080889140.34</v>
      </c>
      <c r="S123" s="593"/>
      <c r="T123" s="593"/>
      <c r="U123" s="593"/>
      <c r="V123" s="597">
        <f>SUM(V11:V122)</f>
        <v>175089889140.34</v>
      </c>
      <c r="W123" s="598"/>
      <c r="X123" s="1389"/>
      <c r="Y123" s="598"/>
      <c r="Z123" s="598"/>
      <c r="AA123" s="598"/>
      <c r="AB123" s="598"/>
      <c r="AC123" s="598"/>
      <c r="AD123" s="598"/>
      <c r="AE123" s="598"/>
      <c r="AF123" s="598"/>
      <c r="AG123" s="598"/>
      <c r="AH123" s="598"/>
      <c r="AI123" s="598"/>
      <c r="AJ123" s="598"/>
      <c r="AK123" s="598"/>
      <c r="AL123" s="598"/>
      <c r="AM123" s="598"/>
      <c r="AN123" s="598"/>
      <c r="AO123" s="599"/>
      <c r="AP123" s="599"/>
      <c r="AQ123" s="600"/>
    </row>
    <row r="124" spans="1:43" s="473" customFormat="1" ht="15.75" x14ac:dyDescent="0.25">
      <c r="A124" s="17"/>
      <c r="B124" s="1"/>
      <c r="C124" s="1"/>
      <c r="D124" s="1"/>
      <c r="E124" s="1"/>
      <c r="F124" s="1"/>
      <c r="G124" s="1"/>
      <c r="H124" s="1"/>
      <c r="I124" s="1"/>
      <c r="J124" s="1"/>
      <c r="K124" s="191"/>
      <c r="L124" s="2188"/>
      <c r="M124" s="1"/>
      <c r="N124" s="2222"/>
      <c r="O124" s="2222"/>
      <c r="P124" s="191"/>
      <c r="Q124" s="240"/>
      <c r="R124" s="602"/>
      <c r="S124" s="191"/>
      <c r="T124" s="191"/>
      <c r="U124" s="191"/>
      <c r="V124" s="421"/>
      <c r="W124" s="130"/>
      <c r="X124" s="360"/>
      <c r="Y124" s="1"/>
      <c r="Z124" s="1"/>
      <c r="AA124" s="1"/>
      <c r="AB124" s="1"/>
      <c r="AC124" s="1"/>
      <c r="AD124" s="1"/>
      <c r="AE124" s="1"/>
      <c r="AF124" s="1"/>
      <c r="AG124" s="1"/>
      <c r="AQ124" s="603"/>
    </row>
    <row r="125" spans="1:43" s="473" customFormat="1" ht="15.75" x14ac:dyDescent="0.25">
      <c r="A125" s="17"/>
      <c r="B125" s="1"/>
      <c r="C125" s="1"/>
      <c r="D125" s="1"/>
      <c r="E125" s="1"/>
      <c r="F125" s="1"/>
      <c r="G125" s="1"/>
      <c r="H125" s="1"/>
      <c r="I125" s="1"/>
      <c r="J125" s="1"/>
      <c r="K125" s="191"/>
      <c r="L125" s="2188"/>
      <c r="M125" s="1"/>
      <c r="N125" s="2222"/>
      <c r="O125" s="2222"/>
      <c r="P125" s="191"/>
      <c r="Q125" s="240"/>
      <c r="R125" s="604"/>
      <c r="S125" s="191"/>
      <c r="T125" s="191"/>
      <c r="U125" s="191"/>
      <c r="V125" s="604"/>
      <c r="W125" s="130"/>
      <c r="X125" s="360"/>
      <c r="Y125" s="1"/>
      <c r="Z125" s="1"/>
      <c r="AA125" s="1"/>
      <c r="AB125" s="1"/>
      <c r="AC125" s="1"/>
      <c r="AD125" s="1"/>
      <c r="AE125" s="1"/>
      <c r="AF125" s="1"/>
      <c r="AG125" s="1"/>
      <c r="AQ125" s="603"/>
    </row>
    <row r="126" spans="1:43" s="473" customFormat="1" ht="15.75" x14ac:dyDescent="0.25">
      <c r="A126" s="17"/>
      <c r="B126" s="1"/>
      <c r="C126" s="1"/>
      <c r="D126" s="1"/>
      <c r="E126" s="1"/>
      <c r="F126" s="1"/>
      <c r="G126" s="1"/>
      <c r="H126" s="1"/>
      <c r="I126" s="1"/>
      <c r="J126" s="1"/>
      <c r="K126" s="191"/>
      <c r="L126" s="2188"/>
      <c r="M126" s="1"/>
      <c r="N126" s="2222"/>
      <c r="O126" s="2222"/>
      <c r="P126" s="191"/>
      <c r="Q126" s="240"/>
      <c r="R126" s="421"/>
      <c r="S126" s="191"/>
      <c r="T126" s="191"/>
      <c r="U126" s="191"/>
      <c r="V126" s="605"/>
      <c r="W126" s="130"/>
      <c r="X126" s="360"/>
      <c r="Y126" s="1"/>
      <c r="Z126" s="1"/>
      <c r="AA126" s="1"/>
      <c r="AB126" s="1"/>
      <c r="AC126" s="1"/>
      <c r="AD126" s="1"/>
      <c r="AE126" s="1"/>
      <c r="AF126" s="1"/>
      <c r="AG126" s="1"/>
      <c r="AQ126" s="603"/>
    </row>
    <row r="127" spans="1:43" s="473" customFormat="1" ht="15.75" x14ac:dyDescent="0.25">
      <c r="A127" s="17"/>
      <c r="B127" s="1"/>
      <c r="C127" s="1"/>
      <c r="D127" s="1"/>
      <c r="E127" s="1"/>
      <c r="F127" s="1"/>
      <c r="G127" s="1"/>
      <c r="H127" s="1"/>
      <c r="I127" s="1"/>
      <c r="J127" s="1"/>
      <c r="K127" s="191"/>
      <c r="L127" s="2188"/>
      <c r="M127" s="1"/>
      <c r="N127" s="2222"/>
      <c r="O127" s="2222"/>
      <c r="P127" s="191"/>
      <c r="Q127" s="240"/>
      <c r="R127" s="421"/>
      <c r="S127" s="191"/>
      <c r="T127" s="191"/>
      <c r="U127" s="191"/>
      <c r="V127" s="606"/>
      <c r="W127" s="130"/>
      <c r="X127" s="360"/>
      <c r="Y127" s="1"/>
      <c r="Z127" s="1"/>
      <c r="AA127" s="1"/>
      <c r="AB127" s="1"/>
      <c r="AC127" s="1"/>
      <c r="AD127" s="1"/>
      <c r="AE127" s="1"/>
      <c r="AF127" s="1"/>
      <c r="AG127" s="1"/>
      <c r="AQ127" s="603"/>
    </row>
    <row r="128" spans="1:43" s="473" customFormat="1" ht="15.75" x14ac:dyDescent="0.25">
      <c r="A128" s="17"/>
      <c r="B128" s="1"/>
      <c r="C128" s="1"/>
      <c r="D128" s="1"/>
      <c r="E128" s="1"/>
      <c r="F128" s="1"/>
      <c r="G128" s="1"/>
      <c r="H128" s="1"/>
      <c r="I128" s="1"/>
      <c r="J128" s="1"/>
      <c r="K128" s="191"/>
      <c r="L128" s="2188"/>
      <c r="M128" s="1"/>
      <c r="N128" s="2222"/>
      <c r="O128" s="2222"/>
      <c r="P128" s="191"/>
      <c r="Q128" s="240"/>
      <c r="R128" s="421"/>
      <c r="S128" s="191"/>
      <c r="T128" s="191"/>
      <c r="U128" s="191"/>
      <c r="V128" s="191"/>
      <c r="W128" s="130"/>
      <c r="X128" s="360"/>
      <c r="Y128" s="1"/>
      <c r="Z128" s="1"/>
      <c r="AA128" s="1"/>
      <c r="AB128" s="1"/>
      <c r="AC128" s="1"/>
      <c r="AD128" s="1"/>
      <c r="AE128" s="1"/>
      <c r="AF128" s="1"/>
      <c r="AG128" s="1"/>
      <c r="AQ128" s="603"/>
    </row>
    <row r="129" spans="1:43" s="473" customFormat="1" ht="15.75" x14ac:dyDescent="0.25">
      <c r="A129" s="1"/>
      <c r="B129" s="1"/>
      <c r="C129" s="1"/>
      <c r="D129" s="1"/>
      <c r="E129" s="1"/>
      <c r="F129" s="1"/>
      <c r="G129" s="2222"/>
      <c r="H129" s="2188"/>
      <c r="I129" s="1"/>
      <c r="J129" s="1"/>
      <c r="K129" s="607"/>
      <c r="L129" s="2188"/>
      <c r="M129" s="1"/>
      <c r="N129" s="3885" t="s">
        <v>2065</v>
      </c>
      <c r="O129" s="3885"/>
      <c r="P129" s="3885"/>
      <c r="Q129" s="1"/>
      <c r="R129" s="2188"/>
      <c r="S129" s="2188"/>
      <c r="T129" s="608"/>
      <c r="U129" s="608"/>
      <c r="V129" s="608"/>
      <c r="W129" s="130"/>
      <c r="X129" s="360"/>
      <c r="Y129" s="1"/>
      <c r="Z129" s="1"/>
      <c r="AA129" s="326"/>
      <c r="AB129" s="1"/>
      <c r="AC129" s="326"/>
      <c r="AD129" s="1"/>
      <c r="AE129" s="326"/>
      <c r="AF129" s="1"/>
      <c r="AG129" s="326"/>
      <c r="AQ129" s="603"/>
    </row>
    <row r="130" spans="1:43" s="473" customFormat="1" ht="15.75" x14ac:dyDescent="0.25">
      <c r="A130" s="1"/>
      <c r="B130" s="1"/>
      <c r="C130" s="1"/>
      <c r="D130" s="1"/>
      <c r="E130" s="1"/>
      <c r="F130" s="1"/>
      <c r="G130" s="2222"/>
      <c r="H130" s="2188"/>
      <c r="I130" s="1"/>
      <c r="J130" s="1"/>
      <c r="K130" s="607"/>
      <c r="L130" s="2188"/>
      <c r="M130" s="1"/>
      <c r="N130" s="360" t="s">
        <v>2066</v>
      </c>
      <c r="O130" s="1"/>
      <c r="P130" s="609"/>
      <c r="Q130" s="1"/>
      <c r="R130" s="2188"/>
      <c r="S130" s="2188"/>
      <c r="T130" s="610"/>
      <c r="U130" s="608"/>
      <c r="V130" s="608"/>
      <c r="W130" s="130"/>
      <c r="X130" s="360"/>
      <c r="Y130" s="1"/>
      <c r="Z130" s="1"/>
      <c r="AA130" s="326"/>
      <c r="AB130" s="1"/>
      <c r="AC130" s="326"/>
      <c r="AD130" s="1"/>
      <c r="AE130" s="326"/>
      <c r="AF130" s="1"/>
      <c r="AG130" s="326"/>
      <c r="AQ130" s="603"/>
    </row>
    <row r="131" spans="1:43" s="473" customFormat="1" ht="15.75" x14ac:dyDescent="0.25">
      <c r="A131" s="1"/>
      <c r="B131" s="1"/>
      <c r="C131" s="1"/>
      <c r="D131" s="1"/>
      <c r="E131" s="1"/>
      <c r="F131" s="1"/>
      <c r="G131" s="2222"/>
      <c r="H131" s="2188"/>
      <c r="I131" s="1"/>
      <c r="J131" s="1"/>
      <c r="K131" s="607"/>
      <c r="L131" s="2188"/>
      <c r="M131" s="1"/>
      <c r="N131" s="611"/>
      <c r="O131" s="1"/>
      <c r="P131" s="609"/>
      <c r="Q131" s="1"/>
      <c r="R131" s="2188"/>
      <c r="S131" s="2188"/>
      <c r="T131" s="610"/>
      <c r="U131" s="608"/>
      <c r="V131" s="608"/>
      <c r="W131" s="130"/>
      <c r="X131" s="360"/>
      <c r="Y131" s="1"/>
      <c r="Z131" s="1"/>
      <c r="AA131" s="326"/>
      <c r="AB131" s="1"/>
      <c r="AC131" s="326"/>
      <c r="AD131" s="1"/>
      <c r="AE131" s="326"/>
      <c r="AF131" s="1"/>
      <c r="AG131" s="326"/>
      <c r="AQ131" s="603"/>
    </row>
  </sheetData>
  <sheetProtection password="A60F" sheet="1" objects="1" scenarios="1"/>
  <mergeCells count="543">
    <mergeCell ref="A123:I123"/>
    <mergeCell ref="N129:P129"/>
    <mergeCell ref="AL121:AL122"/>
    <mergeCell ref="AM121:AM122"/>
    <mergeCell ref="AN121:AN122"/>
    <mergeCell ref="AO121:AO122"/>
    <mergeCell ref="AP121:AP122"/>
    <mergeCell ref="AQ121:AQ122"/>
    <mergeCell ref="AF121:AF122"/>
    <mergeCell ref="AG121:AG122"/>
    <mergeCell ref="AH121:AH122"/>
    <mergeCell ref="AI121:AI122"/>
    <mergeCell ref="AJ121:AJ122"/>
    <mergeCell ref="AK121:AK122"/>
    <mergeCell ref="Z121:Z122"/>
    <mergeCell ref="AA121:AA122"/>
    <mergeCell ref="AB121:AB122"/>
    <mergeCell ref="AC121:AC122"/>
    <mergeCell ref="AD121:AD122"/>
    <mergeCell ref="AE121:AE122"/>
    <mergeCell ref="P121:P122"/>
    <mergeCell ref="Q121:Q122"/>
    <mergeCell ref="R121:R122"/>
    <mergeCell ref="S121:S122"/>
    <mergeCell ref="T121:T122"/>
    <mergeCell ref="Y121:Y122"/>
    <mergeCell ref="AN117:AN118"/>
    <mergeCell ref="AO117:AO118"/>
    <mergeCell ref="AP117:AP118"/>
    <mergeCell ref="AQ117:AQ118"/>
    <mergeCell ref="J121:J122"/>
    <mergeCell ref="K121:K122"/>
    <mergeCell ref="L121:L122"/>
    <mergeCell ref="M121:M122"/>
    <mergeCell ref="N121:N122"/>
    <mergeCell ref="O121:O122"/>
    <mergeCell ref="AH117:AH118"/>
    <mergeCell ref="AI117:AI118"/>
    <mergeCell ref="AJ117:AJ118"/>
    <mergeCell ref="AK117:AK118"/>
    <mergeCell ref="AL117:AL118"/>
    <mergeCell ref="AM117:AM118"/>
    <mergeCell ref="AB117:AB118"/>
    <mergeCell ref="AC117:AC118"/>
    <mergeCell ref="AD117:AD118"/>
    <mergeCell ref="AE117:AE118"/>
    <mergeCell ref="AF117:AF118"/>
    <mergeCell ref="AG117:AG118"/>
    <mergeCell ref="AP111:AP113"/>
    <mergeCell ref="AQ111:AQ113"/>
    <mergeCell ref="N117:N118"/>
    <mergeCell ref="O117:O118"/>
    <mergeCell ref="P117:P118"/>
    <mergeCell ref="R117:R118"/>
    <mergeCell ref="S117:S118"/>
    <mergeCell ref="Y117:Y118"/>
    <mergeCell ref="Z117:Z118"/>
    <mergeCell ref="AA117:AA118"/>
    <mergeCell ref="AJ111:AJ113"/>
    <mergeCell ref="AK111:AK113"/>
    <mergeCell ref="AL111:AL113"/>
    <mergeCell ref="AM111:AM113"/>
    <mergeCell ref="AN111:AN113"/>
    <mergeCell ref="AO111:AO113"/>
    <mergeCell ref="AD111:AD113"/>
    <mergeCell ref="AE111:AE113"/>
    <mergeCell ref="AF111:AF113"/>
    <mergeCell ref="AG111:AG113"/>
    <mergeCell ref="AH111:AH113"/>
    <mergeCell ref="AI111:AI113"/>
    <mergeCell ref="U111:U113"/>
    <mergeCell ref="Y111:Y113"/>
    <mergeCell ref="Z111:Z113"/>
    <mergeCell ref="AA111:AA113"/>
    <mergeCell ref="AB111:AB113"/>
    <mergeCell ref="AC111:AC113"/>
    <mergeCell ref="O111:O113"/>
    <mergeCell ref="P111:P113"/>
    <mergeCell ref="Q111:Q113"/>
    <mergeCell ref="R111:R113"/>
    <mergeCell ref="S111:S113"/>
    <mergeCell ref="T111:T113"/>
    <mergeCell ref="Y102:Y105"/>
    <mergeCell ref="Z102:Z105"/>
    <mergeCell ref="AO108:AO109"/>
    <mergeCell ref="AP108:AP109"/>
    <mergeCell ref="AQ108:AQ109"/>
    <mergeCell ref="G111:G113"/>
    <mergeCell ref="I111:I113"/>
    <mergeCell ref="J111:J113"/>
    <mergeCell ref="K111:K113"/>
    <mergeCell ref="L111:L113"/>
    <mergeCell ref="M111:M113"/>
    <mergeCell ref="N111:N113"/>
    <mergeCell ref="AI108:AI109"/>
    <mergeCell ref="AJ108:AJ109"/>
    <mergeCell ref="AK108:AK109"/>
    <mergeCell ref="AL108:AL109"/>
    <mergeCell ref="AM108:AM109"/>
    <mergeCell ref="AN108:AN109"/>
    <mergeCell ref="AC108:AC109"/>
    <mergeCell ref="AD108:AD109"/>
    <mergeCell ref="AE108:AE109"/>
    <mergeCell ref="AF108:AF109"/>
    <mergeCell ref="AG108:AG109"/>
    <mergeCell ref="AH108:AH109"/>
    <mergeCell ref="T102:T105"/>
    <mergeCell ref="U102:U103"/>
    <mergeCell ref="AQ102:AQ105"/>
    <mergeCell ref="N108:N109"/>
    <mergeCell ref="O108:O109"/>
    <mergeCell ref="P108:P109"/>
    <mergeCell ref="R108:R109"/>
    <mergeCell ref="S108:S109"/>
    <mergeCell ref="Y108:Y109"/>
    <mergeCell ref="Z108:Z109"/>
    <mergeCell ref="AA108:AA109"/>
    <mergeCell ref="AB108:AB109"/>
    <mergeCell ref="AK102:AK105"/>
    <mergeCell ref="AL102:AL105"/>
    <mergeCell ref="AM102:AM105"/>
    <mergeCell ref="AN102:AN105"/>
    <mergeCell ref="AO102:AO105"/>
    <mergeCell ref="AP102:AP105"/>
    <mergeCell ref="AE102:AE105"/>
    <mergeCell ref="AF102:AF105"/>
    <mergeCell ref="AG102:AG105"/>
    <mergeCell ref="AH102:AH105"/>
    <mergeCell ref="AI102:AI105"/>
    <mergeCell ref="AJ102:AJ105"/>
    <mergeCell ref="K98:K99"/>
    <mergeCell ref="L98:L99"/>
    <mergeCell ref="M98:M99"/>
    <mergeCell ref="Q98:Q99"/>
    <mergeCell ref="U98:U99"/>
    <mergeCell ref="AO95:AO101"/>
    <mergeCell ref="J102:J105"/>
    <mergeCell ref="K102:K105"/>
    <mergeCell ref="L102:L105"/>
    <mergeCell ref="M102:M105"/>
    <mergeCell ref="N102:N105"/>
    <mergeCell ref="O102:O105"/>
    <mergeCell ref="J100:J101"/>
    <mergeCell ref="K100:K101"/>
    <mergeCell ref="L100:L101"/>
    <mergeCell ref="M100:M101"/>
    <mergeCell ref="AA102:AA105"/>
    <mergeCell ref="AB102:AB105"/>
    <mergeCell ref="AC102:AC105"/>
    <mergeCell ref="AD102:AD105"/>
    <mergeCell ref="P102:P105"/>
    <mergeCell ref="Q102:Q105"/>
    <mergeCell ref="R102:R105"/>
    <mergeCell ref="S102:S105"/>
    <mergeCell ref="AP95:AP101"/>
    <mergeCell ref="AQ95:AQ100"/>
    <mergeCell ref="J96:J97"/>
    <mergeCell ref="K96:K97"/>
    <mergeCell ref="L96:L97"/>
    <mergeCell ref="M96:M97"/>
    <mergeCell ref="N96:N100"/>
    <mergeCell ref="Q96:Q97"/>
    <mergeCell ref="U96:U97"/>
    <mergeCell ref="AI95:AI100"/>
    <mergeCell ref="AJ95:AJ100"/>
    <mergeCell ref="AK95:AK100"/>
    <mergeCell ref="AL95:AL100"/>
    <mergeCell ref="AM95:AM100"/>
    <mergeCell ref="AN95:AN100"/>
    <mergeCell ref="AC95:AC100"/>
    <mergeCell ref="AD95:AD100"/>
    <mergeCell ref="AE95:AE100"/>
    <mergeCell ref="AF95:AF100"/>
    <mergeCell ref="AG95:AG100"/>
    <mergeCell ref="AH95:AH100"/>
    <mergeCell ref="Q100:Q101"/>
    <mergeCell ref="U100:U101"/>
    <mergeCell ref="J98:J99"/>
    <mergeCell ref="AQ89:AQ93"/>
    <mergeCell ref="O95:O100"/>
    <mergeCell ref="P95:P100"/>
    <mergeCell ref="R95:R101"/>
    <mergeCell ref="S95:S100"/>
    <mergeCell ref="T95:T100"/>
    <mergeCell ref="Y95:Y100"/>
    <mergeCell ref="Z95:Z100"/>
    <mergeCell ref="AA95:AA100"/>
    <mergeCell ref="AB95:AB100"/>
    <mergeCell ref="AK89:AK93"/>
    <mergeCell ref="AL89:AL93"/>
    <mergeCell ref="AM89:AM93"/>
    <mergeCell ref="AN89:AN93"/>
    <mergeCell ref="AO89:AO93"/>
    <mergeCell ref="AP89:AP93"/>
    <mergeCell ref="AE89:AE93"/>
    <mergeCell ref="AF89:AF93"/>
    <mergeCell ref="AG89:AG93"/>
    <mergeCell ref="AH89:AH93"/>
    <mergeCell ref="AI89:AI93"/>
    <mergeCell ref="AJ89:AJ93"/>
    <mergeCell ref="Y89:Y93"/>
    <mergeCell ref="Z89:Z93"/>
    <mergeCell ref="AA89:AA93"/>
    <mergeCell ref="AB89:AB93"/>
    <mergeCell ref="AC89:AC93"/>
    <mergeCell ref="AD89:AD93"/>
    <mergeCell ref="O89:O93"/>
    <mergeCell ref="P89:P93"/>
    <mergeCell ref="R89:R93"/>
    <mergeCell ref="S89:S93"/>
    <mergeCell ref="W89:W93"/>
    <mergeCell ref="X89:X93"/>
    <mergeCell ref="AL84:AL86"/>
    <mergeCell ref="AM84:AM86"/>
    <mergeCell ref="AN84:AN86"/>
    <mergeCell ref="AO84:AO86"/>
    <mergeCell ref="AP84:AP86"/>
    <mergeCell ref="AQ84:AQ86"/>
    <mergeCell ref="AF84:AF86"/>
    <mergeCell ref="AG84:AG86"/>
    <mergeCell ref="AH84:AH86"/>
    <mergeCell ref="AI84:AI86"/>
    <mergeCell ref="AJ84:AJ86"/>
    <mergeCell ref="AK84:AK86"/>
    <mergeCell ref="Z84:Z86"/>
    <mergeCell ref="AA84:AA86"/>
    <mergeCell ref="AB84:AB86"/>
    <mergeCell ref="AC84:AC86"/>
    <mergeCell ref="AD84:AD86"/>
    <mergeCell ref="AE84:AE86"/>
    <mergeCell ref="Q84:Q86"/>
    <mergeCell ref="R84:R86"/>
    <mergeCell ref="S84:S86"/>
    <mergeCell ref="T84:T86"/>
    <mergeCell ref="U84:U85"/>
    <mergeCell ref="Y84:Y86"/>
    <mergeCell ref="W85:W86"/>
    <mergeCell ref="X85:X86"/>
    <mergeCell ref="G84:I86"/>
    <mergeCell ref="J84:J86"/>
    <mergeCell ref="K84:K86"/>
    <mergeCell ref="L84:L86"/>
    <mergeCell ref="M84:M86"/>
    <mergeCell ref="O84:O86"/>
    <mergeCell ref="P84:P86"/>
    <mergeCell ref="J80:J81"/>
    <mergeCell ref="K80:K81"/>
    <mergeCell ref="L80:L81"/>
    <mergeCell ref="M80:M81"/>
    <mergeCell ref="AL76:AL82"/>
    <mergeCell ref="AM76:AM82"/>
    <mergeCell ref="AN76:AN82"/>
    <mergeCell ref="AO76:AO82"/>
    <mergeCell ref="AP76:AP82"/>
    <mergeCell ref="AQ76:AQ82"/>
    <mergeCell ref="AF76:AF82"/>
    <mergeCell ref="AG76:AG82"/>
    <mergeCell ref="AH76:AH82"/>
    <mergeCell ref="AI76:AI82"/>
    <mergeCell ref="AJ76:AJ82"/>
    <mergeCell ref="AK76:AK82"/>
    <mergeCell ref="Z76:Z82"/>
    <mergeCell ref="AA76:AA82"/>
    <mergeCell ref="AB76:AB82"/>
    <mergeCell ref="AC76:AC82"/>
    <mergeCell ref="AD76:AD82"/>
    <mergeCell ref="AE76:AE82"/>
    <mergeCell ref="Q76:Q77"/>
    <mergeCell ref="R76:R82"/>
    <mergeCell ref="S76:S82"/>
    <mergeCell ref="T76:T77"/>
    <mergeCell ref="U76:U77"/>
    <mergeCell ref="Y76:Y82"/>
    <mergeCell ref="Q78:Q79"/>
    <mergeCell ref="T78:T79"/>
    <mergeCell ref="U78:U79"/>
    <mergeCell ref="U80:U81"/>
    <mergeCell ref="V80:V81"/>
    <mergeCell ref="W80:W81"/>
    <mergeCell ref="X80:X81"/>
    <mergeCell ref="Q80:Q81"/>
    <mergeCell ref="T80:T81"/>
    <mergeCell ref="J76:J77"/>
    <mergeCell ref="K76:K77"/>
    <mergeCell ref="L76:L77"/>
    <mergeCell ref="M76:M77"/>
    <mergeCell ref="O76:O82"/>
    <mergeCell ref="P76:P82"/>
    <mergeCell ref="J78:J79"/>
    <mergeCell ref="K78:K79"/>
    <mergeCell ref="L78:L79"/>
    <mergeCell ref="M78:M79"/>
    <mergeCell ref="J71:J73"/>
    <mergeCell ref="K71:K73"/>
    <mergeCell ref="L71:L73"/>
    <mergeCell ref="M71:M73"/>
    <mergeCell ref="Q71:Q73"/>
    <mergeCell ref="T71:T73"/>
    <mergeCell ref="J67:J70"/>
    <mergeCell ref="K67:K70"/>
    <mergeCell ref="L67:L70"/>
    <mergeCell ref="M67:M70"/>
    <mergeCell ref="Q67:Q70"/>
    <mergeCell ref="T67:T70"/>
    <mergeCell ref="J63:J65"/>
    <mergeCell ref="K63:K65"/>
    <mergeCell ref="L63:L65"/>
    <mergeCell ref="M63:M65"/>
    <mergeCell ref="Q63:Q65"/>
    <mergeCell ref="T63:T65"/>
    <mergeCell ref="J60:J62"/>
    <mergeCell ref="K60:K62"/>
    <mergeCell ref="L60:L62"/>
    <mergeCell ref="M60:M62"/>
    <mergeCell ref="Q60:Q62"/>
    <mergeCell ref="T60:T62"/>
    <mergeCell ref="AN54:AN74"/>
    <mergeCell ref="AO54:AO74"/>
    <mergeCell ref="AP54:AP74"/>
    <mergeCell ref="AQ54:AQ74"/>
    <mergeCell ref="J58:J59"/>
    <mergeCell ref="K58:K59"/>
    <mergeCell ref="L58:L59"/>
    <mergeCell ref="M58:M59"/>
    <mergeCell ref="Q58:Q59"/>
    <mergeCell ref="T58:T59"/>
    <mergeCell ref="AH54:AH74"/>
    <mergeCell ref="AI54:AI74"/>
    <mergeCell ref="AJ54:AJ74"/>
    <mergeCell ref="AK54:AK74"/>
    <mergeCell ref="AL54:AL74"/>
    <mergeCell ref="AM54:AM74"/>
    <mergeCell ref="AB54:AB74"/>
    <mergeCell ref="AC54:AC74"/>
    <mergeCell ref="AD54:AD74"/>
    <mergeCell ref="AE54:AE74"/>
    <mergeCell ref="AF54:AF74"/>
    <mergeCell ref="AG54:AG74"/>
    <mergeCell ref="S54:S74"/>
    <mergeCell ref="T54:T55"/>
    <mergeCell ref="U67:U68"/>
    <mergeCell ref="U71:U73"/>
    <mergeCell ref="U45:U46"/>
    <mergeCell ref="N46:N52"/>
    <mergeCell ref="T45:T46"/>
    <mergeCell ref="Z44:Z52"/>
    <mergeCell ref="AA44:AA52"/>
    <mergeCell ref="S44:S52"/>
    <mergeCell ref="Y44:Y52"/>
    <mergeCell ref="AI44:AI52"/>
    <mergeCell ref="AJ44:AJ52"/>
    <mergeCell ref="AK44:AK52"/>
    <mergeCell ref="G54:I74"/>
    <mergeCell ref="J54:J55"/>
    <mergeCell ref="K54:K55"/>
    <mergeCell ref="M54:M55"/>
    <mergeCell ref="O54:O74"/>
    <mergeCell ref="P54:P74"/>
    <mergeCell ref="Q54:Q55"/>
    <mergeCell ref="R54:R74"/>
    <mergeCell ref="J45:J46"/>
    <mergeCell ref="K45:K46"/>
    <mergeCell ref="L45:L46"/>
    <mergeCell ref="M45:M46"/>
    <mergeCell ref="Q45:Q46"/>
    <mergeCell ref="O44:O52"/>
    <mergeCell ref="P44:P52"/>
    <mergeCell ref="R44:R52"/>
    <mergeCell ref="U54:U55"/>
    <mergeCell ref="Y54:Y74"/>
    <mergeCell ref="Z54:Z74"/>
    <mergeCell ref="AA54:AA74"/>
    <mergeCell ref="U58:U59"/>
    <mergeCell ref="AB44:AB52"/>
    <mergeCell ref="AC44:AC52"/>
    <mergeCell ref="AD44:AD52"/>
    <mergeCell ref="AE44:AE52"/>
    <mergeCell ref="AM37:AM41"/>
    <mergeCell ref="AN37:AN41"/>
    <mergeCell ref="AO37:AO41"/>
    <mergeCell ref="AP37:AP41"/>
    <mergeCell ref="AQ37:AQ41"/>
    <mergeCell ref="AG37:AG41"/>
    <mergeCell ref="AH37:AH41"/>
    <mergeCell ref="AI37:AI41"/>
    <mergeCell ref="AJ37:AJ41"/>
    <mergeCell ref="AK37:AK41"/>
    <mergeCell ref="AL37:AL41"/>
    <mergeCell ref="AL44:AL52"/>
    <mergeCell ref="AM44:AM52"/>
    <mergeCell ref="AN44:AN52"/>
    <mergeCell ref="AO44:AO52"/>
    <mergeCell ref="AP44:AP52"/>
    <mergeCell ref="AQ44:AQ52"/>
    <mergeCell ref="AF44:AF52"/>
    <mergeCell ref="AG44:AG52"/>
    <mergeCell ref="AH44:AH52"/>
    <mergeCell ref="AA37:AA41"/>
    <mergeCell ref="AB37:AB41"/>
    <mergeCell ref="AC37:AC41"/>
    <mergeCell ref="AD37:AD41"/>
    <mergeCell ref="AE37:AE41"/>
    <mergeCell ref="AF37:AF41"/>
    <mergeCell ref="R37:R41"/>
    <mergeCell ref="S37:S41"/>
    <mergeCell ref="T37:T41"/>
    <mergeCell ref="U37:U41"/>
    <mergeCell ref="Y37:Y41"/>
    <mergeCell ref="Z37:Z41"/>
    <mergeCell ref="L37:L41"/>
    <mergeCell ref="M37:M41"/>
    <mergeCell ref="N37:N41"/>
    <mergeCell ref="O37:O41"/>
    <mergeCell ref="P37:P41"/>
    <mergeCell ref="Q37:Q41"/>
    <mergeCell ref="D37:D41"/>
    <mergeCell ref="F37:F41"/>
    <mergeCell ref="G37:G41"/>
    <mergeCell ref="I37:I41"/>
    <mergeCell ref="J37:J41"/>
    <mergeCell ref="K37:K41"/>
    <mergeCell ref="AQ27:AQ36"/>
    <mergeCell ref="J30:J31"/>
    <mergeCell ref="K30:K31"/>
    <mergeCell ref="L30:L31"/>
    <mergeCell ref="M30:M31"/>
    <mergeCell ref="Q30:Q31"/>
    <mergeCell ref="J33:J34"/>
    <mergeCell ref="K33:K34"/>
    <mergeCell ref="L33:L34"/>
    <mergeCell ref="M33:M34"/>
    <mergeCell ref="AK27:AK36"/>
    <mergeCell ref="AL27:AL36"/>
    <mergeCell ref="AM27:AM36"/>
    <mergeCell ref="AN27:AN36"/>
    <mergeCell ref="AO27:AO36"/>
    <mergeCell ref="AP27:AP36"/>
    <mergeCell ref="AE27:AE36"/>
    <mergeCell ref="AF27:AF36"/>
    <mergeCell ref="AG27:AG36"/>
    <mergeCell ref="AH27:AH36"/>
    <mergeCell ref="AI27:AI36"/>
    <mergeCell ref="AJ27:AJ36"/>
    <mergeCell ref="Y27:Y36"/>
    <mergeCell ref="Z27:Z36"/>
    <mergeCell ref="AA27:AA36"/>
    <mergeCell ref="AB27:AB36"/>
    <mergeCell ref="AC27:AC36"/>
    <mergeCell ref="AD27:AD36"/>
    <mergeCell ref="P27:P36"/>
    <mergeCell ref="Q27:Q28"/>
    <mergeCell ref="R27:R36"/>
    <mergeCell ref="S27:S36"/>
    <mergeCell ref="T27:T36"/>
    <mergeCell ref="U27:U28"/>
    <mergeCell ref="Q33:Q34"/>
    <mergeCell ref="U33:U34"/>
    <mergeCell ref="Q35:Q36"/>
    <mergeCell ref="J27:J28"/>
    <mergeCell ref="K27:K28"/>
    <mergeCell ref="L27:L28"/>
    <mergeCell ref="M27:M28"/>
    <mergeCell ref="N27:N36"/>
    <mergeCell ref="O27:O36"/>
    <mergeCell ref="J35:J36"/>
    <mergeCell ref="K35:K36"/>
    <mergeCell ref="J22:J25"/>
    <mergeCell ref="K22:K25"/>
    <mergeCell ref="L22:L25"/>
    <mergeCell ref="M22:M25"/>
    <mergeCell ref="T15:T21"/>
    <mergeCell ref="AL11:AL25"/>
    <mergeCell ref="Z11:Z25"/>
    <mergeCell ref="AA11:AA25"/>
    <mergeCell ref="AB11:AB25"/>
    <mergeCell ref="AC11:AC25"/>
    <mergeCell ref="AD11:AD25"/>
    <mergeCell ref="AE11:AE25"/>
    <mergeCell ref="Q11:Q14"/>
    <mergeCell ref="R11:R25"/>
    <mergeCell ref="S11:S25"/>
    <mergeCell ref="T11:T14"/>
    <mergeCell ref="U11:U14"/>
    <mergeCell ref="Y11:Y25"/>
    <mergeCell ref="U15:U19"/>
    <mergeCell ref="U20:U21"/>
    <mergeCell ref="U22:U25"/>
    <mergeCell ref="AM11:AM25"/>
    <mergeCell ref="AN11:AN25"/>
    <mergeCell ref="AO11:AO25"/>
    <mergeCell ref="AP11:AP25"/>
    <mergeCell ref="AQ11:AQ25"/>
    <mergeCell ref="AF11:AF25"/>
    <mergeCell ref="AG11:AG25"/>
    <mergeCell ref="AH11:AH25"/>
    <mergeCell ref="AI11:AI25"/>
    <mergeCell ref="AJ11:AJ25"/>
    <mergeCell ref="AK11:AK25"/>
    <mergeCell ref="J11:J14"/>
    <mergeCell ref="K11:K14"/>
    <mergeCell ref="L11:L14"/>
    <mergeCell ref="M11:M14"/>
    <mergeCell ref="N11:N25"/>
    <mergeCell ref="O11:O25"/>
    <mergeCell ref="P11:P25"/>
    <mergeCell ref="X6:X7"/>
    <mergeCell ref="Y6:Z6"/>
    <mergeCell ref="Q6:Q7"/>
    <mergeCell ref="R6:R7"/>
    <mergeCell ref="S6:S7"/>
    <mergeCell ref="T6:T7"/>
    <mergeCell ref="U6:U7"/>
    <mergeCell ref="V6:W6"/>
    <mergeCell ref="K6:K7"/>
    <mergeCell ref="L6:L7"/>
    <mergeCell ref="Q22:Q25"/>
    <mergeCell ref="T22:T25"/>
    <mergeCell ref="J15:J21"/>
    <mergeCell ref="K15:K21"/>
    <mergeCell ref="L15:L21"/>
    <mergeCell ref="M15:M21"/>
    <mergeCell ref="Q15:Q21"/>
    <mergeCell ref="M6:M7"/>
    <mergeCell ref="N6:N7"/>
    <mergeCell ref="O6:O7"/>
    <mergeCell ref="P6:P7"/>
    <mergeCell ref="A1:AP4"/>
    <mergeCell ref="A5:M5"/>
    <mergeCell ref="P5:AQ5"/>
    <mergeCell ref="A6:A7"/>
    <mergeCell ref="B6:C7"/>
    <mergeCell ref="D6:D7"/>
    <mergeCell ref="E6:F7"/>
    <mergeCell ref="G6:G7"/>
    <mergeCell ref="H6:I7"/>
    <mergeCell ref="J6:J7"/>
    <mergeCell ref="AO6:AO7"/>
    <mergeCell ref="AP6:AP7"/>
    <mergeCell ref="AQ6:AQ7"/>
    <mergeCell ref="AA6:AD6"/>
    <mergeCell ref="AE6:AJ6"/>
    <mergeCell ref="AK6:AM6"/>
    <mergeCell ref="AN6:AN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T158"/>
  <sheetViews>
    <sheetView showGridLines="0" zoomScale="60" zoomScaleNormal="60" workbookViewId="0">
      <selection activeCell="K13" sqref="K13:K20"/>
    </sheetView>
  </sheetViews>
  <sheetFormatPr baseColWidth="10" defaultColWidth="11.42578125" defaultRowHeight="14.25" x14ac:dyDescent="0.2"/>
  <cols>
    <col min="1" max="1" width="13.5703125" style="362" customWidth="1"/>
    <col min="2" max="2" width="27.5703125" style="362" customWidth="1"/>
    <col min="3" max="3" width="13.5703125" style="362" customWidth="1"/>
    <col min="4" max="4" width="22.42578125" style="362" customWidth="1"/>
    <col min="5" max="5" width="13.5703125" style="362" customWidth="1"/>
    <col min="6" max="6" width="26" style="883" customWidth="1"/>
    <col min="7" max="7" width="14.7109375" style="362" customWidth="1"/>
    <col min="8" max="8" width="35.42578125" style="882" customWidth="1"/>
    <col min="9" max="9" width="34.85546875" style="882" customWidth="1"/>
    <col min="10" max="10" width="12.42578125" style="362" customWidth="1"/>
    <col min="11" max="11" width="37.85546875" style="362" customWidth="1"/>
    <col min="12" max="12" width="19.7109375" style="362" customWidth="1"/>
    <col min="13" max="13" width="29.5703125" style="882" customWidth="1"/>
    <col min="14" max="14" width="12.5703125" style="1909" customWidth="1"/>
    <col min="15" max="15" width="27.42578125" style="2542" customWidth="1"/>
    <col min="16" max="16" width="40.140625" style="882" customWidth="1"/>
    <col min="17" max="17" width="45.28515625" style="882" customWidth="1"/>
    <col min="18" max="18" width="62.85546875" style="691" customWidth="1"/>
    <col min="19" max="19" width="30.7109375" style="618" customWidth="1"/>
    <col min="20" max="20" width="12.42578125" style="883" customWidth="1"/>
    <col min="21" max="21" width="20.42578125" style="882" customWidth="1"/>
    <col min="22" max="22" width="10" style="362" customWidth="1"/>
    <col min="23" max="23" width="8.5703125" style="362" customWidth="1"/>
    <col min="24" max="25" width="9.42578125" style="362" customWidth="1"/>
    <col min="26" max="26" width="10" style="362" customWidth="1"/>
    <col min="27" max="27" width="11.42578125" style="362" customWidth="1"/>
    <col min="28" max="28" width="9.42578125" style="362" customWidth="1"/>
    <col min="29" max="29" width="9.5703125" style="362" customWidth="1"/>
    <col min="30" max="30" width="6.42578125" style="362" customWidth="1"/>
    <col min="31" max="31" width="6.28515625" style="362" customWidth="1"/>
    <col min="32" max="32" width="6.140625" style="362" customWidth="1"/>
    <col min="33" max="33" width="6.7109375" style="362" customWidth="1"/>
    <col min="34" max="34" width="7" style="362" customWidth="1"/>
    <col min="35" max="35" width="7.5703125" style="362" customWidth="1"/>
    <col min="36" max="36" width="6.42578125" style="362" customWidth="1"/>
    <col min="37" max="37" width="9.85546875" style="362" customWidth="1"/>
    <col min="38" max="38" width="18" style="362" customWidth="1"/>
    <col min="39" max="39" width="21.42578125" style="362" customWidth="1"/>
    <col min="40" max="40" width="27.85546875" style="882" customWidth="1"/>
    <col min="41" max="43" width="11.42578125" style="691"/>
    <col min="44" max="254" width="11.42578125" style="362"/>
    <col min="255" max="255" width="13.5703125" style="362" customWidth="1"/>
    <col min="256" max="256" width="19" style="362" customWidth="1"/>
    <col min="257" max="257" width="13.5703125" style="362" customWidth="1"/>
    <col min="258" max="258" width="19.7109375" style="362" customWidth="1"/>
    <col min="259" max="259" width="13.5703125" style="362" customWidth="1"/>
    <col min="260" max="261" width="14.7109375" style="362" customWidth="1"/>
    <col min="262" max="262" width="36.140625" style="362" customWidth="1"/>
    <col min="263" max="263" width="29.42578125" style="362" customWidth="1"/>
    <col min="264" max="264" width="16" style="362" customWidth="1"/>
    <col min="265" max="265" width="38.28515625" style="362" customWidth="1"/>
    <col min="266" max="266" width="12" style="362" customWidth="1"/>
    <col min="267" max="267" width="38.140625" style="362" customWidth="1"/>
    <col min="268" max="268" width="17.85546875" style="362" bestFit="1" customWidth="1"/>
    <col min="269" max="269" width="24.7109375" style="362" customWidth="1"/>
    <col min="270" max="270" width="36.42578125" style="362" customWidth="1"/>
    <col min="271" max="271" width="46.7109375" style="362" customWidth="1"/>
    <col min="272" max="272" width="43.7109375" style="362" customWidth="1"/>
    <col min="273" max="273" width="25.42578125" style="362" customWidth="1"/>
    <col min="274" max="274" width="12.42578125" style="362" customWidth="1"/>
    <col min="275" max="275" width="16.42578125" style="362" customWidth="1"/>
    <col min="276" max="276" width="13.42578125" style="362" customWidth="1"/>
    <col min="277" max="277" width="8.5703125" style="362" customWidth="1"/>
    <col min="278" max="281" width="11.42578125" style="362" customWidth="1"/>
    <col min="282" max="282" width="12.7109375" style="362" customWidth="1"/>
    <col min="283" max="283" width="11.85546875" style="362" customWidth="1"/>
    <col min="284" max="284" width="7.85546875" style="362" customWidth="1"/>
    <col min="285" max="285" width="7.5703125" style="362" customWidth="1"/>
    <col min="286" max="286" width="8.85546875" style="362" customWidth="1"/>
    <col min="287" max="287" width="8.140625" style="362" customWidth="1"/>
    <col min="288" max="288" width="7.85546875" style="362" customWidth="1"/>
    <col min="289" max="289" width="8.5703125" style="362" customWidth="1"/>
    <col min="290" max="290" width="8.28515625" style="362" customWidth="1"/>
    <col min="291" max="291" width="11.42578125" style="362" customWidth="1"/>
    <col min="292" max="292" width="18" style="362" customWidth="1"/>
    <col min="293" max="293" width="21.42578125" style="362" customWidth="1"/>
    <col min="294" max="294" width="27.85546875" style="362" customWidth="1"/>
    <col min="295" max="510" width="11.42578125" style="362"/>
    <col min="511" max="511" width="13.5703125" style="362" customWidth="1"/>
    <col min="512" max="512" width="19" style="362" customWidth="1"/>
    <col min="513" max="513" width="13.5703125" style="362" customWidth="1"/>
    <col min="514" max="514" width="19.7109375" style="362" customWidth="1"/>
    <col min="515" max="515" width="13.5703125" style="362" customWidth="1"/>
    <col min="516" max="517" width="14.7109375" style="362" customWidth="1"/>
    <col min="518" max="518" width="36.140625" style="362" customWidth="1"/>
    <col min="519" max="519" width="29.42578125" style="362" customWidth="1"/>
    <col min="520" max="520" width="16" style="362" customWidth="1"/>
    <col min="521" max="521" width="38.28515625" style="362" customWidth="1"/>
    <col min="522" max="522" width="12" style="362" customWidth="1"/>
    <col min="523" max="523" width="38.140625" style="362" customWidth="1"/>
    <col min="524" max="524" width="17.85546875" style="362" bestFit="1" customWidth="1"/>
    <col min="525" max="525" width="24.7109375" style="362" customWidth="1"/>
    <col min="526" max="526" width="36.42578125" style="362" customWidth="1"/>
    <col min="527" max="527" width="46.7109375" style="362" customWidth="1"/>
    <col min="528" max="528" width="43.7109375" style="362" customWidth="1"/>
    <col min="529" max="529" width="25.42578125" style="362" customWidth="1"/>
    <col min="530" max="530" width="12.42578125" style="362" customWidth="1"/>
    <col min="531" max="531" width="16.42578125" style="362" customWidth="1"/>
    <col min="532" max="532" width="13.42578125" style="362" customWidth="1"/>
    <col min="533" max="533" width="8.5703125" style="362" customWidth="1"/>
    <col min="534" max="537" width="11.42578125" style="362" customWidth="1"/>
    <col min="538" max="538" width="12.7109375" style="362" customWidth="1"/>
    <col min="539" max="539" width="11.85546875" style="362" customWidth="1"/>
    <col min="540" max="540" width="7.85546875" style="362" customWidth="1"/>
    <col min="541" max="541" width="7.5703125" style="362" customWidth="1"/>
    <col min="542" max="542" width="8.85546875" style="362" customWidth="1"/>
    <col min="543" max="543" width="8.140625" style="362" customWidth="1"/>
    <col min="544" max="544" width="7.85546875" style="362" customWidth="1"/>
    <col min="545" max="545" width="8.5703125" style="362" customWidth="1"/>
    <col min="546" max="546" width="8.28515625" style="362" customWidth="1"/>
    <col min="547" max="547" width="11.42578125" style="362" customWidth="1"/>
    <col min="548" max="548" width="18" style="362" customWidth="1"/>
    <col min="549" max="549" width="21.42578125" style="362" customWidth="1"/>
    <col min="550" max="550" width="27.85546875" style="362" customWidth="1"/>
    <col min="551" max="766" width="11.42578125" style="362"/>
    <col min="767" max="767" width="13.5703125" style="362" customWidth="1"/>
    <col min="768" max="768" width="19" style="362" customWidth="1"/>
    <col min="769" max="769" width="13.5703125" style="362" customWidth="1"/>
    <col min="770" max="770" width="19.7109375" style="362" customWidth="1"/>
    <col min="771" max="771" width="13.5703125" style="362" customWidth="1"/>
    <col min="772" max="773" width="14.7109375" style="362" customWidth="1"/>
    <col min="774" max="774" width="36.140625" style="362" customWidth="1"/>
    <col min="775" max="775" width="29.42578125" style="362" customWidth="1"/>
    <col min="776" max="776" width="16" style="362" customWidth="1"/>
    <col min="777" max="777" width="38.28515625" style="362" customWidth="1"/>
    <col min="778" max="778" width="12" style="362" customWidth="1"/>
    <col min="779" max="779" width="38.140625" style="362" customWidth="1"/>
    <col min="780" max="780" width="17.85546875" style="362" bestFit="1" customWidth="1"/>
    <col min="781" max="781" width="24.7109375" style="362" customWidth="1"/>
    <col min="782" max="782" width="36.42578125" style="362" customWidth="1"/>
    <col min="783" max="783" width="46.7109375" style="362" customWidth="1"/>
    <col min="784" max="784" width="43.7109375" style="362" customWidth="1"/>
    <col min="785" max="785" width="25.42578125" style="362" customWidth="1"/>
    <col min="786" max="786" width="12.42578125" style="362" customWidth="1"/>
    <col min="787" max="787" width="16.42578125" style="362" customWidth="1"/>
    <col min="788" max="788" width="13.42578125" style="362" customWidth="1"/>
    <col min="789" max="789" width="8.5703125" style="362" customWidth="1"/>
    <col min="790" max="793" width="11.42578125" style="362" customWidth="1"/>
    <col min="794" max="794" width="12.7109375" style="362" customWidth="1"/>
    <col min="795" max="795" width="11.85546875" style="362" customWidth="1"/>
    <col min="796" max="796" width="7.85546875" style="362" customWidth="1"/>
    <col min="797" max="797" width="7.5703125" style="362" customWidth="1"/>
    <col min="798" max="798" width="8.85546875" style="362" customWidth="1"/>
    <col min="799" max="799" width="8.140625" style="362" customWidth="1"/>
    <col min="800" max="800" width="7.85546875" style="362" customWidth="1"/>
    <col min="801" max="801" width="8.5703125" style="362" customWidth="1"/>
    <col min="802" max="802" width="8.28515625" style="362" customWidth="1"/>
    <col min="803" max="803" width="11.42578125" style="362" customWidth="1"/>
    <col min="804" max="804" width="18" style="362" customWidth="1"/>
    <col min="805" max="805" width="21.42578125" style="362" customWidth="1"/>
    <col min="806" max="806" width="27.85546875" style="362" customWidth="1"/>
    <col min="807" max="1022" width="11.42578125" style="362"/>
    <col min="1023" max="1023" width="13.5703125" style="362" customWidth="1"/>
    <col min="1024" max="1024" width="19" style="362" customWidth="1"/>
    <col min="1025" max="1025" width="13.5703125" style="362" customWidth="1"/>
    <col min="1026" max="1026" width="19.7109375" style="362" customWidth="1"/>
    <col min="1027" max="1027" width="13.5703125" style="362" customWidth="1"/>
    <col min="1028" max="1029" width="14.7109375" style="362" customWidth="1"/>
    <col min="1030" max="1030" width="36.140625" style="362" customWidth="1"/>
    <col min="1031" max="1031" width="29.42578125" style="362" customWidth="1"/>
    <col min="1032" max="1032" width="16" style="362" customWidth="1"/>
    <col min="1033" max="1033" width="38.28515625" style="362" customWidth="1"/>
    <col min="1034" max="1034" width="12" style="362" customWidth="1"/>
    <col min="1035" max="1035" width="38.140625" style="362" customWidth="1"/>
    <col min="1036" max="1036" width="17.85546875" style="362" bestFit="1" customWidth="1"/>
    <col min="1037" max="1037" width="24.7109375" style="362" customWidth="1"/>
    <col min="1038" max="1038" width="36.42578125" style="362" customWidth="1"/>
    <col min="1039" max="1039" width="46.7109375" style="362" customWidth="1"/>
    <col min="1040" max="1040" width="43.7109375" style="362" customWidth="1"/>
    <col min="1041" max="1041" width="25.42578125" style="362" customWidth="1"/>
    <col min="1042" max="1042" width="12.42578125" style="362" customWidth="1"/>
    <col min="1043" max="1043" width="16.42578125" style="362" customWidth="1"/>
    <col min="1044" max="1044" width="13.42578125" style="362" customWidth="1"/>
    <col min="1045" max="1045" width="8.5703125" style="362" customWidth="1"/>
    <col min="1046" max="1049" width="11.42578125" style="362" customWidth="1"/>
    <col min="1050" max="1050" width="12.7109375" style="362" customWidth="1"/>
    <col min="1051" max="1051" width="11.85546875" style="362" customWidth="1"/>
    <col min="1052" max="1052" width="7.85546875" style="362" customWidth="1"/>
    <col min="1053" max="1053" width="7.5703125" style="362" customWidth="1"/>
    <col min="1054" max="1054" width="8.85546875" style="362" customWidth="1"/>
    <col min="1055" max="1055" width="8.140625" style="362" customWidth="1"/>
    <col min="1056" max="1056" width="7.85546875" style="362" customWidth="1"/>
    <col min="1057" max="1057" width="8.5703125" style="362" customWidth="1"/>
    <col min="1058" max="1058" width="8.28515625" style="362" customWidth="1"/>
    <col min="1059" max="1059" width="11.42578125" style="362" customWidth="1"/>
    <col min="1060" max="1060" width="18" style="362" customWidth="1"/>
    <col min="1061" max="1061" width="21.42578125" style="362" customWidth="1"/>
    <col min="1062" max="1062" width="27.85546875" style="362" customWidth="1"/>
    <col min="1063" max="1278" width="11.42578125" style="362"/>
    <col min="1279" max="1279" width="13.5703125" style="362" customWidth="1"/>
    <col min="1280" max="1280" width="19" style="362" customWidth="1"/>
    <col min="1281" max="1281" width="13.5703125" style="362" customWidth="1"/>
    <col min="1282" max="1282" width="19.7109375" style="362" customWidth="1"/>
    <col min="1283" max="1283" width="13.5703125" style="362" customWidth="1"/>
    <col min="1284" max="1285" width="14.7109375" style="362" customWidth="1"/>
    <col min="1286" max="1286" width="36.140625" style="362" customWidth="1"/>
    <col min="1287" max="1287" width="29.42578125" style="362" customWidth="1"/>
    <col min="1288" max="1288" width="16" style="362" customWidth="1"/>
    <col min="1289" max="1289" width="38.28515625" style="362" customWidth="1"/>
    <col min="1290" max="1290" width="12" style="362" customWidth="1"/>
    <col min="1291" max="1291" width="38.140625" style="362" customWidth="1"/>
    <col min="1292" max="1292" width="17.85546875" style="362" bestFit="1" customWidth="1"/>
    <col min="1293" max="1293" width="24.7109375" style="362" customWidth="1"/>
    <col min="1294" max="1294" width="36.42578125" style="362" customWidth="1"/>
    <col min="1295" max="1295" width="46.7109375" style="362" customWidth="1"/>
    <col min="1296" max="1296" width="43.7109375" style="362" customWidth="1"/>
    <col min="1297" max="1297" width="25.42578125" style="362" customWidth="1"/>
    <col min="1298" max="1298" width="12.42578125" style="362" customWidth="1"/>
    <col min="1299" max="1299" width="16.42578125" style="362" customWidth="1"/>
    <col min="1300" max="1300" width="13.42578125" style="362" customWidth="1"/>
    <col min="1301" max="1301" width="8.5703125" style="362" customWidth="1"/>
    <col min="1302" max="1305" width="11.42578125" style="362" customWidth="1"/>
    <col min="1306" max="1306" width="12.7109375" style="362" customWidth="1"/>
    <col min="1307" max="1307" width="11.85546875" style="362" customWidth="1"/>
    <col min="1308" max="1308" width="7.85546875" style="362" customWidth="1"/>
    <col min="1309" max="1309" width="7.5703125" style="362" customWidth="1"/>
    <col min="1310" max="1310" width="8.85546875" style="362" customWidth="1"/>
    <col min="1311" max="1311" width="8.140625" style="362" customWidth="1"/>
    <col min="1312" max="1312" width="7.85546875" style="362" customWidth="1"/>
    <col min="1313" max="1313" width="8.5703125" style="362" customWidth="1"/>
    <col min="1314" max="1314" width="8.28515625" style="362" customWidth="1"/>
    <col min="1315" max="1315" width="11.42578125" style="362" customWidth="1"/>
    <col min="1316" max="1316" width="18" style="362" customWidth="1"/>
    <col min="1317" max="1317" width="21.42578125" style="362" customWidth="1"/>
    <col min="1318" max="1318" width="27.85546875" style="362" customWidth="1"/>
    <col min="1319" max="1534" width="11.42578125" style="362"/>
    <col min="1535" max="1535" width="13.5703125" style="362" customWidth="1"/>
    <col min="1536" max="1536" width="19" style="362" customWidth="1"/>
    <col min="1537" max="1537" width="13.5703125" style="362" customWidth="1"/>
    <col min="1538" max="1538" width="19.7109375" style="362" customWidth="1"/>
    <col min="1539" max="1539" width="13.5703125" style="362" customWidth="1"/>
    <col min="1540" max="1541" width="14.7109375" style="362" customWidth="1"/>
    <col min="1542" max="1542" width="36.140625" style="362" customWidth="1"/>
    <col min="1543" max="1543" width="29.42578125" style="362" customWidth="1"/>
    <col min="1544" max="1544" width="16" style="362" customWidth="1"/>
    <col min="1545" max="1545" width="38.28515625" style="362" customWidth="1"/>
    <col min="1546" max="1546" width="12" style="362" customWidth="1"/>
    <col min="1547" max="1547" width="38.140625" style="362" customWidth="1"/>
    <col min="1548" max="1548" width="17.85546875" style="362" bestFit="1" customWidth="1"/>
    <col min="1549" max="1549" width="24.7109375" style="362" customWidth="1"/>
    <col min="1550" max="1550" width="36.42578125" style="362" customWidth="1"/>
    <col min="1551" max="1551" width="46.7109375" style="362" customWidth="1"/>
    <col min="1552" max="1552" width="43.7109375" style="362" customWidth="1"/>
    <col min="1553" max="1553" width="25.42578125" style="362" customWidth="1"/>
    <col min="1554" max="1554" width="12.42578125" style="362" customWidth="1"/>
    <col min="1555" max="1555" width="16.42578125" style="362" customWidth="1"/>
    <col min="1556" max="1556" width="13.42578125" style="362" customWidth="1"/>
    <col min="1557" max="1557" width="8.5703125" style="362" customWidth="1"/>
    <col min="1558" max="1561" width="11.42578125" style="362" customWidth="1"/>
    <col min="1562" max="1562" width="12.7109375" style="362" customWidth="1"/>
    <col min="1563" max="1563" width="11.85546875" style="362" customWidth="1"/>
    <col min="1564" max="1564" width="7.85546875" style="362" customWidth="1"/>
    <col min="1565" max="1565" width="7.5703125" style="362" customWidth="1"/>
    <col min="1566" max="1566" width="8.85546875" style="362" customWidth="1"/>
    <col min="1567" max="1567" width="8.140625" style="362" customWidth="1"/>
    <col min="1568" max="1568" width="7.85546875" style="362" customWidth="1"/>
    <col min="1569" max="1569" width="8.5703125" style="362" customWidth="1"/>
    <col min="1570" max="1570" width="8.28515625" style="362" customWidth="1"/>
    <col min="1571" max="1571" width="11.42578125" style="362" customWidth="1"/>
    <col min="1572" max="1572" width="18" style="362" customWidth="1"/>
    <col min="1573" max="1573" width="21.42578125" style="362" customWidth="1"/>
    <col min="1574" max="1574" width="27.85546875" style="362" customWidth="1"/>
    <col min="1575" max="1790" width="11.42578125" style="362"/>
    <col min="1791" max="1791" width="13.5703125" style="362" customWidth="1"/>
    <col min="1792" max="1792" width="19" style="362" customWidth="1"/>
    <col min="1793" max="1793" width="13.5703125" style="362" customWidth="1"/>
    <col min="1794" max="1794" width="19.7109375" style="362" customWidth="1"/>
    <col min="1795" max="1795" width="13.5703125" style="362" customWidth="1"/>
    <col min="1796" max="1797" width="14.7109375" style="362" customWidth="1"/>
    <col min="1798" max="1798" width="36.140625" style="362" customWidth="1"/>
    <col min="1799" max="1799" width="29.42578125" style="362" customWidth="1"/>
    <col min="1800" max="1800" width="16" style="362" customWidth="1"/>
    <col min="1801" max="1801" width="38.28515625" style="362" customWidth="1"/>
    <col min="1802" max="1802" width="12" style="362" customWidth="1"/>
    <col min="1803" max="1803" width="38.140625" style="362" customWidth="1"/>
    <col min="1804" max="1804" width="17.85546875" style="362" bestFit="1" customWidth="1"/>
    <col min="1805" max="1805" width="24.7109375" style="362" customWidth="1"/>
    <col min="1806" max="1806" width="36.42578125" style="362" customWidth="1"/>
    <col min="1807" max="1807" width="46.7109375" style="362" customWidth="1"/>
    <col min="1808" max="1808" width="43.7109375" style="362" customWidth="1"/>
    <col min="1809" max="1809" width="25.42578125" style="362" customWidth="1"/>
    <col min="1810" max="1810" width="12.42578125" style="362" customWidth="1"/>
    <col min="1811" max="1811" width="16.42578125" style="362" customWidth="1"/>
    <col min="1812" max="1812" width="13.42578125" style="362" customWidth="1"/>
    <col min="1813" max="1813" width="8.5703125" style="362" customWidth="1"/>
    <col min="1814" max="1817" width="11.42578125" style="362" customWidth="1"/>
    <col min="1818" max="1818" width="12.7109375" style="362" customWidth="1"/>
    <col min="1819" max="1819" width="11.85546875" style="362" customWidth="1"/>
    <col min="1820" max="1820" width="7.85546875" style="362" customWidth="1"/>
    <col min="1821" max="1821" width="7.5703125" style="362" customWidth="1"/>
    <col min="1822" max="1822" width="8.85546875" style="362" customWidth="1"/>
    <col min="1823" max="1823" width="8.140625" style="362" customWidth="1"/>
    <col min="1824" max="1824" width="7.85546875" style="362" customWidth="1"/>
    <col min="1825" max="1825" width="8.5703125" style="362" customWidth="1"/>
    <col min="1826" max="1826" width="8.28515625" style="362" customWidth="1"/>
    <col min="1827" max="1827" width="11.42578125" style="362" customWidth="1"/>
    <col min="1828" max="1828" width="18" style="362" customWidth="1"/>
    <col min="1829" max="1829" width="21.42578125" style="362" customWidth="1"/>
    <col min="1830" max="1830" width="27.85546875" style="362" customWidth="1"/>
    <col min="1831" max="2046" width="11.42578125" style="362"/>
    <col min="2047" max="2047" width="13.5703125" style="362" customWidth="1"/>
    <col min="2048" max="2048" width="19" style="362" customWidth="1"/>
    <col min="2049" max="2049" width="13.5703125" style="362" customWidth="1"/>
    <col min="2050" max="2050" width="19.7109375" style="362" customWidth="1"/>
    <col min="2051" max="2051" width="13.5703125" style="362" customWidth="1"/>
    <col min="2052" max="2053" width="14.7109375" style="362" customWidth="1"/>
    <col min="2054" max="2054" width="36.140625" style="362" customWidth="1"/>
    <col min="2055" max="2055" width="29.42578125" style="362" customWidth="1"/>
    <col min="2056" max="2056" width="16" style="362" customWidth="1"/>
    <col min="2057" max="2057" width="38.28515625" style="362" customWidth="1"/>
    <col min="2058" max="2058" width="12" style="362" customWidth="1"/>
    <col min="2059" max="2059" width="38.140625" style="362" customWidth="1"/>
    <col min="2060" max="2060" width="17.85546875" style="362" bestFit="1" customWidth="1"/>
    <col min="2061" max="2061" width="24.7109375" style="362" customWidth="1"/>
    <col min="2062" max="2062" width="36.42578125" style="362" customWidth="1"/>
    <col min="2063" max="2063" width="46.7109375" style="362" customWidth="1"/>
    <col min="2064" max="2064" width="43.7109375" style="362" customWidth="1"/>
    <col min="2065" max="2065" width="25.42578125" style="362" customWidth="1"/>
    <col min="2066" max="2066" width="12.42578125" style="362" customWidth="1"/>
    <col min="2067" max="2067" width="16.42578125" style="362" customWidth="1"/>
    <col min="2068" max="2068" width="13.42578125" style="362" customWidth="1"/>
    <col min="2069" max="2069" width="8.5703125" style="362" customWidth="1"/>
    <col min="2070" max="2073" width="11.42578125" style="362" customWidth="1"/>
    <col min="2074" max="2074" width="12.7109375" style="362" customWidth="1"/>
    <col min="2075" max="2075" width="11.85546875" style="362" customWidth="1"/>
    <col min="2076" max="2076" width="7.85546875" style="362" customWidth="1"/>
    <col min="2077" max="2077" width="7.5703125" style="362" customWidth="1"/>
    <col min="2078" max="2078" width="8.85546875" style="362" customWidth="1"/>
    <col min="2079" max="2079" width="8.140625" style="362" customWidth="1"/>
    <col min="2080" max="2080" width="7.85546875" style="362" customWidth="1"/>
    <col min="2081" max="2081" width="8.5703125" style="362" customWidth="1"/>
    <col min="2082" max="2082" width="8.28515625" style="362" customWidth="1"/>
    <col min="2083" max="2083" width="11.42578125" style="362" customWidth="1"/>
    <col min="2084" max="2084" width="18" style="362" customWidth="1"/>
    <col min="2085" max="2085" width="21.42578125" style="362" customWidth="1"/>
    <col min="2086" max="2086" width="27.85546875" style="362" customWidth="1"/>
    <col min="2087" max="2302" width="11.42578125" style="362"/>
    <col min="2303" max="2303" width="13.5703125" style="362" customWidth="1"/>
    <col min="2304" max="2304" width="19" style="362" customWidth="1"/>
    <col min="2305" max="2305" width="13.5703125" style="362" customWidth="1"/>
    <col min="2306" max="2306" width="19.7109375" style="362" customWidth="1"/>
    <col min="2307" max="2307" width="13.5703125" style="362" customWidth="1"/>
    <col min="2308" max="2309" width="14.7109375" style="362" customWidth="1"/>
    <col min="2310" max="2310" width="36.140625" style="362" customWidth="1"/>
    <col min="2311" max="2311" width="29.42578125" style="362" customWidth="1"/>
    <col min="2312" max="2312" width="16" style="362" customWidth="1"/>
    <col min="2313" max="2313" width="38.28515625" style="362" customWidth="1"/>
    <col min="2314" max="2314" width="12" style="362" customWidth="1"/>
    <col min="2315" max="2315" width="38.140625" style="362" customWidth="1"/>
    <col min="2316" max="2316" width="17.85546875" style="362" bestFit="1" customWidth="1"/>
    <col min="2317" max="2317" width="24.7109375" style="362" customWidth="1"/>
    <col min="2318" max="2318" width="36.42578125" style="362" customWidth="1"/>
    <col min="2319" max="2319" width="46.7109375" style="362" customWidth="1"/>
    <col min="2320" max="2320" width="43.7109375" style="362" customWidth="1"/>
    <col min="2321" max="2321" width="25.42578125" style="362" customWidth="1"/>
    <col min="2322" max="2322" width="12.42578125" style="362" customWidth="1"/>
    <col min="2323" max="2323" width="16.42578125" style="362" customWidth="1"/>
    <col min="2324" max="2324" width="13.42578125" style="362" customWidth="1"/>
    <col min="2325" max="2325" width="8.5703125" style="362" customWidth="1"/>
    <col min="2326" max="2329" width="11.42578125" style="362" customWidth="1"/>
    <col min="2330" max="2330" width="12.7109375" style="362" customWidth="1"/>
    <col min="2331" max="2331" width="11.85546875" style="362" customWidth="1"/>
    <col min="2332" max="2332" width="7.85546875" style="362" customWidth="1"/>
    <col min="2333" max="2333" width="7.5703125" style="362" customWidth="1"/>
    <col min="2334" max="2334" width="8.85546875" style="362" customWidth="1"/>
    <col min="2335" max="2335" width="8.140625" style="362" customWidth="1"/>
    <col min="2336" max="2336" width="7.85546875" style="362" customWidth="1"/>
    <col min="2337" max="2337" width="8.5703125" style="362" customWidth="1"/>
    <col min="2338" max="2338" width="8.28515625" style="362" customWidth="1"/>
    <col min="2339" max="2339" width="11.42578125" style="362" customWidth="1"/>
    <col min="2340" max="2340" width="18" style="362" customWidth="1"/>
    <col min="2341" max="2341" width="21.42578125" style="362" customWidth="1"/>
    <col min="2342" max="2342" width="27.85546875" style="362" customWidth="1"/>
    <col min="2343" max="2558" width="11.42578125" style="362"/>
    <col min="2559" max="2559" width="13.5703125" style="362" customWidth="1"/>
    <col min="2560" max="2560" width="19" style="362" customWidth="1"/>
    <col min="2561" max="2561" width="13.5703125" style="362" customWidth="1"/>
    <col min="2562" max="2562" width="19.7109375" style="362" customWidth="1"/>
    <col min="2563" max="2563" width="13.5703125" style="362" customWidth="1"/>
    <col min="2564" max="2565" width="14.7109375" style="362" customWidth="1"/>
    <col min="2566" max="2566" width="36.140625" style="362" customWidth="1"/>
    <col min="2567" max="2567" width="29.42578125" style="362" customWidth="1"/>
    <col min="2568" max="2568" width="16" style="362" customWidth="1"/>
    <col min="2569" max="2569" width="38.28515625" style="362" customWidth="1"/>
    <col min="2570" max="2570" width="12" style="362" customWidth="1"/>
    <col min="2571" max="2571" width="38.140625" style="362" customWidth="1"/>
    <col min="2572" max="2572" width="17.85546875" style="362" bestFit="1" customWidth="1"/>
    <col min="2573" max="2573" width="24.7109375" style="362" customWidth="1"/>
    <col min="2574" max="2574" width="36.42578125" style="362" customWidth="1"/>
    <col min="2575" max="2575" width="46.7109375" style="362" customWidth="1"/>
    <col min="2576" max="2576" width="43.7109375" style="362" customWidth="1"/>
    <col min="2577" max="2577" width="25.42578125" style="362" customWidth="1"/>
    <col min="2578" max="2578" width="12.42578125" style="362" customWidth="1"/>
    <col min="2579" max="2579" width="16.42578125" style="362" customWidth="1"/>
    <col min="2580" max="2580" width="13.42578125" style="362" customWidth="1"/>
    <col min="2581" max="2581" width="8.5703125" style="362" customWidth="1"/>
    <col min="2582" max="2585" width="11.42578125" style="362" customWidth="1"/>
    <col min="2586" max="2586" width="12.7109375" style="362" customWidth="1"/>
    <col min="2587" max="2587" width="11.85546875" style="362" customWidth="1"/>
    <col min="2588" max="2588" width="7.85546875" style="362" customWidth="1"/>
    <col min="2589" max="2589" width="7.5703125" style="362" customWidth="1"/>
    <col min="2590" max="2590" width="8.85546875" style="362" customWidth="1"/>
    <col min="2591" max="2591" width="8.140625" style="362" customWidth="1"/>
    <col min="2592" max="2592" width="7.85546875" style="362" customWidth="1"/>
    <col min="2593" max="2593" width="8.5703125" style="362" customWidth="1"/>
    <col min="2594" max="2594" width="8.28515625" style="362" customWidth="1"/>
    <col min="2595" max="2595" width="11.42578125" style="362" customWidth="1"/>
    <col min="2596" max="2596" width="18" style="362" customWidth="1"/>
    <col min="2597" max="2597" width="21.42578125" style="362" customWidth="1"/>
    <col min="2598" max="2598" width="27.85546875" style="362" customWidth="1"/>
    <col min="2599" max="2814" width="11.42578125" style="362"/>
    <col min="2815" max="2815" width="13.5703125" style="362" customWidth="1"/>
    <col min="2816" max="2816" width="19" style="362" customWidth="1"/>
    <col min="2817" max="2817" width="13.5703125" style="362" customWidth="1"/>
    <col min="2818" max="2818" width="19.7109375" style="362" customWidth="1"/>
    <col min="2819" max="2819" width="13.5703125" style="362" customWidth="1"/>
    <col min="2820" max="2821" width="14.7109375" style="362" customWidth="1"/>
    <col min="2822" max="2822" width="36.140625" style="362" customWidth="1"/>
    <col min="2823" max="2823" width="29.42578125" style="362" customWidth="1"/>
    <col min="2824" max="2824" width="16" style="362" customWidth="1"/>
    <col min="2825" max="2825" width="38.28515625" style="362" customWidth="1"/>
    <col min="2826" max="2826" width="12" style="362" customWidth="1"/>
    <col min="2827" max="2827" width="38.140625" style="362" customWidth="1"/>
    <col min="2828" max="2828" width="17.85546875" style="362" bestFit="1" customWidth="1"/>
    <col min="2829" max="2829" width="24.7109375" style="362" customWidth="1"/>
    <col min="2830" max="2830" width="36.42578125" style="362" customWidth="1"/>
    <col min="2831" max="2831" width="46.7109375" style="362" customWidth="1"/>
    <col min="2832" max="2832" width="43.7109375" style="362" customWidth="1"/>
    <col min="2833" max="2833" width="25.42578125" style="362" customWidth="1"/>
    <col min="2834" max="2834" width="12.42578125" style="362" customWidth="1"/>
    <col min="2835" max="2835" width="16.42578125" style="362" customWidth="1"/>
    <col min="2836" max="2836" width="13.42578125" style="362" customWidth="1"/>
    <col min="2837" max="2837" width="8.5703125" style="362" customWidth="1"/>
    <col min="2838" max="2841" width="11.42578125" style="362" customWidth="1"/>
    <col min="2842" max="2842" width="12.7109375" style="362" customWidth="1"/>
    <col min="2843" max="2843" width="11.85546875" style="362" customWidth="1"/>
    <col min="2844" max="2844" width="7.85546875" style="362" customWidth="1"/>
    <col min="2845" max="2845" width="7.5703125" style="362" customWidth="1"/>
    <col min="2846" max="2846" width="8.85546875" style="362" customWidth="1"/>
    <col min="2847" max="2847" width="8.140625" style="362" customWidth="1"/>
    <col min="2848" max="2848" width="7.85546875" style="362" customWidth="1"/>
    <col min="2849" max="2849" width="8.5703125" style="362" customWidth="1"/>
    <col min="2850" max="2850" width="8.28515625" style="362" customWidth="1"/>
    <col min="2851" max="2851" width="11.42578125" style="362" customWidth="1"/>
    <col min="2852" max="2852" width="18" style="362" customWidth="1"/>
    <col min="2853" max="2853" width="21.42578125" style="362" customWidth="1"/>
    <col min="2854" max="2854" width="27.85546875" style="362" customWidth="1"/>
    <col min="2855" max="3070" width="11.42578125" style="362"/>
    <col min="3071" max="3071" width="13.5703125" style="362" customWidth="1"/>
    <col min="3072" max="3072" width="19" style="362" customWidth="1"/>
    <col min="3073" max="3073" width="13.5703125" style="362" customWidth="1"/>
    <col min="3074" max="3074" width="19.7109375" style="362" customWidth="1"/>
    <col min="3075" max="3075" width="13.5703125" style="362" customWidth="1"/>
    <col min="3076" max="3077" width="14.7109375" style="362" customWidth="1"/>
    <col min="3078" max="3078" width="36.140625" style="362" customWidth="1"/>
    <col min="3079" max="3079" width="29.42578125" style="362" customWidth="1"/>
    <col min="3080" max="3080" width="16" style="362" customWidth="1"/>
    <col min="3081" max="3081" width="38.28515625" style="362" customWidth="1"/>
    <col min="3082" max="3082" width="12" style="362" customWidth="1"/>
    <col min="3083" max="3083" width="38.140625" style="362" customWidth="1"/>
    <col min="3084" max="3084" width="17.85546875" style="362" bestFit="1" customWidth="1"/>
    <col min="3085" max="3085" width="24.7109375" style="362" customWidth="1"/>
    <col min="3086" max="3086" width="36.42578125" style="362" customWidth="1"/>
    <col min="3087" max="3087" width="46.7109375" style="362" customWidth="1"/>
    <col min="3088" max="3088" width="43.7109375" style="362" customWidth="1"/>
    <col min="3089" max="3089" width="25.42578125" style="362" customWidth="1"/>
    <col min="3090" max="3090" width="12.42578125" style="362" customWidth="1"/>
    <col min="3091" max="3091" width="16.42578125" style="362" customWidth="1"/>
    <col min="3092" max="3092" width="13.42578125" style="362" customWidth="1"/>
    <col min="3093" max="3093" width="8.5703125" style="362" customWidth="1"/>
    <col min="3094" max="3097" width="11.42578125" style="362" customWidth="1"/>
    <col min="3098" max="3098" width="12.7109375" style="362" customWidth="1"/>
    <col min="3099" max="3099" width="11.85546875" style="362" customWidth="1"/>
    <col min="3100" max="3100" width="7.85546875" style="362" customWidth="1"/>
    <col min="3101" max="3101" width="7.5703125" style="362" customWidth="1"/>
    <col min="3102" max="3102" width="8.85546875" style="362" customWidth="1"/>
    <col min="3103" max="3103" width="8.140625" style="362" customWidth="1"/>
    <col min="3104" max="3104" width="7.85546875" style="362" customWidth="1"/>
    <col min="3105" max="3105" width="8.5703125" style="362" customWidth="1"/>
    <col min="3106" max="3106" width="8.28515625" style="362" customWidth="1"/>
    <col min="3107" max="3107" width="11.42578125" style="362" customWidth="1"/>
    <col min="3108" max="3108" width="18" style="362" customWidth="1"/>
    <col min="3109" max="3109" width="21.42578125" style="362" customWidth="1"/>
    <col min="3110" max="3110" width="27.85546875" style="362" customWidth="1"/>
    <col min="3111" max="3326" width="11.42578125" style="362"/>
    <col min="3327" max="3327" width="13.5703125" style="362" customWidth="1"/>
    <col min="3328" max="3328" width="19" style="362" customWidth="1"/>
    <col min="3329" max="3329" width="13.5703125" style="362" customWidth="1"/>
    <col min="3330" max="3330" width="19.7109375" style="362" customWidth="1"/>
    <col min="3331" max="3331" width="13.5703125" style="362" customWidth="1"/>
    <col min="3332" max="3333" width="14.7109375" style="362" customWidth="1"/>
    <col min="3334" max="3334" width="36.140625" style="362" customWidth="1"/>
    <col min="3335" max="3335" width="29.42578125" style="362" customWidth="1"/>
    <col min="3336" max="3336" width="16" style="362" customWidth="1"/>
    <col min="3337" max="3337" width="38.28515625" style="362" customWidth="1"/>
    <col min="3338" max="3338" width="12" style="362" customWidth="1"/>
    <col min="3339" max="3339" width="38.140625" style="362" customWidth="1"/>
    <col min="3340" max="3340" width="17.85546875" style="362" bestFit="1" customWidth="1"/>
    <col min="3341" max="3341" width="24.7109375" style="362" customWidth="1"/>
    <col min="3342" max="3342" width="36.42578125" style="362" customWidth="1"/>
    <col min="3343" max="3343" width="46.7109375" style="362" customWidth="1"/>
    <col min="3344" max="3344" width="43.7109375" style="362" customWidth="1"/>
    <col min="3345" max="3345" width="25.42578125" style="362" customWidth="1"/>
    <col min="3346" max="3346" width="12.42578125" style="362" customWidth="1"/>
    <col min="3347" max="3347" width="16.42578125" style="362" customWidth="1"/>
    <col min="3348" max="3348" width="13.42578125" style="362" customWidth="1"/>
    <col min="3349" max="3349" width="8.5703125" style="362" customWidth="1"/>
    <col min="3350" max="3353" width="11.42578125" style="362" customWidth="1"/>
    <col min="3354" max="3354" width="12.7109375" style="362" customWidth="1"/>
    <col min="3355" max="3355" width="11.85546875" style="362" customWidth="1"/>
    <col min="3356" max="3356" width="7.85546875" style="362" customWidth="1"/>
    <col min="3357" max="3357" width="7.5703125" style="362" customWidth="1"/>
    <col min="3358" max="3358" width="8.85546875" style="362" customWidth="1"/>
    <col min="3359" max="3359" width="8.140625" style="362" customWidth="1"/>
    <col min="3360" max="3360" width="7.85546875" style="362" customWidth="1"/>
    <col min="3361" max="3361" width="8.5703125" style="362" customWidth="1"/>
    <col min="3362" max="3362" width="8.28515625" style="362" customWidth="1"/>
    <col min="3363" max="3363" width="11.42578125" style="362" customWidth="1"/>
    <col min="3364" max="3364" width="18" style="362" customWidth="1"/>
    <col min="3365" max="3365" width="21.42578125" style="362" customWidth="1"/>
    <col min="3366" max="3366" width="27.85546875" style="362" customWidth="1"/>
    <col min="3367" max="3582" width="11.42578125" style="362"/>
    <col min="3583" max="3583" width="13.5703125" style="362" customWidth="1"/>
    <col min="3584" max="3584" width="19" style="362" customWidth="1"/>
    <col min="3585" max="3585" width="13.5703125" style="362" customWidth="1"/>
    <col min="3586" max="3586" width="19.7109375" style="362" customWidth="1"/>
    <col min="3587" max="3587" width="13.5703125" style="362" customWidth="1"/>
    <col min="3588" max="3589" width="14.7109375" style="362" customWidth="1"/>
    <col min="3590" max="3590" width="36.140625" style="362" customWidth="1"/>
    <col min="3591" max="3591" width="29.42578125" style="362" customWidth="1"/>
    <col min="3592" max="3592" width="16" style="362" customWidth="1"/>
    <col min="3593" max="3593" width="38.28515625" style="362" customWidth="1"/>
    <col min="3594" max="3594" width="12" style="362" customWidth="1"/>
    <col min="3595" max="3595" width="38.140625" style="362" customWidth="1"/>
    <col min="3596" max="3596" width="17.85546875" style="362" bestFit="1" customWidth="1"/>
    <col min="3597" max="3597" width="24.7109375" style="362" customWidth="1"/>
    <col min="3598" max="3598" width="36.42578125" style="362" customWidth="1"/>
    <col min="3599" max="3599" width="46.7109375" style="362" customWidth="1"/>
    <col min="3600" max="3600" width="43.7109375" style="362" customWidth="1"/>
    <col min="3601" max="3601" width="25.42578125" style="362" customWidth="1"/>
    <col min="3602" max="3602" width="12.42578125" style="362" customWidth="1"/>
    <col min="3603" max="3603" width="16.42578125" style="362" customWidth="1"/>
    <col min="3604" max="3604" width="13.42578125" style="362" customWidth="1"/>
    <col min="3605" max="3605" width="8.5703125" style="362" customWidth="1"/>
    <col min="3606" max="3609" width="11.42578125" style="362" customWidth="1"/>
    <col min="3610" max="3610" width="12.7109375" style="362" customWidth="1"/>
    <col min="3611" max="3611" width="11.85546875" style="362" customWidth="1"/>
    <col min="3612" max="3612" width="7.85546875" style="362" customWidth="1"/>
    <col min="3613" max="3613" width="7.5703125" style="362" customWidth="1"/>
    <col min="3614" max="3614" width="8.85546875" style="362" customWidth="1"/>
    <col min="3615" max="3615" width="8.140625" style="362" customWidth="1"/>
    <col min="3616" max="3616" width="7.85546875" style="362" customWidth="1"/>
    <col min="3617" max="3617" width="8.5703125" style="362" customWidth="1"/>
    <col min="3618" max="3618" width="8.28515625" style="362" customWidth="1"/>
    <col min="3619" max="3619" width="11.42578125" style="362" customWidth="1"/>
    <col min="3620" max="3620" width="18" style="362" customWidth="1"/>
    <col min="3621" max="3621" width="21.42578125" style="362" customWidth="1"/>
    <col min="3622" max="3622" width="27.85546875" style="362" customWidth="1"/>
    <col min="3623" max="3838" width="11.42578125" style="362"/>
    <col min="3839" max="3839" width="13.5703125" style="362" customWidth="1"/>
    <col min="3840" max="3840" width="19" style="362" customWidth="1"/>
    <col min="3841" max="3841" width="13.5703125" style="362" customWidth="1"/>
    <col min="3842" max="3842" width="19.7109375" style="362" customWidth="1"/>
    <col min="3843" max="3843" width="13.5703125" style="362" customWidth="1"/>
    <col min="3844" max="3845" width="14.7109375" style="362" customWidth="1"/>
    <col min="3846" max="3846" width="36.140625" style="362" customWidth="1"/>
    <col min="3847" max="3847" width="29.42578125" style="362" customWidth="1"/>
    <col min="3848" max="3848" width="16" style="362" customWidth="1"/>
    <col min="3849" max="3849" width="38.28515625" style="362" customWidth="1"/>
    <col min="3850" max="3850" width="12" style="362" customWidth="1"/>
    <col min="3851" max="3851" width="38.140625" style="362" customWidth="1"/>
    <col min="3852" max="3852" width="17.85546875" style="362" bestFit="1" customWidth="1"/>
    <col min="3853" max="3853" width="24.7109375" style="362" customWidth="1"/>
    <col min="3854" max="3854" width="36.42578125" style="362" customWidth="1"/>
    <col min="3855" max="3855" width="46.7109375" style="362" customWidth="1"/>
    <col min="3856" max="3856" width="43.7109375" style="362" customWidth="1"/>
    <col min="3857" max="3857" width="25.42578125" style="362" customWidth="1"/>
    <col min="3858" max="3858" width="12.42578125" style="362" customWidth="1"/>
    <col min="3859" max="3859" width="16.42578125" style="362" customWidth="1"/>
    <col min="3860" max="3860" width="13.42578125" style="362" customWidth="1"/>
    <col min="3861" max="3861" width="8.5703125" style="362" customWidth="1"/>
    <col min="3862" max="3865" width="11.42578125" style="362" customWidth="1"/>
    <col min="3866" max="3866" width="12.7109375" style="362" customWidth="1"/>
    <col min="3867" max="3867" width="11.85546875" style="362" customWidth="1"/>
    <col min="3868" max="3868" width="7.85546875" style="362" customWidth="1"/>
    <col min="3869" max="3869" width="7.5703125" style="362" customWidth="1"/>
    <col min="3870" max="3870" width="8.85546875" style="362" customWidth="1"/>
    <col min="3871" max="3871" width="8.140625" style="362" customWidth="1"/>
    <col min="3872" max="3872" width="7.85546875" style="362" customWidth="1"/>
    <col min="3873" max="3873" width="8.5703125" style="362" customWidth="1"/>
    <col min="3874" max="3874" width="8.28515625" style="362" customWidth="1"/>
    <col min="3875" max="3875" width="11.42578125" style="362" customWidth="1"/>
    <col min="3876" max="3876" width="18" style="362" customWidth="1"/>
    <col min="3877" max="3877" width="21.42578125" style="362" customWidth="1"/>
    <col min="3878" max="3878" width="27.85546875" style="362" customWidth="1"/>
    <col min="3879" max="4094" width="11.42578125" style="362"/>
    <col min="4095" max="4095" width="13.5703125" style="362" customWidth="1"/>
    <col min="4096" max="4096" width="19" style="362" customWidth="1"/>
    <col min="4097" max="4097" width="13.5703125" style="362" customWidth="1"/>
    <col min="4098" max="4098" width="19.7109375" style="362" customWidth="1"/>
    <col min="4099" max="4099" width="13.5703125" style="362" customWidth="1"/>
    <col min="4100" max="4101" width="14.7109375" style="362" customWidth="1"/>
    <col min="4102" max="4102" width="36.140625" style="362" customWidth="1"/>
    <col min="4103" max="4103" width="29.42578125" style="362" customWidth="1"/>
    <col min="4104" max="4104" width="16" style="362" customWidth="1"/>
    <col min="4105" max="4105" width="38.28515625" style="362" customWidth="1"/>
    <col min="4106" max="4106" width="12" style="362" customWidth="1"/>
    <col min="4107" max="4107" width="38.140625" style="362" customWidth="1"/>
    <col min="4108" max="4108" width="17.85546875" style="362" bestFit="1" customWidth="1"/>
    <col min="4109" max="4109" width="24.7109375" style="362" customWidth="1"/>
    <col min="4110" max="4110" width="36.42578125" style="362" customWidth="1"/>
    <col min="4111" max="4111" width="46.7109375" style="362" customWidth="1"/>
    <col min="4112" max="4112" width="43.7109375" style="362" customWidth="1"/>
    <col min="4113" max="4113" width="25.42578125" style="362" customWidth="1"/>
    <col min="4114" max="4114" width="12.42578125" style="362" customWidth="1"/>
    <col min="4115" max="4115" width="16.42578125" style="362" customWidth="1"/>
    <col min="4116" max="4116" width="13.42578125" style="362" customWidth="1"/>
    <col min="4117" max="4117" width="8.5703125" style="362" customWidth="1"/>
    <col min="4118" max="4121" width="11.42578125" style="362" customWidth="1"/>
    <col min="4122" max="4122" width="12.7109375" style="362" customWidth="1"/>
    <col min="4123" max="4123" width="11.85546875" style="362" customWidth="1"/>
    <col min="4124" max="4124" width="7.85546875" style="362" customWidth="1"/>
    <col min="4125" max="4125" width="7.5703125" style="362" customWidth="1"/>
    <col min="4126" max="4126" width="8.85546875" style="362" customWidth="1"/>
    <col min="4127" max="4127" width="8.140625" style="362" customWidth="1"/>
    <col min="4128" max="4128" width="7.85546875" style="362" customWidth="1"/>
    <col min="4129" max="4129" width="8.5703125" style="362" customWidth="1"/>
    <col min="4130" max="4130" width="8.28515625" style="362" customWidth="1"/>
    <col min="4131" max="4131" width="11.42578125" style="362" customWidth="1"/>
    <col min="4132" max="4132" width="18" style="362" customWidth="1"/>
    <col min="4133" max="4133" width="21.42578125" style="362" customWidth="1"/>
    <col min="4134" max="4134" width="27.85546875" style="362" customWidth="1"/>
    <col min="4135" max="4350" width="11.42578125" style="362"/>
    <col min="4351" max="4351" width="13.5703125" style="362" customWidth="1"/>
    <col min="4352" max="4352" width="19" style="362" customWidth="1"/>
    <col min="4353" max="4353" width="13.5703125" style="362" customWidth="1"/>
    <col min="4354" max="4354" width="19.7109375" style="362" customWidth="1"/>
    <col min="4355" max="4355" width="13.5703125" style="362" customWidth="1"/>
    <col min="4356" max="4357" width="14.7109375" style="362" customWidth="1"/>
    <col min="4358" max="4358" width="36.140625" style="362" customWidth="1"/>
    <col min="4359" max="4359" width="29.42578125" style="362" customWidth="1"/>
    <col min="4360" max="4360" width="16" style="362" customWidth="1"/>
    <col min="4361" max="4361" width="38.28515625" style="362" customWidth="1"/>
    <col min="4362" max="4362" width="12" style="362" customWidth="1"/>
    <col min="4363" max="4363" width="38.140625" style="362" customWidth="1"/>
    <col min="4364" max="4364" width="17.85546875" style="362" bestFit="1" customWidth="1"/>
    <col min="4365" max="4365" width="24.7109375" style="362" customWidth="1"/>
    <col min="4366" max="4366" width="36.42578125" style="362" customWidth="1"/>
    <col min="4367" max="4367" width="46.7109375" style="362" customWidth="1"/>
    <col min="4368" max="4368" width="43.7109375" style="362" customWidth="1"/>
    <col min="4369" max="4369" width="25.42578125" style="362" customWidth="1"/>
    <col min="4370" max="4370" width="12.42578125" style="362" customWidth="1"/>
    <col min="4371" max="4371" width="16.42578125" style="362" customWidth="1"/>
    <col min="4372" max="4372" width="13.42578125" style="362" customWidth="1"/>
    <col min="4373" max="4373" width="8.5703125" style="362" customWidth="1"/>
    <col min="4374" max="4377" width="11.42578125" style="362" customWidth="1"/>
    <col min="4378" max="4378" width="12.7109375" style="362" customWidth="1"/>
    <col min="4379" max="4379" width="11.85546875" style="362" customWidth="1"/>
    <col min="4380" max="4380" width="7.85546875" style="362" customWidth="1"/>
    <col min="4381" max="4381" width="7.5703125" style="362" customWidth="1"/>
    <col min="4382" max="4382" width="8.85546875" style="362" customWidth="1"/>
    <col min="4383" max="4383" width="8.140625" style="362" customWidth="1"/>
    <col min="4384" max="4384" width="7.85546875" style="362" customWidth="1"/>
    <col min="4385" max="4385" width="8.5703125" style="362" customWidth="1"/>
    <col min="4386" max="4386" width="8.28515625" style="362" customWidth="1"/>
    <col min="4387" max="4387" width="11.42578125" style="362" customWidth="1"/>
    <col min="4388" max="4388" width="18" style="362" customWidth="1"/>
    <col min="4389" max="4389" width="21.42578125" style="362" customWidth="1"/>
    <col min="4390" max="4390" width="27.85546875" style="362" customWidth="1"/>
    <col min="4391" max="4606" width="11.42578125" style="362"/>
    <col min="4607" max="4607" width="13.5703125" style="362" customWidth="1"/>
    <col min="4608" max="4608" width="19" style="362" customWidth="1"/>
    <col min="4609" max="4609" width="13.5703125" style="362" customWidth="1"/>
    <col min="4610" max="4610" width="19.7109375" style="362" customWidth="1"/>
    <col min="4611" max="4611" width="13.5703125" style="362" customWidth="1"/>
    <col min="4612" max="4613" width="14.7109375" style="362" customWidth="1"/>
    <col min="4614" max="4614" width="36.140625" style="362" customWidth="1"/>
    <col min="4615" max="4615" width="29.42578125" style="362" customWidth="1"/>
    <col min="4616" max="4616" width="16" style="362" customWidth="1"/>
    <col min="4617" max="4617" width="38.28515625" style="362" customWidth="1"/>
    <col min="4618" max="4618" width="12" style="362" customWidth="1"/>
    <col min="4619" max="4619" width="38.140625" style="362" customWidth="1"/>
    <col min="4620" max="4620" width="17.85546875" style="362" bestFit="1" customWidth="1"/>
    <col min="4621" max="4621" width="24.7109375" style="362" customWidth="1"/>
    <col min="4622" max="4622" width="36.42578125" style="362" customWidth="1"/>
    <col min="4623" max="4623" width="46.7109375" style="362" customWidth="1"/>
    <col min="4624" max="4624" width="43.7109375" style="362" customWidth="1"/>
    <col min="4625" max="4625" width="25.42578125" style="362" customWidth="1"/>
    <col min="4626" max="4626" width="12.42578125" style="362" customWidth="1"/>
    <col min="4627" max="4627" width="16.42578125" style="362" customWidth="1"/>
    <col min="4628" max="4628" width="13.42578125" style="362" customWidth="1"/>
    <col min="4629" max="4629" width="8.5703125" style="362" customWidth="1"/>
    <col min="4630" max="4633" width="11.42578125" style="362" customWidth="1"/>
    <col min="4634" max="4634" width="12.7109375" style="362" customWidth="1"/>
    <col min="4635" max="4635" width="11.85546875" style="362" customWidth="1"/>
    <col min="4636" max="4636" width="7.85546875" style="362" customWidth="1"/>
    <col min="4637" max="4637" width="7.5703125" style="362" customWidth="1"/>
    <col min="4638" max="4638" width="8.85546875" style="362" customWidth="1"/>
    <col min="4639" max="4639" width="8.140625" style="362" customWidth="1"/>
    <col min="4640" max="4640" width="7.85546875" style="362" customWidth="1"/>
    <col min="4641" max="4641" width="8.5703125" style="362" customWidth="1"/>
    <col min="4642" max="4642" width="8.28515625" style="362" customWidth="1"/>
    <col min="4643" max="4643" width="11.42578125" style="362" customWidth="1"/>
    <col min="4644" max="4644" width="18" style="362" customWidth="1"/>
    <col min="4645" max="4645" width="21.42578125" style="362" customWidth="1"/>
    <col min="4646" max="4646" width="27.85546875" style="362" customWidth="1"/>
    <col min="4647" max="4862" width="11.42578125" style="362"/>
    <col min="4863" max="4863" width="13.5703125" style="362" customWidth="1"/>
    <col min="4864" max="4864" width="19" style="362" customWidth="1"/>
    <col min="4865" max="4865" width="13.5703125" style="362" customWidth="1"/>
    <col min="4866" max="4866" width="19.7109375" style="362" customWidth="1"/>
    <col min="4867" max="4867" width="13.5703125" style="362" customWidth="1"/>
    <col min="4868" max="4869" width="14.7109375" style="362" customWidth="1"/>
    <col min="4870" max="4870" width="36.140625" style="362" customWidth="1"/>
    <col min="4871" max="4871" width="29.42578125" style="362" customWidth="1"/>
    <col min="4872" max="4872" width="16" style="362" customWidth="1"/>
    <col min="4873" max="4873" width="38.28515625" style="362" customWidth="1"/>
    <col min="4874" max="4874" width="12" style="362" customWidth="1"/>
    <col min="4875" max="4875" width="38.140625" style="362" customWidth="1"/>
    <col min="4876" max="4876" width="17.85546875" style="362" bestFit="1" customWidth="1"/>
    <col min="4877" max="4877" width="24.7109375" style="362" customWidth="1"/>
    <col min="4878" max="4878" width="36.42578125" style="362" customWidth="1"/>
    <col min="4879" max="4879" width="46.7109375" style="362" customWidth="1"/>
    <col min="4880" max="4880" width="43.7109375" style="362" customWidth="1"/>
    <col min="4881" max="4881" width="25.42578125" style="362" customWidth="1"/>
    <col min="4882" max="4882" width="12.42578125" style="362" customWidth="1"/>
    <col min="4883" max="4883" width="16.42578125" style="362" customWidth="1"/>
    <col min="4884" max="4884" width="13.42578125" style="362" customWidth="1"/>
    <col min="4885" max="4885" width="8.5703125" style="362" customWidth="1"/>
    <col min="4886" max="4889" width="11.42578125" style="362" customWidth="1"/>
    <col min="4890" max="4890" width="12.7109375" style="362" customWidth="1"/>
    <col min="4891" max="4891" width="11.85546875" style="362" customWidth="1"/>
    <col min="4892" max="4892" width="7.85546875" style="362" customWidth="1"/>
    <col min="4893" max="4893" width="7.5703125" style="362" customWidth="1"/>
    <col min="4894" max="4894" width="8.85546875" style="362" customWidth="1"/>
    <col min="4895" max="4895" width="8.140625" style="362" customWidth="1"/>
    <col min="4896" max="4896" width="7.85546875" style="362" customWidth="1"/>
    <col min="4897" max="4897" width="8.5703125" style="362" customWidth="1"/>
    <col min="4898" max="4898" width="8.28515625" style="362" customWidth="1"/>
    <col min="4899" max="4899" width="11.42578125" style="362" customWidth="1"/>
    <col min="4900" max="4900" width="18" style="362" customWidth="1"/>
    <col min="4901" max="4901" width="21.42578125" style="362" customWidth="1"/>
    <col min="4902" max="4902" width="27.85546875" style="362" customWidth="1"/>
    <col min="4903" max="5118" width="11.42578125" style="362"/>
    <col min="5119" max="5119" width="13.5703125" style="362" customWidth="1"/>
    <col min="5120" max="5120" width="19" style="362" customWidth="1"/>
    <col min="5121" max="5121" width="13.5703125" style="362" customWidth="1"/>
    <col min="5122" max="5122" width="19.7109375" style="362" customWidth="1"/>
    <col min="5123" max="5123" width="13.5703125" style="362" customWidth="1"/>
    <col min="5124" max="5125" width="14.7109375" style="362" customWidth="1"/>
    <col min="5126" max="5126" width="36.140625" style="362" customWidth="1"/>
    <col min="5127" max="5127" width="29.42578125" style="362" customWidth="1"/>
    <col min="5128" max="5128" width="16" style="362" customWidth="1"/>
    <col min="5129" max="5129" width="38.28515625" style="362" customWidth="1"/>
    <col min="5130" max="5130" width="12" style="362" customWidth="1"/>
    <col min="5131" max="5131" width="38.140625" style="362" customWidth="1"/>
    <col min="5132" max="5132" width="17.85546875" style="362" bestFit="1" customWidth="1"/>
    <col min="5133" max="5133" width="24.7109375" style="362" customWidth="1"/>
    <col min="5134" max="5134" width="36.42578125" style="362" customWidth="1"/>
    <col min="5135" max="5135" width="46.7109375" style="362" customWidth="1"/>
    <col min="5136" max="5136" width="43.7109375" style="362" customWidth="1"/>
    <col min="5137" max="5137" width="25.42578125" style="362" customWidth="1"/>
    <col min="5138" max="5138" width="12.42578125" style="362" customWidth="1"/>
    <col min="5139" max="5139" width="16.42578125" style="362" customWidth="1"/>
    <col min="5140" max="5140" width="13.42578125" style="362" customWidth="1"/>
    <col min="5141" max="5141" width="8.5703125" style="362" customWidth="1"/>
    <col min="5142" max="5145" width="11.42578125" style="362" customWidth="1"/>
    <col min="5146" max="5146" width="12.7109375" style="362" customWidth="1"/>
    <col min="5147" max="5147" width="11.85546875" style="362" customWidth="1"/>
    <col min="5148" max="5148" width="7.85546875" style="362" customWidth="1"/>
    <col min="5149" max="5149" width="7.5703125" style="362" customWidth="1"/>
    <col min="5150" max="5150" width="8.85546875" style="362" customWidth="1"/>
    <col min="5151" max="5151" width="8.140625" style="362" customWidth="1"/>
    <col min="5152" max="5152" width="7.85546875" style="362" customWidth="1"/>
    <col min="5153" max="5153" width="8.5703125" style="362" customWidth="1"/>
    <col min="5154" max="5154" width="8.28515625" style="362" customWidth="1"/>
    <col min="5155" max="5155" width="11.42578125" style="362" customWidth="1"/>
    <col min="5156" max="5156" width="18" style="362" customWidth="1"/>
    <col min="5157" max="5157" width="21.42578125" style="362" customWidth="1"/>
    <col min="5158" max="5158" width="27.85546875" style="362" customWidth="1"/>
    <col min="5159" max="5374" width="11.42578125" style="362"/>
    <col min="5375" max="5375" width="13.5703125" style="362" customWidth="1"/>
    <col min="5376" max="5376" width="19" style="362" customWidth="1"/>
    <col min="5377" max="5377" width="13.5703125" style="362" customWidth="1"/>
    <col min="5378" max="5378" width="19.7109375" style="362" customWidth="1"/>
    <col min="5379" max="5379" width="13.5703125" style="362" customWidth="1"/>
    <col min="5380" max="5381" width="14.7109375" style="362" customWidth="1"/>
    <col min="5382" max="5382" width="36.140625" style="362" customWidth="1"/>
    <col min="5383" max="5383" width="29.42578125" style="362" customWidth="1"/>
    <col min="5384" max="5384" width="16" style="362" customWidth="1"/>
    <col min="5385" max="5385" width="38.28515625" style="362" customWidth="1"/>
    <col min="5386" max="5386" width="12" style="362" customWidth="1"/>
    <col min="5387" max="5387" width="38.140625" style="362" customWidth="1"/>
    <col min="5388" max="5388" width="17.85546875" style="362" bestFit="1" customWidth="1"/>
    <col min="5389" max="5389" width="24.7109375" style="362" customWidth="1"/>
    <col min="5390" max="5390" width="36.42578125" style="362" customWidth="1"/>
    <col min="5391" max="5391" width="46.7109375" style="362" customWidth="1"/>
    <col min="5392" max="5392" width="43.7109375" style="362" customWidth="1"/>
    <col min="5393" max="5393" width="25.42578125" style="362" customWidth="1"/>
    <col min="5394" max="5394" width="12.42578125" style="362" customWidth="1"/>
    <col min="5395" max="5395" width="16.42578125" style="362" customWidth="1"/>
    <col min="5396" max="5396" width="13.42578125" style="362" customWidth="1"/>
    <col min="5397" max="5397" width="8.5703125" style="362" customWidth="1"/>
    <col min="5398" max="5401" width="11.42578125" style="362" customWidth="1"/>
    <col min="5402" max="5402" width="12.7109375" style="362" customWidth="1"/>
    <col min="5403" max="5403" width="11.85546875" style="362" customWidth="1"/>
    <col min="5404" max="5404" width="7.85546875" style="362" customWidth="1"/>
    <col min="5405" max="5405" width="7.5703125" style="362" customWidth="1"/>
    <col min="5406" max="5406" width="8.85546875" style="362" customWidth="1"/>
    <col min="5407" max="5407" width="8.140625" style="362" customWidth="1"/>
    <col min="5408" max="5408" width="7.85546875" style="362" customWidth="1"/>
    <col min="5409" max="5409" width="8.5703125" style="362" customWidth="1"/>
    <col min="5410" max="5410" width="8.28515625" style="362" customWidth="1"/>
    <col min="5411" max="5411" width="11.42578125" style="362" customWidth="1"/>
    <col min="5412" max="5412" width="18" style="362" customWidth="1"/>
    <col min="5413" max="5413" width="21.42578125" style="362" customWidth="1"/>
    <col min="5414" max="5414" width="27.85546875" style="362" customWidth="1"/>
    <col min="5415" max="5630" width="11.42578125" style="362"/>
    <col min="5631" max="5631" width="13.5703125" style="362" customWidth="1"/>
    <col min="5632" max="5632" width="19" style="362" customWidth="1"/>
    <col min="5633" max="5633" width="13.5703125" style="362" customWidth="1"/>
    <col min="5634" max="5634" width="19.7109375" style="362" customWidth="1"/>
    <col min="5635" max="5635" width="13.5703125" style="362" customWidth="1"/>
    <col min="5636" max="5637" width="14.7109375" style="362" customWidth="1"/>
    <col min="5638" max="5638" width="36.140625" style="362" customWidth="1"/>
    <col min="5639" max="5639" width="29.42578125" style="362" customWidth="1"/>
    <col min="5640" max="5640" width="16" style="362" customWidth="1"/>
    <col min="5641" max="5641" width="38.28515625" style="362" customWidth="1"/>
    <col min="5642" max="5642" width="12" style="362" customWidth="1"/>
    <col min="5643" max="5643" width="38.140625" style="362" customWidth="1"/>
    <col min="5644" max="5644" width="17.85546875" style="362" bestFit="1" customWidth="1"/>
    <col min="5645" max="5645" width="24.7109375" style="362" customWidth="1"/>
    <col min="5646" max="5646" width="36.42578125" style="362" customWidth="1"/>
    <col min="5647" max="5647" width="46.7109375" style="362" customWidth="1"/>
    <col min="5648" max="5648" width="43.7109375" style="362" customWidth="1"/>
    <col min="5649" max="5649" width="25.42578125" style="362" customWidth="1"/>
    <col min="5650" max="5650" width="12.42578125" style="362" customWidth="1"/>
    <col min="5651" max="5651" width="16.42578125" style="362" customWidth="1"/>
    <col min="5652" max="5652" width="13.42578125" style="362" customWidth="1"/>
    <col min="5653" max="5653" width="8.5703125" style="362" customWidth="1"/>
    <col min="5654" max="5657" width="11.42578125" style="362" customWidth="1"/>
    <col min="5658" max="5658" width="12.7109375" style="362" customWidth="1"/>
    <col min="5659" max="5659" width="11.85546875" style="362" customWidth="1"/>
    <col min="5660" max="5660" width="7.85546875" style="362" customWidth="1"/>
    <col min="5661" max="5661" width="7.5703125" style="362" customWidth="1"/>
    <col min="5662" max="5662" width="8.85546875" style="362" customWidth="1"/>
    <col min="5663" max="5663" width="8.140625" style="362" customWidth="1"/>
    <col min="5664" max="5664" width="7.85546875" style="362" customWidth="1"/>
    <col min="5665" max="5665" width="8.5703125" style="362" customWidth="1"/>
    <col min="5666" max="5666" width="8.28515625" style="362" customWidth="1"/>
    <col min="5667" max="5667" width="11.42578125" style="362" customWidth="1"/>
    <col min="5668" max="5668" width="18" style="362" customWidth="1"/>
    <col min="5669" max="5669" width="21.42578125" style="362" customWidth="1"/>
    <col min="5670" max="5670" width="27.85546875" style="362" customWidth="1"/>
    <col min="5671" max="5886" width="11.42578125" style="362"/>
    <col min="5887" max="5887" width="13.5703125" style="362" customWidth="1"/>
    <col min="5888" max="5888" width="19" style="362" customWidth="1"/>
    <col min="5889" max="5889" width="13.5703125" style="362" customWidth="1"/>
    <col min="5890" max="5890" width="19.7109375" style="362" customWidth="1"/>
    <col min="5891" max="5891" width="13.5703125" style="362" customWidth="1"/>
    <col min="5892" max="5893" width="14.7109375" style="362" customWidth="1"/>
    <col min="5894" max="5894" width="36.140625" style="362" customWidth="1"/>
    <col min="5895" max="5895" width="29.42578125" style="362" customWidth="1"/>
    <col min="5896" max="5896" width="16" style="362" customWidth="1"/>
    <col min="5897" max="5897" width="38.28515625" style="362" customWidth="1"/>
    <col min="5898" max="5898" width="12" style="362" customWidth="1"/>
    <col min="5899" max="5899" width="38.140625" style="362" customWidth="1"/>
    <col min="5900" max="5900" width="17.85546875" style="362" bestFit="1" customWidth="1"/>
    <col min="5901" max="5901" width="24.7109375" style="362" customWidth="1"/>
    <col min="5902" max="5902" width="36.42578125" style="362" customWidth="1"/>
    <col min="5903" max="5903" width="46.7109375" style="362" customWidth="1"/>
    <col min="5904" max="5904" width="43.7109375" style="362" customWidth="1"/>
    <col min="5905" max="5905" width="25.42578125" style="362" customWidth="1"/>
    <col min="5906" max="5906" width="12.42578125" style="362" customWidth="1"/>
    <col min="5907" max="5907" width="16.42578125" style="362" customWidth="1"/>
    <col min="5908" max="5908" width="13.42578125" style="362" customWidth="1"/>
    <col min="5909" max="5909" width="8.5703125" style="362" customWidth="1"/>
    <col min="5910" max="5913" width="11.42578125" style="362" customWidth="1"/>
    <col min="5914" max="5914" width="12.7109375" style="362" customWidth="1"/>
    <col min="5915" max="5915" width="11.85546875" style="362" customWidth="1"/>
    <col min="5916" max="5916" width="7.85546875" style="362" customWidth="1"/>
    <col min="5917" max="5917" width="7.5703125" style="362" customWidth="1"/>
    <col min="5918" max="5918" width="8.85546875" style="362" customWidth="1"/>
    <col min="5919" max="5919" width="8.140625" style="362" customWidth="1"/>
    <col min="5920" max="5920" width="7.85546875" style="362" customWidth="1"/>
    <col min="5921" max="5921" width="8.5703125" style="362" customWidth="1"/>
    <col min="5922" max="5922" width="8.28515625" style="362" customWidth="1"/>
    <col min="5923" max="5923" width="11.42578125" style="362" customWidth="1"/>
    <col min="5924" max="5924" width="18" style="362" customWidth="1"/>
    <col min="5925" max="5925" width="21.42578125" style="362" customWidth="1"/>
    <col min="5926" max="5926" width="27.85546875" style="362" customWidth="1"/>
    <col min="5927" max="6142" width="11.42578125" style="362"/>
    <col min="6143" max="6143" width="13.5703125" style="362" customWidth="1"/>
    <col min="6144" max="6144" width="19" style="362" customWidth="1"/>
    <col min="6145" max="6145" width="13.5703125" style="362" customWidth="1"/>
    <col min="6146" max="6146" width="19.7109375" style="362" customWidth="1"/>
    <col min="6147" max="6147" width="13.5703125" style="362" customWidth="1"/>
    <col min="6148" max="6149" width="14.7109375" style="362" customWidth="1"/>
    <col min="6150" max="6150" width="36.140625" style="362" customWidth="1"/>
    <col min="6151" max="6151" width="29.42578125" style="362" customWidth="1"/>
    <col min="6152" max="6152" width="16" style="362" customWidth="1"/>
    <col min="6153" max="6153" width="38.28515625" style="362" customWidth="1"/>
    <col min="6154" max="6154" width="12" style="362" customWidth="1"/>
    <col min="6155" max="6155" width="38.140625" style="362" customWidth="1"/>
    <col min="6156" max="6156" width="17.85546875" style="362" bestFit="1" customWidth="1"/>
    <col min="6157" max="6157" width="24.7109375" style="362" customWidth="1"/>
    <col min="6158" max="6158" width="36.42578125" style="362" customWidth="1"/>
    <col min="6159" max="6159" width="46.7109375" style="362" customWidth="1"/>
    <col min="6160" max="6160" width="43.7109375" style="362" customWidth="1"/>
    <col min="6161" max="6161" width="25.42578125" style="362" customWidth="1"/>
    <col min="6162" max="6162" width="12.42578125" style="362" customWidth="1"/>
    <col min="6163" max="6163" width="16.42578125" style="362" customWidth="1"/>
    <col min="6164" max="6164" width="13.42578125" style="362" customWidth="1"/>
    <col min="6165" max="6165" width="8.5703125" style="362" customWidth="1"/>
    <col min="6166" max="6169" width="11.42578125" style="362" customWidth="1"/>
    <col min="6170" max="6170" width="12.7109375" style="362" customWidth="1"/>
    <col min="6171" max="6171" width="11.85546875" style="362" customWidth="1"/>
    <col min="6172" max="6172" width="7.85546875" style="362" customWidth="1"/>
    <col min="6173" max="6173" width="7.5703125" style="362" customWidth="1"/>
    <col min="6174" max="6174" width="8.85546875" style="362" customWidth="1"/>
    <col min="6175" max="6175" width="8.140625" style="362" customWidth="1"/>
    <col min="6176" max="6176" width="7.85546875" style="362" customWidth="1"/>
    <col min="6177" max="6177" width="8.5703125" style="362" customWidth="1"/>
    <col min="6178" max="6178" width="8.28515625" style="362" customWidth="1"/>
    <col min="6179" max="6179" width="11.42578125" style="362" customWidth="1"/>
    <col min="6180" max="6180" width="18" style="362" customWidth="1"/>
    <col min="6181" max="6181" width="21.42578125" style="362" customWidth="1"/>
    <col min="6182" max="6182" width="27.85546875" style="362" customWidth="1"/>
    <col min="6183" max="6398" width="11.42578125" style="362"/>
    <col min="6399" max="6399" width="13.5703125" style="362" customWidth="1"/>
    <col min="6400" max="6400" width="19" style="362" customWidth="1"/>
    <col min="6401" max="6401" width="13.5703125" style="362" customWidth="1"/>
    <col min="6402" max="6402" width="19.7109375" style="362" customWidth="1"/>
    <col min="6403" max="6403" width="13.5703125" style="362" customWidth="1"/>
    <col min="6404" max="6405" width="14.7109375" style="362" customWidth="1"/>
    <col min="6406" max="6406" width="36.140625" style="362" customWidth="1"/>
    <col min="6407" max="6407" width="29.42578125" style="362" customWidth="1"/>
    <col min="6408" max="6408" width="16" style="362" customWidth="1"/>
    <col min="6409" max="6409" width="38.28515625" style="362" customWidth="1"/>
    <col min="6410" max="6410" width="12" style="362" customWidth="1"/>
    <col min="6411" max="6411" width="38.140625" style="362" customWidth="1"/>
    <col min="6412" max="6412" width="17.85546875" style="362" bestFit="1" customWidth="1"/>
    <col min="6413" max="6413" width="24.7109375" style="362" customWidth="1"/>
    <col min="6414" max="6414" width="36.42578125" style="362" customWidth="1"/>
    <col min="6415" max="6415" width="46.7109375" style="362" customWidth="1"/>
    <col min="6416" max="6416" width="43.7109375" style="362" customWidth="1"/>
    <col min="6417" max="6417" width="25.42578125" style="362" customWidth="1"/>
    <col min="6418" max="6418" width="12.42578125" style="362" customWidth="1"/>
    <col min="6419" max="6419" width="16.42578125" style="362" customWidth="1"/>
    <col min="6420" max="6420" width="13.42578125" style="362" customWidth="1"/>
    <col min="6421" max="6421" width="8.5703125" style="362" customWidth="1"/>
    <col min="6422" max="6425" width="11.42578125" style="362" customWidth="1"/>
    <col min="6426" max="6426" width="12.7109375" style="362" customWidth="1"/>
    <col min="6427" max="6427" width="11.85546875" style="362" customWidth="1"/>
    <col min="6428" max="6428" width="7.85546875" style="362" customWidth="1"/>
    <col min="6429" max="6429" width="7.5703125" style="362" customWidth="1"/>
    <col min="6430" max="6430" width="8.85546875" style="362" customWidth="1"/>
    <col min="6431" max="6431" width="8.140625" style="362" customWidth="1"/>
    <col min="6432" max="6432" width="7.85546875" style="362" customWidth="1"/>
    <col min="6433" max="6433" width="8.5703125" style="362" customWidth="1"/>
    <col min="6434" max="6434" width="8.28515625" style="362" customWidth="1"/>
    <col min="6435" max="6435" width="11.42578125" style="362" customWidth="1"/>
    <col min="6436" max="6436" width="18" style="362" customWidth="1"/>
    <col min="6437" max="6437" width="21.42578125" style="362" customWidth="1"/>
    <col min="6438" max="6438" width="27.85546875" style="362" customWidth="1"/>
    <col min="6439" max="6654" width="11.42578125" style="362"/>
    <col min="6655" max="6655" width="13.5703125" style="362" customWidth="1"/>
    <col min="6656" max="6656" width="19" style="362" customWidth="1"/>
    <col min="6657" max="6657" width="13.5703125" style="362" customWidth="1"/>
    <col min="6658" max="6658" width="19.7109375" style="362" customWidth="1"/>
    <col min="6659" max="6659" width="13.5703125" style="362" customWidth="1"/>
    <col min="6660" max="6661" width="14.7109375" style="362" customWidth="1"/>
    <col min="6662" max="6662" width="36.140625" style="362" customWidth="1"/>
    <col min="6663" max="6663" width="29.42578125" style="362" customWidth="1"/>
    <col min="6664" max="6664" width="16" style="362" customWidth="1"/>
    <col min="6665" max="6665" width="38.28515625" style="362" customWidth="1"/>
    <col min="6666" max="6666" width="12" style="362" customWidth="1"/>
    <col min="6667" max="6667" width="38.140625" style="362" customWidth="1"/>
    <col min="6668" max="6668" width="17.85546875" style="362" bestFit="1" customWidth="1"/>
    <col min="6669" max="6669" width="24.7109375" style="362" customWidth="1"/>
    <col min="6670" max="6670" width="36.42578125" style="362" customWidth="1"/>
    <col min="6671" max="6671" width="46.7109375" style="362" customWidth="1"/>
    <col min="6672" max="6672" width="43.7109375" style="362" customWidth="1"/>
    <col min="6673" max="6673" width="25.42578125" style="362" customWidth="1"/>
    <col min="6674" max="6674" width="12.42578125" style="362" customWidth="1"/>
    <col min="6675" max="6675" width="16.42578125" style="362" customWidth="1"/>
    <col min="6676" max="6676" width="13.42578125" style="362" customWidth="1"/>
    <col min="6677" max="6677" width="8.5703125" style="362" customWidth="1"/>
    <col min="6678" max="6681" width="11.42578125" style="362" customWidth="1"/>
    <col min="6682" max="6682" width="12.7109375" style="362" customWidth="1"/>
    <col min="6683" max="6683" width="11.85546875" style="362" customWidth="1"/>
    <col min="6684" max="6684" width="7.85546875" style="362" customWidth="1"/>
    <col min="6685" max="6685" width="7.5703125" style="362" customWidth="1"/>
    <col min="6686" max="6686" width="8.85546875" style="362" customWidth="1"/>
    <col min="6687" max="6687" width="8.140625" style="362" customWidth="1"/>
    <col min="6688" max="6688" width="7.85546875" style="362" customWidth="1"/>
    <col min="6689" max="6689" width="8.5703125" style="362" customWidth="1"/>
    <col min="6690" max="6690" width="8.28515625" style="362" customWidth="1"/>
    <col min="6691" max="6691" width="11.42578125" style="362" customWidth="1"/>
    <col min="6692" max="6692" width="18" style="362" customWidth="1"/>
    <col min="6693" max="6693" width="21.42578125" style="362" customWidth="1"/>
    <col min="6694" max="6694" width="27.85546875" style="362" customWidth="1"/>
    <col min="6695" max="6910" width="11.42578125" style="362"/>
    <col min="6911" max="6911" width="13.5703125" style="362" customWidth="1"/>
    <col min="6912" max="6912" width="19" style="362" customWidth="1"/>
    <col min="6913" max="6913" width="13.5703125" style="362" customWidth="1"/>
    <col min="6914" max="6914" width="19.7109375" style="362" customWidth="1"/>
    <col min="6915" max="6915" width="13.5703125" style="362" customWidth="1"/>
    <col min="6916" max="6917" width="14.7109375" style="362" customWidth="1"/>
    <col min="6918" max="6918" width="36.140625" style="362" customWidth="1"/>
    <col min="6919" max="6919" width="29.42578125" style="362" customWidth="1"/>
    <col min="6920" max="6920" width="16" style="362" customWidth="1"/>
    <col min="6921" max="6921" width="38.28515625" style="362" customWidth="1"/>
    <col min="6922" max="6922" width="12" style="362" customWidth="1"/>
    <col min="6923" max="6923" width="38.140625" style="362" customWidth="1"/>
    <col min="6924" max="6924" width="17.85546875" style="362" bestFit="1" customWidth="1"/>
    <col min="6925" max="6925" width="24.7109375" style="362" customWidth="1"/>
    <col min="6926" max="6926" width="36.42578125" style="362" customWidth="1"/>
    <col min="6927" max="6927" width="46.7109375" style="362" customWidth="1"/>
    <col min="6928" max="6928" width="43.7109375" style="362" customWidth="1"/>
    <col min="6929" max="6929" width="25.42578125" style="362" customWidth="1"/>
    <col min="6930" max="6930" width="12.42578125" style="362" customWidth="1"/>
    <col min="6931" max="6931" width="16.42578125" style="362" customWidth="1"/>
    <col min="6932" max="6932" width="13.42578125" style="362" customWidth="1"/>
    <col min="6933" max="6933" width="8.5703125" style="362" customWidth="1"/>
    <col min="6934" max="6937" width="11.42578125" style="362" customWidth="1"/>
    <col min="6938" max="6938" width="12.7109375" style="362" customWidth="1"/>
    <col min="6939" max="6939" width="11.85546875" style="362" customWidth="1"/>
    <col min="6940" max="6940" width="7.85546875" style="362" customWidth="1"/>
    <col min="6941" max="6941" width="7.5703125" style="362" customWidth="1"/>
    <col min="6942" max="6942" width="8.85546875" style="362" customWidth="1"/>
    <col min="6943" max="6943" width="8.140625" style="362" customWidth="1"/>
    <col min="6944" max="6944" width="7.85546875" style="362" customWidth="1"/>
    <col min="6945" max="6945" width="8.5703125" style="362" customWidth="1"/>
    <col min="6946" max="6946" width="8.28515625" style="362" customWidth="1"/>
    <col min="6947" max="6947" width="11.42578125" style="362" customWidth="1"/>
    <col min="6948" max="6948" width="18" style="362" customWidth="1"/>
    <col min="6949" max="6949" width="21.42578125" style="362" customWidth="1"/>
    <col min="6950" max="6950" width="27.85546875" style="362" customWidth="1"/>
    <col min="6951" max="7166" width="11.42578125" style="362"/>
    <col min="7167" max="7167" width="13.5703125" style="362" customWidth="1"/>
    <col min="7168" max="7168" width="19" style="362" customWidth="1"/>
    <col min="7169" max="7169" width="13.5703125" style="362" customWidth="1"/>
    <col min="7170" max="7170" width="19.7109375" style="362" customWidth="1"/>
    <col min="7171" max="7171" width="13.5703125" style="362" customWidth="1"/>
    <col min="7172" max="7173" width="14.7109375" style="362" customWidth="1"/>
    <col min="7174" max="7174" width="36.140625" style="362" customWidth="1"/>
    <col min="7175" max="7175" width="29.42578125" style="362" customWidth="1"/>
    <col min="7176" max="7176" width="16" style="362" customWidth="1"/>
    <col min="7177" max="7177" width="38.28515625" style="362" customWidth="1"/>
    <col min="7178" max="7178" width="12" style="362" customWidth="1"/>
    <col min="7179" max="7179" width="38.140625" style="362" customWidth="1"/>
    <col min="7180" max="7180" width="17.85546875" style="362" bestFit="1" customWidth="1"/>
    <col min="7181" max="7181" width="24.7109375" style="362" customWidth="1"/>
    <col min="7182" max="7182" width="36.42578125" style="362" customWidth="1"/>
    <col min="7183" max="7183" width="46.7109375" style="362" customWidth="1"/>
    <col min="7184" max="7184" width="43.7109375" style="362" customWidth="1"/>
    <col min="7185" max="7185" width="25.42578125" style="362" customWidth="1"/>
    <col min="7186" max="7186" width="12.42578125" style="362" customWidth="1"/>
    <col min="7187" max="7187" width="16.42578125" style="362" customWidth="1"/>
    <col min="7188" max="7188" width="13.42578125" style="362" customWidth="1"/>
    <col min="7189" max="7189" width="8.5703125" style="362" customWidth="1"/>
    <col min="7190" max="7193" width="11.42578125" style="362" customWidth="1"/>
    <col min="7194" max="7194" width="12.7109375" style="362" customWidth="1"/>
    <col min="7195" max="7195" width="11.85546875" style="362" customWidth="1"/>
    <col min="7196" max="7196" width="7.85546875" style="362" customWidth="1"/>
    <col min="7197" max="7197" width="7.5703125" style="362" customWidth="1"/>
    <col min="7198" max="7198" width="8.85546875" style="362" customWidth="1"/>
    <col min="7199" max="7199" width="8.140625" style="362" customWidth="1"/>
    <col min="7200" max="7200" width="7.85546875" style="362" customWidth="1"/>
    <col min="7201" max="7201" width="8.5703125" style="362" customWidth="1"/>
    <col min="7202" max="7202" width="8.28515625" style="362" customWidth="1"/>
    <col min="7203" max="7203" width="11.42578125" style="362" customWidth="1"/>
    <col min="7204" max="7204" width="18" style="362" customWidth="1"/>
    <col min="7205" max="7205" width="21.42578125" style="362" customWidth="1"/>
    <col min="7206" max="7206" width="27.85546875" style="362" customWidth="1"/>
    <col min="7207" max="7422" width="11.42578125" style="362"/>
    <col min="7423" max="7423" width="13.5703125" style="362" customWidth="1"/>
    <col min="7424" max="7424" width="19" style="362" customWidth="1"/>
    <col min="7425" max="7425" width="13.5703125" style="362" customWidth="1"/>
    <col min="7426" max="7426" width="19.7109375" style="362" customWidth="1"/>
    <col min="7427" max="7427" width="13.5703125" style="362" customWidth="1"/>
    <col min="7428" max="7429" width="14.7109375" style="362" customWidth="1"/>
    <col min="7430" max="7430" width="36.140625" style="362" customWidth="1"/>
    <col min="7431" max="7431" width="29.42578125" style="362" customWidth="1"/>
    <col min="7432" max="7432" width="16" style="362" customWidth="1"/>
    <col min="7433" max="7433" width="38.28515625" style="362" customWidth="1"/>
    <col min="7434" max="7434" width="12" style="362" customWidth="1"/>
    <col min="7435" max="7435" width="38.140625" style="362" customWidth="1"/>
    <col min="7436" max="7436" width="17.85546875" style="362" bestFit="1" customWidth="1"/>
    <col min="7437" max="7437" width="24.7109375" style="362" customWidth="1"/>
    <col min="7438" max="7438" width="36.42578125" style="362" customWidth="1"/>
    <col min="7439" max="7439" width="46.7109375" style="362" customWidth="1"/>
    <col min="7440" max="7440" width="43.7109375" style="362" customWidth="1"/>
    <col min="7441" max="7441" width="25.42578125" style="362" customWidth="1"/>
    <col min="7442" max="7442" width="12.42578125" style="362" customWidth="1"/>
    <col min="7443" max="7443" width="16.42578125" style="362" customWidth="1"/>
    <col min="7444" max="7444" width="13.42578125" style="362" customWidth="1"/>
    <col min="7445" max="7445" width="8.5703125" style="362" customWidth="1"/>
    <col min="7446" max="7449" width="11.42578125" style="362" customWidth="1"/>
    <col min="7450" max="7450" width="12.7109375" style="362" customWidth="1"/>
    <col min="7451" max="7451" width="11.85546875" style="362" customWidth="1"/>
    <col min="7452" max="7452" width="7.85546875" style="362" customWidth="1"/>
    <col min="7453" max="7453" width="7.5703125" style="362" customWidth="1"/>
    <col min="7454" max="7454" width="8.85546875" style="362" customWidth="1"/>
    <col min="7455" max="7455" width="8.140625" style="362" customWidth="1"/>
    <col min="7456" max="7456" width="7.85546875" style="362" customWidth="1"/>
    <col min="7457" max="7457" width="8.5703125" style="362" customWidth="1"/>
    <col min="7458" max="7458" width="8.28515625" style="362" customWidth="1"/>
    <col min="7459" max="7459" width="11.42578125" style="362" customWidth="1"/>
    <col min="7460" max="7460" width="18" style="362" customWidth="1"/>
    <col min="7461" max="7461" width="21.42578125" style="362" customWidth="1"/>
    <col min="7462" max="7462" width="27.85546875" style="362" customWidth="1"/>
    <col min="7463" max="7678" width="11.42578125" style="362"/>
    <col min="7679" max="7679" width="13.5703125" style="362" customWidth="1"/>
    <col min="7680" max="7680" width="19" style="362" customWidth="1"/>
    <col min="7681" max="7681" width="13.5703125" style="362" customWidth="1"/>
    <col min="7682" max="7682" width="19.7109375" style="362" customWidth="1"/>
    <col min="7683" max="7683" width="13.5703125" style="362" customWidth="1"/>
    <col min="7684" max="7685" width="14.7109375" style="362" customWidth="1"/>
    <col min="7686" max="7686" width="36.140625" style="362" customWidth="1"/>
    <col min="7687" max="7687" width="29.42578125" style="362" customWidth="1"/>
    <col min="7688" max="7688" width="16" style="362" customWidth="1"/>
    <col min="7689" max="7689" width="38.28515625" style="362" customWidth="1"/>
    <col min="7690" max="7690" width="12" style="362" customWidth="1"/>
    <col min="7691" max="7691" width="38.140625" style="362" customWidth="1"/>
    <col min="7692" max="7692" width="17.85546875" style="362" bestFit="1" customWidth="1"/>
    <col min="7693" max="7693" width="24.7109375" style="362" customWidth="1"/>
    <col min="7694" max="7694" width="36.42578125" style="362" customWidth="1"/>
    <col min="7695" max="7695" width="46.7109375" style="362" customWidth="1"/>
    <col min="7696" max="7696" width="43.7109375" style="362" customWidth="1"/>
    <col min="7697" max="7697" width="25.42578125" style="362" customWidth="1"/>
    <col min="7698" max="7698" width="12.42578125" style="362" customWidth="1"/>
    <col min="7699" max="7699" width="16.42578125" style="362" customWidth="1"/>
    <col min="7700" max="7700" width="13.42578125" style="362" customWidth="1"/>
    <col min="7701" max="7701" width="8.5703125" style="362" customWidth="1"/>
    <col min="7702" max="7705" width="11.42578125" style="362" customWidth="1"/>
    <col min="7706" max="7706" width="12.7109375" style="362" customWidth="1"/>
    <col min="7707" max="7707" width="11.85546875" style="362" customWidth="1"/>
    <col min="7708" max="7708" width="7.85546875" style="362" customWidth="1"/>
    <col min="7709" max="7709" width="7.5703125" style="362" customWidth="1"/>
    <col min="7710" max="7710" width="8.85546875" style="362" customWidth="1"/>
    <col min="7711" max="7711" width="8.140625" style="362" customWidth="1"/>
    <col min="7712" max="7712" width="7.85546875" style="362" customWidth="1"/>
    <col min="7713" max="7713" width="8.5703125" style="362" customWidth="1"/>
    <col min="7714" max="7714" width="8.28515625" style="362" customWidth="1"/>
    <col min="7715" max="7715" width="11.42578125" style="362" customWidth="1"/>
    <col min="7716" max="7716" width="18" style="362" customWidth="1"/>
    <col min="7717" max="7717" width="21.42578125" style="362" customWidth="1"/>
    <col min="7718" max="7718" width="27.85546875" style="362" customWidth="1"/>
    <col min="7719" max="7934" width="11.42578125" style="362"/>
    <col min="7935" max="7935" width="13.5703125" style="362" customWidth="1"/>
    <col min="7936" max="7936" width="19" style="362" customWidth="1"/>
    <col min="7937" max="7937" width="13.5703125" style="362" customWidth="1"/>
    <col min="7938" max="7938" width="19.7109375" style="362" customWidth="1"/>
    <col min="7939" max="7939" width="13.5703125" style="362" customWidth="1"/>
    <col min="7940" max="7941" width="14.7109375" style="362" customWidth="1"/>
    <col min="7942" max="7942" width="36.140625" style="362" customWidth="1"/>
    <col min="7943" max="7943" width="29.42578125" style="362" customWidth="1"/>
    <col min="7944" max="7944" width="16" style="362" customWidth="1"/>
    <col min="7945" max="7945" width="38.28515625" style="362" customWidth="1"/>
    <col min="7946" max="7946" width="12" style="362" customWidth="1"/>
    <col min="7947" max="7947" width="38.140625" style="362" customWidth="1"/>
    <col min="7948" max="7948" width="17.85546875" style="362" bestFit="1" customWidth="1"/>
    <col min="7949" max="7949" width="24.7109375" style="362" customWidth="1"/>
    <col min="7950" max="7950" width="36.42578125" style="362" customWidth="1"/>
    <col min="7951" max="7951" width="46.7109375" style="362" customWidth="1"/>
    <col min="7952" max="7952" width="43.7109375" style="362" customWidth="1"/>
    <col min="7953" max="7953" width="25.42578125" style="362" customWidth="1"/>
    <col min="7954" max="7954" width="12.42578125" style="362" customWidth="1"/>
    <col min="7955" max="7955" width="16.42578125" style="362" customWidth="1"/>
    <col min="7956" max="7956" width="13.42578125" style="362" customWidth="1"/>
    <col min="7957" max="7957" width="8.5703125" style="362" customWidth="1"/>
    <col min="7958" max="7961" width="11.42578125" style="362" customWidth="1"/>
    <col min="7962" max="7962" width="12.7109375" style="362" customWidth="1"/>
    <col min="7963" max="7963" width="11.85546875" style="362" customWidth="1"/>
    <col min="7964" max="7964" width="7.85546875" style="362" customWidth="1"/>
    <col min="7965" max="7965" width="7.5703125" style="362" customWidth="1"/>
    <col min="7966" max="7966" width="8.85546875" style="362" customWidth="1"/>
    <col min="7967" max="7967" width="8.140625" style="362" customWidth="1"/>
    <col min="7968" max="7968" width="7.85546875" style="362" customWidth="1"/>
    <col min="7969" max="7969" width="8.5703125" style="362" customWidth="1"/>
    <col min="7970" max="7970" width="8.28515625" style="362" customWidth="1"/>
    <col min="7971" max="7971" width="11.42578125" style="362" customWidth="1"/>
    <col min="7972" max="7972" width="18" style="362" customWidth="1"/>
    <col min="7973" max="7973" width="21.42578125" style="362" customWidth="1"/>
    <col min="7974" max="7974" width="27.85546875" style="362" customWidth="1"/>
    <col min="7975" max="8190" width="11.42578125" style="362"/>
    <col min="8191" max="8191" width="13.5703125" style="362" customWidth="1"/>
    <col min="8192" max="8192" width="19" style="362" customWidth="1"/>
    <col min="8193" max="8193" width="13.5703125" style="362" customWidth="1"/>
    <col min="8194" max="8194" width="19.7109375" style="362" customWidth="1"/>
    <col min="8195" max="8195" width="13.5703125" style="362" customWidth="1"/>
    <col min="8196" max="8197" width="14.7109375" style="362" customWidth="1"/>
    <col min="8198" max="8198" width="36.140625" style="362" customWidth="1"/>
    <col min="8199" max="8199" width="29.42578125" style="362" customWidth="1"/>
    <col min="8200" max="8200" width="16" style="362" customWidth="1"/>
    <col min="8201" max="8201" width="38.28515625" style="362" customWidth="1"/>
    <col min="8202" max="8202" width="12" style="362" customWidth="1"/>
    <col min="8203" max="8203" width="38.140625" style="362" customWidth="1"/>
    <col min="8204" max="8204" width="17.85546875" style="362" bestFit="1" customWidth="1"/>
    <col min="8205" max="8205" width="24.7109375" style="362" customWidth="1"/>
    <col min="8206" max="8206" width="36.42578125" style="362" customWidth="1"/>
    <col min="8207" max="8207" width="46.7109375" style="362" customWidth="1"/>
    <col min="8208" max="8208" width="43.7109375" style="362" customWidth="1"/>
    <col min="8209" max="8209" width="25.42578125" style="362" customWidth="1"/>
    <col min="8210" max="8210" width="12.42578125" style="362" customWidth="1"/>
    <col min="8211" max="8211" width="16.42578125" style="362" customWidth="1"/>
    <col min="8212" max="8212" width="13.42578125" style="362" customWidth="1"/>
    <col min="8213" max="8213" width="8.5703125" style="362" customWidth="1"/>
    <col min="8214" max="8217" width="11.42578125" style="362" customWidth="1"/>
    <col min="8218" max="8218" width="12.7109375" style="362" customWidth="1"/>
    <col min="8219" max="8219" width="11.85546875" style="362" customWidth="1"/>
    <col min="8220" max="8220" width="7.85546875" style="362" customWidth="1"/>
    <col min="8221" max="8221" width="7.5703125" style="362" customWidth="1"/>
    <col min="8222" max="8222" width="8.85546875" style="362" customWidth="1"/>
    <col min="8223" max="8223" width="8.140625" style="362" customWidth="1"/>
    <col min="8224" max="8224" width="7.85546875" style="362" customWidth="1"/>
    <col min="8225" max="8225" width="8.5703125" style="362" customWidth="1"/>
    <col min="8226" max="8226" width="8.28515625" style="362" customWidth="1"/>
    <col min="8227" max="8227" width="11.42578125" style="362" customWidth="1"/>
    <col min="8228" max="8228" width="18" style="362" customWidth="1"/>
    <col min="8229" max="8229" width="21.42578125" style="362" customWidth="1"/>
    <col min="8230" max="8230" width="27.85546875" style="362" customWidth="1"/>
    <col min="8231" max="8446" width="11.42578125" style="362"/>
    <col min="8447" max="8447" width="13.5703125" style="362" customWidth="1"/>
    <col min="8448" max="8448" width="19" style="362" customWidth="1"/>
    <col min="8449" max="8449" width="13.5703125" style="362" customWidth="1"/>
    <col min="8450" max="8450" width="19.7109375" style="362" customWidth="1"/>
    <col min="8451" max="8451" width="13.5703125" style="362" customWidth="1"/>
    <col min="8452" max="8453" width="14.7109375" style="362" customWidth="1"/>
    <col min="8454" max="8454" width="36.140625" style="362" customWidth="1"/>
    <col min="8455" max="8455" width="29.42578125" style="362" customWidth="1"/>
    <col min="8456" max="8456" width="16" style="362" customWidth="1"/>
    <col min="8457" max="8457" width="38.28515625" style="362" customWidth="1"/>
    <col min="8458" max="8458" width="12" style="362" customWidth="1"/>
    <col min="8459" max="8459" width="38.140625" style="362" customWidth="1"/>
    <col min="8460" max="8460" width="17.85546875" style="362" bestFit="1" customWidth="1"/>
    <col min="8461" max="8461" width="24.7109375" style="362" customWidth="1"/>
    <col min="8462" max="8462" width="36.42578125" style="362" customWidth="1"/>
    <col min="8463" max="8463" width="46.7109375" style="362" customWidth="1"/>
    <col min="8464" max="8464" width="43.7109375" style="362" customWidth="1"/>
    <col min="8465" max="8465" width="25.42578125" style="362" customWidth="1"/>
    <col min="8466" max="8466" width="12.42578125" style="362" customWidth="1"/>
    <col min="8467" max="8467" width="16.42578125" style="362" customWidth="1"/>
    <col min="8468" max="8468" width="13.42578125" style="362" customWidth="1"/>
    <col min="8469" max="8469" width="8.5703125" style="362" customWidth="1"/>
    <col min="8470" max="8473" width="11.42578125" style="362" customWidth="1"/>
    <col min="8474" max="8474" width="12.7109375" style="362" customWidth="1"/>
    <col min="8475" max="8475" width="11.85546875" style="362" customWidth="1"/>
    <col min="8476" max="8476" width="7.85546875" style="362" customWidth="1"/>
    <col min="8477" max="8477" width="7.5703125" style="362" customWidth="1"/>
    <col min="8478" max="8478" width="8.85546875" style="362" customWidth="1"/>
    <col min="8479" max="8479" width="8.140625" style="362" customWidth="1"/>
    <col min="8480" max="8480" width="7.85546875" style="362" customWidth="1"/>
    <col min="8481" max="8481" width="8.5703125" style="362" customWidth="1"/>
    <col min="8482" max="8482" width="8.28515625" style="362" customWidth="1"/>
    <col min="8483" max="8483" width="11.42578125" style="362" customWidth="1"/>
    <col min="8484" max="8484" width="18" style="362" customWidth="1"/>
    <col min="8485" max="8485" width="21.42578125" style="362" customWidth="1"/>
    <col min="8486" max="8486" width="27.85546875" style="362" customWidth="1"/>
    <col min="8487" max="8702" width="11.42578125" style="362"/>
    <col min="8703" max="8703" width="13.5703125" style="362" customWidth="1"/>
    <col min="8704" max="8704" width="19" style="362" customWidth="1"/>
    <col min="8705" max="8705" width="13.5703125" style="362" customWidth="1"/>
    <col min="8706" max="8706" width="19.7109375" style="362" customWidth="1"/>
    <col min="8707" max="8707" width="13.5703125" style="362" customWidth="1"/>
    <col min="8708" max="8709" width="14.7109375" style="362" customWidth="1"/>
    <col min="8710" max="8710" width="36.140625" style="362" customWidth="1"/>
    <col min="8711" max="8711" width="29.42578125" style="362" customWidth="1"/>
    <col min="8712" max="8712" width="16" style="362" customWidth="1"/>
    <col min="8713" max="8713" width="38.28515625" style="362" customWidth="1"/>
    <col min="8714" max="8714" width="12" style="362" customWidth="1"/>
    <col min="8715" max="8715" width="38.140625" style="362" customWidth="1"/>
    <col min="8716" max="8716" width="17.85546875" style="362" bestFit="1" customWidth="1"/>
    <col min="8717" max="8717" width="24.7109375" style="362" customWidth="1"/>
    <col min="8718" max="8718" width="36.42578125" style="362" customWidth="1"/>
    <col min="8719" max="8719" width="46.7109375" style="362" customWidth="1"/>
    <col min="8720" max="8720" width="43.7109375" style="362" customWidth="1"/>
    <col min="8721" max="8721" width="25.42578125" style="362" customWidth="1"/>
    <col min="8722" max="8722" width="12.42578125" style="362" customWidth="1"/>
    <col min="8723" max="8723" width="16.42578125" style="362" customWidth="1"/>
    <col min="8724" max="8724" width="13.42578125" style="362" customWidth="1"/>
    <col min="8725" max="8725" width="8.5703125" style="362" customWidth="1"/>
    <col min="8726" max="8729" width="11.42578125" style="362" customWidth="1"/>
    <col min="8730" max="8730" width="12.7109375" style="362" customWidth="1"/>
    <col min="8731" max="8731" width="11.85546875" style="362" customWidth="1"/>
    <col min="8732" max="8732" width="7.85546875" style="362" customWidth="1"/>
    <col min="8733" max="8733" width="7.5703125" style="362" customWidth="1"/>
    <col min="8734" max="8734" width="8.85546875" style="362" customWidth="1"/>
    <col min="8735" max="8735" width="8.140625" style="362" customWidth="1"/>
    <col min="8736" max="8736" width="7.85546875" style="362" customWidth="1"/>
    <col min="8737" max="8737" width="8.5703125" style="362" customWidth="1"/>
    <col min="8738" max="8738" width="8.28515625" style="362" customWidth="1"/>
    <col min="8739" max="8739" width="11.42578125" style="362" customWidth="1"/>
    <col min="8740" max="8740" width="18" style="362" customWidth="1"/>
    <col min="8741" max="8741" width="21.42578125" style="362" customWidth="1"/>
    <col min="8742" max="8742" width="27.85546875" style="362" customWidth="1"/>
    <col min="8743" max="8958" width="11.42578125" style="362"/>
    <col min="8959" max="8959" width="13.5703125" style="362" customWidth="1"/>
    <col min="8960" max="8960" width="19" style="362" customWidth="1"/>
    <col min="8961" max="8961" width="13.5703125" style="362" customWidth="1"/>
    <col min="8962" max="8962" width="19.7109375" style="362" customWidth="1"/>
    <col min="8963" max="8963" width="13.5703125" style="362" customWidth="1"/>
    <col min="8964" max="8965" width="14.7109375" style="362" customWidth="1"/>
    <col min="8966" max="8966" width="36.140625" style="362" customWidth="1"/>
    <col min="8967" max="8967" width="29.42578125" style="362" customWidth="1"/>
    <col min="8968" max="8968" width="16" style="362" customWidth="1"/>
    <col min="8969" max="8969" width="38.28515625" style="362" customWidth="1"/>
    <col min="8970" max="8970" width="12" style="362" customWidth="1"/>
    <col min="8971" max="8971" width="38.140625" style="362" customWidth="1"/>
    <col min="8972" max="8972" width="17.85546875" style="362" bestFit="1" customWidth="1"/>
    <col min="8973" max="8973" width="24.7109375" style="362" customWidth="1"/>
    <col min="8974" max="8974" width="36.42578125" style="362" customWidth="1"/>
    <col min="8975" max="8975" width="46.7109375" style="362" customWidth="1"/>
    <col min="8976" max="8976" width="43.7109375" style="362" customWidth="1"/>
    <col min="8977" max="8977" width="25.42578125" style="362" customWidth="1"/>
    <col min="8978" max="8978" width="12.42578125" style="362" customWidth="1"/>
    <col min="8979" max="8979" width="16.42578125" style="362" customWidth="1"/>
    <col min="8980" max="8980" width="13.42578125" style="362" customWidth="1"/>
    <col min="8981" max="8981" width="8.5703125" style="362" customWidth="1"/>
    <col min="8982" max="8985" width="11.42578125" style="362" customWidth="1"/>
    <col min="8986" max="8986" width="12.7109375" style="362" customWidth="1"/>
    <col min="8987" max="8987" width="11.85546875" style="362" customWidth="1"/>
    <col min="8988" max="8988" width="7.85546875" style="362" customWidth="1"/>
    <col min="8989" max="8989" width="7.5703125" style="362" customWidth="1"/>
    <col min="8990" max="8990" width="8.85546875" style="362" customWidth="1"/>
    <col min="8991" max="8991" width="8.140625" style="362" customWidth="1"/>
    <col min="8992" max="8992" width="7.85546875" style="362" customWidth="1"/>
    <col min="8993" max="8993" width="8.5703125" style="362" customWidth="1"/>
    <col min="8994" max="8994" width="8.28515625" style="362" customWidth="1"/>
    <col min="8995" max="8995" width="11.42578125" style="362" customWidth="1"/>
    <col min="8996" max="8996" width="18" style="362" customWidth="1"/>
    <col min="8997" max="8997" width="21.42578125" style="362" customWidth="1"/>
    <col min="8998" max="8998" width="27.85546875" style="362" customWidth="1"/>
    <col min="8999" max="9214" width="11.42578125" style="362"/>
    <col min="9215" max="9215" width="13.5703125" style="362" customWidth="1"/>
    <col min="9216" max="9216" width="19" style="362" customWidth="1"/>
    <col min="9217" max="9217" width="13.5703125" style="362" customWidth="1"/>
    <col min="9218" max="9218" width="19.7109375" style="362" customWidth="1"/>
    <col min="9219" max="9219" width="13.5703125" style="362" customWidth="1"/>
    <col min="9220" max="9221" width="14.7109375" style="362" customWidth="1"/>
    <col min="9222" max="9222" width="36.140625" style="362" customWidth="1"/>
    <col min="9223" max="9223" width="29.42578125" style="362" customWidth="1"/>
    <col min="9224" max="9224" width="16" style="362" customWidth="1"/>
    <col min="9225" max="9225" width="38.28515625" style="362" customWidth="1"/>
    <col min="9226" max="9226" width="12" style="362" customWidth="1"/>
    <col min="9227" max="9227" width="38.140625" style="362" customWidth="1"/>
    <col min="9228" max="9228" width="17.85546875" style="362" bestFit="1" customWidth="1"/>
    <col min="9229" max="9229" width="24.7109375" style="362" customWidth="1"/>
    <col min="9230" max="9230" width="36.42578125" style="362" customWidth="1"/>
    <col min="9231" max="9231" width="46.7109375" style="362" customWidth="1"/>
    <col min="9232" max="9232" width="43.7109375" style="362" customWidth="1"/>
    <col min="9233" max="9233" width="25.42578125" style="362" customWidth="1"/>
    <col min="9234" max="9234" width="12.42578125" style="362" customWidth="1"/>
    <col min="9235" max="9235" width="16.42578125" style="362" customWidth="1"/>
    <col min="9236" max="9236" width="13.42578125" style="362" customWidth="1"/>
    <col min="9237" max="9237" width="8.5703125" style="362" customWidth="1"/>
    <col min="9238" max="9241" width="11.42578125" style="362" customWidth="1"/>
    <col min="9242" max="9242" width="12.7109375" style="362" customWidth="1"/>
    <col min="9243" max="9243" width="11.85546875" style="362" customWidth="1"/>
    <col min="9244" max="9244" width="7.85546875" style="362" customWidth="1"/>
    <col min="9245" max="9245" width="7.5703125" style="362" customWidth="1"/>
    <col min="9246" max="9246" width="8.85546875" style="362" customWidth="1"/>
    <col min="9247" max="9247" width="8.140625" style="362" customWidth="1"/>
    <col min="9248" max="9248" width="7.85546875" style="362" customWidth="1"/>
    <col min="9249" max="9249" width="8.5703125" style="362" customWidth="1"/>
    <col min="9250" max="9250" width="8.28515625" style="362" customWidth="1"/>
    <col min="9251" max="9251" width="11.42578125" style="362" customWidth="1"/>
    <col min="9252" max="9252" width="18" style="362" customWidth="1"/>
    <col min="9253" max="9253" width="21.42578125" style="362" customWidth="1"/>
    <col min="9254" max="9254" width="27.85546875" style="362" customWidth="1"/>
    <col min="9255" max="9470" width="11.42578125" style="362"/>
    <col min="9471" max="9471" width="13.5703125" style="362" customWidth="1"/>
    <col min="9472" max="9472" width="19" style="362" customWidth="1"/>
    <col min="9473" max="9473" width="13.5703125" style="362" customWidth="1"/>
    <col min="9474" max="9474" width="19.7109375" style="362" customWidth="1"/>
    <col min="9475" max="9475" width="13.5703125" style="362" customWidth="1"/>
    <col min="9476" max="9477" width="14.7109375" style="362" customWidth="1"/>
    <col min="9478" max="9478" width="36.140625" style="362" customWidth="1"/>
    <col min="9479" max="9479" width="29.42578125" style="362" customWidth="1"/>
    <col min="9480" max="9480" width="16" style="362" customWidth="1"/>
    <col min="9481" max="9481" width="38.28515625" style="362" customWidth="1"/>
    <col min="9482" max="9482" width="12" style="362" customWidth="1"/>
    <col min="9483" max="9483" width="38.140625" style="362" customWidth="1"/>
    <col min="9484" max="9484" width="17.85546875" style="362" bestFit="1" customWidth="1"/>
    <col min="9485" max="9485" width="24.7109375" style="362" customWidth="1"/>
    <col min="9486" max="9486" width="36.42578125" style="362" customWidth="1"/>
    <col min="9487" max="9487" width="46.7109375" style="362" customWidth="1"/>
    <col min="9488" max="9488" width="43.7109375" style="362" customWidth="1"/>
    <col min="9489" max="9489" width="25.42578125" style="362" customWidth="1"/>
    <col min="9490" max="9490" width="12.42578125" style="362" customWidth="1"/>
    <col min="9491" max="9491" width="16.42578125" style="362" customWidth="1"/>
    <col min="9492" max="9492" width="13.42578125" style="362" customWidth="1"/>
    <col min="9493" max="9493" width="8.5703125" style="362" customWidth="1"/>
    <col min="9494" max="9497" width="11.42578125" style="362" customWidth="1"/>
    <col min="9498" max="9498" width="12.7109375" style="362" customWidth="1"/>
    <col min="9499" max="9499" width="11.85546875" style="362" customWidth="1"/>
    <col min="9500" max="9500" width="7.85546875" style="362" customWidth="1"/>
    <col min="9501" max="9501" width="7.5703125" style="362" customWidth="1"/>
    <col min="9502" max="9502" width="8.85546875" style="362" customWidth="1"/>
    <col min="9503" max="9503" width="8.140625" style="362" customWidth="1"/>
    <col min="9504" max="9504" width="7.85546875" style="362" customWidth="1"/>
    <col min="9505" max="9505" width="8.5703125" style="362" customWidth="1"/>
    <col min="9506" max="9506" width="8.28515625" style="362" customWidth="1"/>
    <col min="9507" max="9507" width="11.42578125" style="362" customWidth="1"/>
    <col min="9508" max="9508" width="18" style="362" customWidth="1"/>
    <col min="9509" max="9509" width="21.42578125" style="362" customWidth="1"/>
    <col min="9510" max="9510" width="27.85546875" style="362" customWidth="1"/>
    <col min="9511" max="9726" width="11.42578125" style="362"/>
    <col min="9727" max="9727" width="13.5703125" style="362" customWidth="1"/>
    <col min="9728" max="9728" width="19" style="362" customWidth="1"/>
    <col min="9729" max="9729" width="13.5703125" style="362" customWidth="1"/>
    <col min="9730" max="9730" width="19.7109375" style="362" customWidth="1"/>
    <col min="9731" max="9731" width="13.5703125" style="362" customWidth="1"/>
    <col min="9732" max="9733" width="14.7109375" style="362" customWidth="1"/>
    <col min="9734" max="9734" width="36.140625" style="362" customWidth="1"/>
    <col min="9735" max="9735" width="29.42578125" style="362" customWidth="1"/>
    <col min="9736" max="9736" width="16" style="362" customWidth="1"/>
    <col min="9737" max="9737" width="38.28515625" style="362" customWidth="1"/>
    <col min="9738" max="9738" width="12" style="362" customWidth="1"/>
    <col min="9739" max="9739" width="38.140625" style="362" customWidth="1"/>
    <col min="9740" max="9740" width="17.85546875" style="362" bestFit="1" customWidth="1"/>
    <col min="9741" max="9741" width="24.7109375" style="362" customWidth="1"/>
    <col min="9742" max="9742" width="36.42578125" style="362" customWidth="1"/>
    <col min="9743" max="9743" width="46.7109375" style="362" customWidth="1"/>
    <col min="9744" max="9744" width="43.7109375" style="362" customWidth="1"/>
    <col min="9745" max="9745" width="25.42578125" style="362" customWidth="1"/>
    <col min="9746" max="9746" width="12.42578125" style="362" customWidth="1"/>
    <col min="9747" max="9747" width="16.42578125" style="362" customWidth="1"/>
    <col min="9748" max="9748" width="13.42578125" style="362" customWidth="1"/>
    <col min="9749" max="9749" width="8.5703125" style="362" customWidth="1"/>
    <col min="9750" max="9753" width="11.42578125" style="362" customWidth="1"/>
    <col min="9754" max="9754" width="12.7109375" style="362" customWidth="1"/>
    <col min="9755" max="9755" width="11.85546875" style="362" customWidth="1"/>
    <col min="9756" max="9756" width="7.85546875" style="362" customWidth="1"/>
    <col min="9757" max="9757" width="7.5703125" style="362" customWidth="1"/>
    <col min="9758" max="9758" width="8.85546875" style="362" customWidth="1"/>
    <col min="9759" max="9759" width="8.140625" style="362" customWidth="1"/>
    <col min="9760" max="9760" width="7.85546875" style="362" customWidth="1"/>
    <col min="9761" max="9761" width="8.5703125" style="362" customWidth="1"/>
    <col min="9762" max="9762" width="8.28515625" style="362" customWidth="1"/>
    <col min="9763" max="9763" width="11.42578125" style="362" customWidth="1"/>
    <col min="9764" max="9764" width="18" style="362" customWidth="1"/>
    <col min="9765" max="9765" width="21.42578125" style="362" customWidth="1"/>
    <col min="9766" max="9766" width="27.85546875" style="362" customWidth="1"/>
    <col min="9767" max="9982" width="11.42578125" style="362"/>
    <col min="9983" max="9983" width="13.5703125" style="362" customWidth="1"/>
    <col min="9984" max="9984" width="19" style="362" customWidth="1"/>
    <col min="9985" max="9985" width="13.5703125" style="362" customWidth="1"/>
    <col min="9986" max="9986" width="19.7109375" style="362" customWidth="1"/>
    <col min="9987" max="9987" width="13.5703125" style="362" customWidth="1"/>
    <col min="9988" max="9989" width="14.7109375" style="362" customWidth="1"/>
    <col min="9990" max="9990" width="36.140625" style="362" customWidth="1"/>
    <col min="9991" max="9991" width="29.42578125" style="362" customWidth="1"/>
    <col min="9992" max="9992" width="16" style="362" customWidth="1"/>
    <col min="9993" max="9993" width="38.28515625" style="362" customWidth="1"/>
    <col min="9994" max="9994" width="12" style="362" customWidth="1"/>
    <col min="9995" max="9995" width="38.140625" style="362" customWidth="1"/>
    <col min="9996" max="9996" width="17.85546875" style="362" bestFit="1" customWidth="1"/>
    <col min="9997" max="9997" width="24.7109375" style="362" customWidth="1"/>
    <col min="9998" max="9998" width="36.42578125" style="362" customWidth="1"/>
    <col min="9999" max="9999" width="46.7109375" style="362" customWidth="1"/>
    <col min="10000" max="10000" width="43.7109375" style="362" customWidth="1"/>
    <col min="10001" max="10001" width="25.42578125" style="362" customWidth="1"/>
    <col min="10002" max="10002" width="12.42578125" style="362" customWidth="1"/>
    <col min="10003" max="10003" width="16.42578125" style="362" customWidth="1"/>
    <col min="10004" max="10004" width="13.42578125" style="362" customWidth="1"/>
    <col min="10005" max="10005" width="8.5703125" style="362" customWidth="1"/>
    <col min="10006" max="10009" width="11.42578125" style="362" customWidth="1"/>
    <col min="10010" max="10010" width="12.7109375" style="362" customWidth="1"/>
    <col min="10011" max="10011" width="11.85546875" style="362" customWidth="1"/>
    <col min="10012" max="10012" width="7.85546875" style="362" customWidth="1"/>
    <col min="10013" max="10013" width="7.5703125" style="362" customWidth="1"/>
    <col min="10014" max="10014" width="8.85546875" style="362" customWidth="1"/>
    <col min="10015" max="10015" width="8.140625" style="362" customWidth="1"/>
    <col min="10016" max="10016" width="7.85546875" style="362" customWidth="1"/>
    <col min="10017" max="10017" width="8.5703125" style="362" customWidth="1"/>
    <col min="10018" max="10018" width="8.28515625" style="362" customWidth="1"/>
    <col min="10019" max="10019" width="11.42578125" style="362" customWidth="1"/>
    <col min="10020" max="10020" width="18" style="362" customWidth="1"/>
    <col min="10021" max="10021" width="21.42578125" style="362" customWidth="1"/>
    <col min="10022" max="10022" width="27.85546875" style="362" customWidth="1"/>
    <col min="10023" max="10238" width="11.42578125" style="362"/>
    <col min="10239" max="10239" width="13.5703125" style="362" customWidth="1"/>
    <col min="10240" max="10240" width="19" style="362" customWidth="1"/>
    <col min="10241" max="10241" width="13.5703125" style="362" customWidth="1"/>
    <col min="10242" max="10242" width="19.7109375" style="362" customWidth="1"/>
    <col min="10243" max="10243" width="13.5703125" style="362" customWidth="1"/>
    <col min="10244" max="10245" width="14.7109375" style="362" customWidth="1"/>
    <col min="10246" max="10246" width="36.140625" style="362" customWidth="1"/>
    <col min="10247" max="10247" width="29.42578125" style="362" customWidth="1"/>
    <col min="10248" max="10248" width="16" style="362" customWidth="1"/>
    <col min="10249" max="10249" width="38.28515625" style="362" customWidth="1"/>
    <col min="10250" max="10250" width="12" style="362" customWidth="1"/>
    <col min="10251" max="10251" width="38.140625" style="362" customWidth="1"/>
    <col min="10252" max="10252" width="17.85546875" style="362" bestFit="1" customWidth="1"/>
    <col min="10253" max="10253" width="24.7109375" style="362" customWidth="1"/>
    <col min="10254" max="10254" width="36.42578125" style="362" customWidth="1"/>
    <col min="10255" max="10255" width="46.7109375" style="362" customWidth="1"/>
    <col min="10256" max="10256" width="43.7109375" style="362" customWidth="1"/>
    <col min="10257" max="10257" width="25.42578125" style="362" customWidth="1"/>
    <col min="10258" max="10258" width="12.42578125" style="362" customWidth="1"/>
    <col min="10259" max="10259" width="16.42578125" style="362" customWidth="1"/>
    <col min="10260" max="10260" width="13.42578125" style="362" customWidth="1"/>
    <col min="10261" max="10261" width="8.5703125" style="362" customWidth="1"/>
    <col min="10262" max="10265" width="11.42578125" style="362" customWidth="1"/>
    <col min="10266" max="10266" width="12.7109375" style="362" customWidth="1"/>
    <col min="10267" max="10267" width="11.85546875" style="362" customWidth="1"/>
    <col min="10268" max="10268" width="7.85546875" style="362" customWidth="1"/>
    <col min="10269" max="10269" width="7.5703125" style="362" customWidth="1"/>
    <col min="10270" max="10270" width="8.85546875" style="362" customWidth="1"/>
    <col min="10271" max="10271" width="8.140625" style="362" customWidth="1"/>
    <col min="10272" max="10272" width="7.85546875" style="362" customWidth="1"/>
    <col min="10273" max="10273" width="8.5703125" style="362" customWidth="1"/>
    <col min="10274" max="10274" width="8.28515625" style="362" customWidth="1"/>
    <col min="10275" max="10275" width="11.42578125" style="362" customWidth="1"/>
    <col min="10276" max="10276" width="18" style="362" customWidth="1"/>
    <col min="10277" max="10277" width="21.42578125" style="362" customWidth="1"/>
    <col min="10278" max="10278" width="27.85546875" style="362" customWidth="1"/>
    <col min="10279" max="10494" width="11.42578125" style="362"/>
    <col min="10495" max="10495" width="13.5703125" style="362" customWidth="1"/>
    <col min="10496" max="10496" width="19" style="362" customWidth="1"/>
    <col min="10497" max="10497" width="13.5703125" style="362" customWidth="1"/>
    <col min="10498" max="10498" width="19.7109375" style="362" customWidth="1"/>
    <col min="10499" max="10499" width="13.5703125" style="362" customWidth="1"/>
    <col min="10500" max="10501" width="14.7109375" style="362" customWidth="1"/>
    <col min="10502" max="10502" width="36.140625" style="362" customWidth="1"/>
    <col min="10503" max="10503" width="29.42578125" style="362" customWidth="1"/>
    <col min="10504" max="10504" width="16" style="362" customWidth="1"/>
    <col min="10505" max="10505" width="38.28515625" style="362" customWidth="1"/>
    <col min="10506" max="10506" width="12" style="362" customWidth="1"/>
    <col min="10507" max="10507" width="38.140625" style="362" customWidth="1"/>
    <col min="10508" max="10508" width="17.85546875" style="362" bestFit="1" customWidth="1"/>
    <col min="10509" max="10509" width="24.7109375" style="362" customWidth="1"/>
    <col min="10510" max="10510" width="36.42578125" style="362" customWidth="1"/>
    <col min="10511" max="10511" width="46.7109375" style="362" customWidth="1"/>
    <col min="10512" max="10512" width="43.7109375" style="362" customWidth="1"/>
    <col min="10513" max="10513" width="25.42578125" style="362" customWidth="1"/>
    <col min="10514" max="10514" width="12.42578125" style="362" customWidth="1"/>
    <col min="10515" max="10515" width="16.42578125" style="362" customWidth="1"/>
    <col min="10516" max="10516" width="13.42578125" style="362" customWidth="1"/>
    <col min="10517" max="10517" width="8.5703125" style="362" customWidth="1"/>
    <col min="10518" max="10521" width="11.42578125" style="362" customWidth="1"/>
    <col min="10522" max="10522" width="12.7109375" style="362" customWidth="1"/>
    <col min="10523" max="10523" width="11.85546875" style="362" customWidth="1"/>
    <col min="10524" max="10524" width="7.85546875" style="362" customWidth="1"/>
    <col min="10525" max="10525" width="7.5703125" style="362" customWidth="1"/>
    <col min="10526" max="10526" width="8.85546875" style="362" customWidth="1"/>
    <col min="10527" max="10527" width="8.140625" style="362" customWidth="1"/>
    <col min="10528" max="10528" width="7.85546875" style="362" customWidth="1"/>
    <col min="10529" max="10529" width="8.5703125" style="362" customWidth="1"/>
    <col min="10530" max="10530" width="8.28515625" style="362" customWidth="1"/>
    <col min="10531" max="10531" width="11.42578125" style="362" customWidth="1"/>
    <col min="10532" max="10532" width="18" style="362" customWidth="1"/>
    <col min="10533" max="10533" width="21.42578125" style="362" customWidth="1"/>
    <col min="10534" max="10534" width="27.85546875" style="362" customWidth="1"/>
    <col min="10535" max="10750" width="11.42578125" style="362"/>
    <col min="10751" max="10751" width="13.5703125" style="362" customWidth="1"/>
    <col min="10752" max="10752" width="19" style="362" customWidth="1"/>
    <col min="10753" max="10753" width="13.5703125" style="362" customWidth="1"/>
    <col min="10754" max="10754" width="19.7109375" style="362" customWidth="1"/>
    <col min="10755" max="10755" width="13.5703125" style="362" customWidth="1"/>
    <col min="10756" max="10757" width="14.7109375" style="362" customWidth="1"/>
    <col min="10758" max="10758" width="36.140625" style="362" customWidth="1"/>
    <col min="10759" max="10759" width="29.42578125" style="362" customWidth="1"/>
    <col min="10760" max="10760" width="16" style="362" customWidth="1"/>
    <col min="10761" max="10761" width="38.28515625" style="362" customWidth="1"/>
    <col min="10762" max="10762" width="12" style="362" customWidth="1"/>
    <col min="10763" max="10763" width="38.140625" style="362" customWidth="1"/>
    <col min="10764" max="10764" width="17.85546875" style="362" bestFit="1" customWidth="1"/>
    <col min="10765" max="10765" width="24.7109375" style="362" customWidth="1"/>
    <col min="10766" max="10766" width="36.42578125" style="362" customWidth="1"/>
    <col min="10767" max="10767" width="46.7109375" style="362" customWidth="1"/>
    <col min="10768" max="10768" width="43.7109375" style="362" customWidth="1"/>
    <col min="10769" max="10769" width="25.42578125" style="362" customWidth="1"/>
    <col min="10770" max="10770" width="12.42578125" style="362" customWidth="1"/>
    <col min="10771" max="10771" width="16.42578125" style="362" customWidth="1"/>
    <col min="10772" max="10772" width="13.42578125" style="362" customWidth="1"/>
    <col min="10773" max="10773" width="8.5703125" style="362" customWidth="1"/>
    <col min="10774" max="10777" width="11.42578125" style="362" customWidth="1"/>
    <col min="10778" max="10778" width="12.7109375" style="362" customWidth="1"/>
    <col min="10779" max="10779" width="11.85546875" style="362" customWidth="1"/>
    <col min="10780" max="10780" width="7.85546875" style="362" customWidth="1"/>
    <col min="10781" max="10781" width="7.5703125" style="362" customWidth="1"/>
    <col min="10782" max="10782" width="8.85546875" style="362" customWidth="1"/>
    <col min="10783" max="10783" width="8.140625" style="362" customWidth="1"/>
    <col min="10784" max="10784" width="7.85546875" style="362" customWidth="1"/>
    <col min="10785" max="10785" width="8.5703125" style="362" customWidth="1"/>
    <col min="10786" max="10786" width="8.28515625" style="362" customWidth="1"/>
    <col min="10787" max="10787" width="11.42578125" style="362" customWidth="1"/>
    <col min="10788" max="10788" width="18" style="362" customWidth="1"/>
    <col min="10789" max="10789" width="21.42578125" style="362" customWidth="1"/>
    <col min="10790" max="10790" width="27.85546875" style="362" customWidth="1"/>
    <col min="10791" max="11006" width="11.42578125" style="362"/>
    <col min="11007" max="11007" width="13.5703125" style="362" customWidth="1"/>
    <col min="11008" max="11008" width="19" style="362" customWidth="1"/>
    <col min="11009" max="11009" width="13.5703125" style="362" customWidth="1"/>
    <col min="11010" max="11010" width="19.7109375" style="362" customWidth="1"/>
    <col min="11011" max="11011" width="13.5703125" style="362" customWidth="1"/>
    <col min="11012" max="11013" width="14.7109375" style="362" customWidth="1"/>
    <col min="11014" max="11014" width="36.140625" style="362" customWidth="1"/>
    <col min="11015" max="11015" width="29.42578125" style="362" customWidth="1"/>
    <col min="11016" max="11016" width="16" style="362" customWidth="1"/>
    <col min="11017" max="11017" width="38.28515625" style="362" customWidth="1"/>
    <col min="11018" max="11018" width="12" style="362" customWidth="1"/>
    <col min="11019" max="11019" width="38.140625" style="362" customWidth="1"/>
    <col min="11020" max="11020" width="17.85546875" style="362" bestFit="1" customWidth="1"/>
    <col min="11021" max="11021" width="24.7109375" style="362" customWidth="1"/>
    <col min="11022" max="11022" width="36.42578125" style="362" customWidth="1"/>
    <col min="11023" max="11023" width="46.7109375" style="362" customWidth="1"/>
    <col min="11024" max="11024" width="43.7109375" style="362" customWidth="1"/>
    <col min="11025" max="11025" width="25.42578125" style="362" customWidth="1"/>
    <col min="11026" max="11026" width="12.42578125" style="362" customWidth="1"/>
    <col min="11027" max="11027" width="16.42578125" style="362" customWidth="1"/>
    <col min="11028" max="11028" width="13.42578125" style="362" customWidth="1"/>
    <col min="11029" max="11029" width="8.5703125" style="362" customWidth="1"/>
    <col min="11030" max="11033" width="11.42578125" style="362" customWidth="1"/>
    <col min="11034" max="11034" width="12.7109375" style="362" customWidth="1"/>
    <col min="11035" max="11035" width="11.85546875" style="362" customWidth="1"/>
    <col min="11036" max="11036" width="7.85546875" style="362" customWidth="1"/>
    <col min="11037" max="11037" width="7.5703125" style="362" customWidth="1"/>
    <col min="11038" max="11038" width="8.85546875" style="362" customWidth="1"/>
    <col min="11039" max="11039" width="8.140625" style="362" customWidth="1"/>
    <col min="11040" max="11040" width="7.85546875" style="362" customWidth="1"/>
    <col min="11041" max="11041" width="8.5703125" style="362" customWidth="1"/>
    <col min="11042" max="11042" width="8.28515625" style="362" customWidth="1"/>
    <col min="11043" max="11043" width="11.42578125" style="362" customWidth="1"/>
    <col min="11044" max="11044" width="18" style="362" customWidth="1"/>
    <col min="11045" max="11045" width="21.42578125" style="362" customWidth="1"/>
    <col min="11046" max="11046" width="27.85546875" style="362" customWidth="1"/>
    <col min="11047" max="11262" width="11.42578125" style="362"/>
    <col min="11263" max="11263" width="13.5703125" style="362" customWidth="1"/>
    <col min="11264" max="11264" width="19" style="362" customWidth="1"/>
    <col min="11265" max="11265" width="13.5703125" style="362" customWidth="1"/>
    <col min="11266" max="11266" width="19.7109375" style="362" customWidth="1"/>
    <col min="11267" max="11267" width="13.5703125" style="362" customWidth="1"/>
    <col min="11268" max="11269" width="14.7109375" style="362" customWidth="1"/>
    <col min="11270" max="11270" width="36.140625" style="362" customWidth="1"/>
    <col min="11271" max="11271" width="29.42578125" style="362" customWidth="1"/>
    <col min="11272" max="11272" width="16" style="362" customWidth="1"/>
    <col min="11273" max="11273" width="38.28515625" style="362" customWidth="1"/>
    <col min="11274" max="11274" width="12" style="362" customWidth="1"/>
    <col min="11275" max="11275" width="38.140625" style="362" customWidth="1"/>
    <col min="11276" max="11276" width="17.85546875" style="362" bestFit="1" customWidth="1"/>
    <col min="11277" max="11277" width="24.7109375" style="362" customWidth="1"/>
    <col min="11278" max="11278" width="36.42578125" style="362" customWidth="1"/>
    <col min="11279" max="11279" width="46.7109375" style="362" customWidth="1"/>
    <col min="11280" max="11280" width="43.7109375" style="362" customWidth="1"/>
    <col min="11281" max="11281" width="25.42578125" style="362" customWidth="1"/>
    <col min="11282" max="11282" width="12.42578125" style="362" customWidth="1"/>
    <col min="11283" max="11283" width="16.42578125" style="362" customWidth="1"/>
    <col min="11284" max="11284" width="13.42578125" style="362" customWidth="1"/>
    <col min="11285" max="11285" width="8.5703125" style="362" customWidth="1"/>
    <col min="11286" max="11289" width="11.42578125" style="362" customWidth="1"/>
    <col min="11290" max="11290" width="12.7109375" style="362" customWidth="1"/>
    <col min="11291" max="11291" width="11.85546875" style="362" customWidth="1"/>
    <col min="11292" max="11292" width="7.85546875" style="362" customWidth="1"/>
    <col min="11293" max="11293" width="7.5703125" style="362" customWidth="1"/>
    <col min="11294" max="11294" width="8.85546875" style="362" customWidth="1"/>
    <col min="11295" max="11295" width="8.140625" style="362" customWidth="1"/>
    <col min="11296" max="11296" width="7.85546875" style="362" customWidth="1"/>
    <col min="11297" max="11297" width="8.5703125" style="362" customWidth="1"/>
    <col min="11298" max="11298" width="8.28515625" style="362" customWidth="1"/>
    <col min="11299" max="11299" width="11.42578125" style="362" customWidth="1"/>
    <col min="11300" max="11300" width="18" style="362" customWidth="1"/>
    <col min="11301" max="11301" width="21.42578125" style="362" customWidth="1"/>
    <col min="11302" max="11302" width="27.85546875" style="362" customWidth="1"/>
    <col min="11303" max="11518" width="11.42578125" style="362"/>
    <col min="11519" max="11519" width="13.5703125" style="362" customWidth="1"/>
    <col min="11520" max="11520" width="19" style="362" customWidth="1"/>
    <col min="11521" max="11521" width="13.5703125" style="362" customWidth="1"/>
    <col min="11522" max="11522" width="19.7109375" style="362" customWidth="1"/>
    <col min="11523" max="11523" width="13.5703125" style="362" customWidth="1"/>
    <col min="11524" max="11525" width="14.7109375" style="362" customWidth="1"/>
    <col min="11526" max="11526" width="36.140625" style="362" customWidth="1"/>
    <col min="11527" max="11527" width="29.42578125" style="362" customWidth="1"/>
    <col min="11528" max="11528" width="16" style="362" customWidth="1"/>
    <col min="11529" max="11529" width="38.28515625" style="362" customWidth="1"/>
    <col min="11530" max="11530" width="12" style="362" customWidth="1"/>
    <col min="11531" max="11531" width="38.140625" style="362" customWidth="1"/>
    <col min="11532" max="11532" width="17.85546875" style="362" bestFit="1" customWidth="1"/>
    <col min="11533" max="11533" width="24.7109375" style="362" customWidth="1"/>
    <col min="11534" max="11534" width="36.42578125" style="362" customWidth="1"/>
    <col min="11535" max="11535" width="46.7109375" style="362" customWidth="1"/>
    <col min="11536" max="11536" width="43.7109375" style="362" customWidth="1"/>
    <col min="11537" max="11537" width="25.42578125" style="362" customWidth="1"/>
    <col min="11538" max="11538" width="12.42578125" style="362" customWidth="1"/>
    <col min="11539" max="11539" width="16.42578125" style="362" customWidth="1"/>
    <col min="11540" max="11540" width="13.42578125" style="362" customWidth="1"/>
    <col min="11541" max="11541" width="8.5703125" style="362" customWidth="1"/>
    <col min="11542" max="11545" width="11.42578125" style="362" customWidth="1"/>
    <col min="11546" max="11546" width="12.7109375" style="362" customWidth="1"/>
    <col min="11547" max="11547" width="11.85546875" style="362" customWidth="1"/>
    <col min="11548" max="11548" width="7.85546875" style="362" customWidth="1"/>
    <col min="11549" max="11549" width="7.5703125" style="362" customWidth="1"/>
    <col min="11550" max="11550" width="8.85546875" style="362" customWidth="1"/>
    <col min="11551" max="11551" width="8.140625" style="362" customWidth="1"/>
    <col min="11552" max="11552" width="7.85546875" style="362" customWidth="1"/>
    <col min="11553" max="11553" width="8.5703125" style="362" customWidth="1"/>
    <col min="11554" max="11554" width="8.28515625" style="362" customWidth="1"/>
    <col min="11555" max="11555" width="11.42578125" style="362" customWidth="1"/>
    <col min="11556" max="11556" width="18" style="362" customWidth="1"/>
    <col min="11557" max="11557" width="21.42578125" style="362" customWidth="1"/>
    <col min="11558" max="11558" width="27.85546875" style="362" customWidth="1"/>
    <col min="11559" max="11774" width="11.42578125" style="362"/>
    <col min="11775" max="11775" width="13.5703125" style="362" customWidth="1"/>
    <col min="11776" max="11776" width="19" style="362" customWidth="1"/>
    <col min="11777" max="11777" width="13.5703125" style="362" customWidth="1"/>
    <col min="11778" max="11778" width="19.7109375" style="362" customWidth="1"/>
    <col min="11779" max="11779" width="13.5703125" style="362" customWidth="1"/>
    <col min="11780" max="11781" width="14.7109375" style="362" customWidth="1"/>
    <col min="11782" max="11782" width="36.140625" style="362" customWidth="1"/>
    <col min="11783" max="11783" width="29.42578125" style="362" customWidth="1"/>
    <col min="11784" max="11784" width="16" style="362" customWidth="1"/>
    <col min="11785" max="11785" width="38.28515625" style="362" customWidth="1"/>
    <col min="11786" max="11786" width="12" style="362" customWidth="1"/>
    <col min="11787" max="11787" width="38.140625" style="362" customWidth="1"/>
    <col min="11788" max="11788" width="17.85546875" style="362" bestFit="1" customWidth="1"/>
    <col min="11789" max="11789" width="24.7109375" style="362" customWidth="1"/>
    <col min="11790" max="11790" width="36.42578125" style="362" customWidth="1"/>
    <col min="11791" max="11791" width="46.7109375" style="362" customWidth="1"/>
    <col min="11792" max="11792" width="43.7109375" style="362" customWidth="1"/>
    <col min="11793" max="11793" width="25.42578125" style="362" customWidth="1"/>
    <col min="11794" max="11794" width="12.42578125" style="362" customWidth="1"/>
    <col min="11795" max="11795" width="16.42578125" style="362" customWidth="1"/>
    <col min="11796" max="11796" width="13.42578125" style="362" customWidth="1"/>
    <col min="11797" max="11797" width="8.5703125" style="362" customWidth="1"/>
    <col min="11798" max="11801" width="11.42578125" style="362" customWidth="1"/>
    <col min="11802" max="11802" width="12.7109375" style="362" customWidth="1"/>
    <col min="11803" max="11803" width="11.85546875" style="362" customWidth="1"/>
    <col min="11804" max="11804" width="7.85546875" style="362" customWidth="1"/>
    <col min="11805" max="11805" width="7.5703125" style="362" customWidth="1"/>
    <col min="11806" max="11806" width="8.85546875" style="362" customWidth="1"/>
    <col min="11807" max="11807" width="8.140625" style="362" customWidth="1"/>
    <col min="11808" max="11808" width="7.85546875" style="362" customWidth="1"/>
    <col min="11809" max="11809" width="8.5703125" style="362" customWidth="1"/>
    <col min="11810" max="11810" width="8.28515625" style="362" customWidth="1"/>
    <col min="11811" max="11811" width="11.42578125" style="362" customWidth="1"/>
    <col min="11812" max="11812" width="18" style="362" customWidth="1"/>
    <col min="11813" max="11813" width="21.42578125" style="362" customWidth="1"/>
    <col min="11814" max="11814" width="27.85546875" style="362" customWidth="1"/>
    <col min="11815" max="12030" width="11.42578125" style="362"/>
    <col min="12031" max="12031" width="13.5703125" style="362" customWidth="1"/>
    <col min="12032" max="12032" width="19" style="362" customWidth="1"/>
    <col min="12033" max="12033" width="13.5703125" style="362" customWidth="1"/>
    <col min="12034" max="12034" width="19.7109375" style="362" customWidth="1"/>
    <col min="12035" max="12035" width="13.5703125" style="362" customWidth="1"/>
    <col min="12036" max="12037" width="14.7109375" style="362" customWidth="1"/>
    <col min="12038" max="12038" width="36.140625" style="362" customWidth="1"/>
    <col min="12039" max="12039" width="29.42578125" style="362" customWidth="1"/>
    <col min="12040" max="12040" width="16" style="362" customWidth="1"/>
    <col min="12041" max="12041" width="38.28515625" style="362" customWidth="1"/>
    <col min="12042" max="12042" width="12" style="362" customWidth="1"/>
    <col min="12043" max="12043" width="38.140625" style="362" customWidth="1"/>
    <col min="12044" max="12044" width="17.85546875" style="362" bestFit="1" customWidth="1"/>
    <col min="12045" max="12045" width="24.7109375" style="362" customWidth="1"/>
    <col min="12046" max="12046" width="36.42578125" style="362" customWidth="1"/>
    <col min="12047" max="12047" width="46.7109375" style="362" customWidth="1"/>
    <col min="12048" max="12048" width="43.7109375" style="362" customWidth="1"/>
    <col min="12049" max="12049" width="25.42578125" style="362" customWidth="1"/>
    <col min="12050" max="12050" width="12.42578125" style="362" customWidth="1"/>
    <col min="12051" max="12051" width="16.42578125" style="362" customWidth="1"/>
    <col min="12052" max="12052" width="13.42578125" style="362" customWidth="1"/>
    <col min="12053" max="12053" width="8.5703125" style="362" customWidth="1"/>
    <col min="12054" max="12057" width="11.42578125" style="362" customWidth="1"/>
    <col min="12058" max="12058" width="12.7109375" style="362" customWidth="1"/>
    <col min="12059" max="12059" width="11.85546875" style="362" customWidth="1"/>
    <col min="12060" max="12060" width="7.85546875" style="362" customWidth="1"/>
    <col min="12061" max="12061" width="7.5703125" style="362" customWidth="1"/>
    <col min="12062" max="12062" width="8.85546875" style="362" customWidth="1"/>
    <col min="12063" max="12063" width="8.140625" style="362" customWidth="1"/>
    <col min="12064" max="12064" width="7.85546875" style="362" customWidth="1"/>
    <col min="12065" max="12065" width="8.5703125" style="362" customWidth="1"/>
    <col min="12066" max="12066" width="8.28515625" style="362" customWidth="1"/>
    <col min="12067" max="12067" width="11.42578125" style="362" customWidth="1"/>
    <col min="12068" max="12068" width="18" style="362" customWidth="1"/>
    <col min="12069" max="12069" width="21.42578125" style="362" customWidth="1"/>
    <col min="12070" max="12070" width="27.85546875" style="362" customWidth="1"/>
    <col min="12071" max="12286" width="11.42578125" style="362"/>
    <col min="12287" max="12287" width="13.5703125" style="362" customWidth="1"/>
    <col min="12288" max="12288" width="19" style="362" customWidth="1"/>
    <col min="12289" max="12289" width="13.5703125" style="362" customWidth="1"/>
    <col min="12290" max="12290" width="19.7109375" style="362" customWidth="1"/>
    <col min="12291" max="12291" width="13.5703125" style="362" customWidth="1"/>
    <col min="12292" max="12293" width="14.7109375" style="362" customWidth="1"/>
    <col min="12294" max="12294" width="36.140625" style="362" customWidth="1"/>
    <col min="12295" max="12295" width="29.42578125" style="362" customWidth="1"/>
    <col min="12296" max="12296" width="16" style="362" customWidth="1"/>
    <col min="12297" max="12297" width="38.28515625" style="362" customWidth="1"/>
    <col min="12298" max="12298" width="12" style="362" customWidth="1"/>
    <col min="12299" max="12299" width="38.140625" style="362" customWidth="1"/>
    <col min="12300" max="12300" width="17.85546875" style="362" bestFit="1" customWidth="1"/>
    <col min="12301" max="12301" width="24.7109375" style="362" customWidth="1"/>
    <col min="12302" max="12302" width="36.42578125" style="362" customWidth="1"/>
    <col min="12303" max="12303" width="46.7109375" style="362" customWidth="1"/>
    <col min="12304" max="12304" width="43.7109375" style="362" customWidth="1"/>
    <col min="12305" max="12305" width="25.42578125" style="362" customWidth="1"/>
    <col min="12306" max="12306" width="12.42578125" style="362" customWidth="1"/>
    <col min="12307" max="12307" width="16.42578125" style="362" customWidth="1"/>
    <col min="12308" max="12308" width="13.42578125" style="362" customWidth="1"/>
    <col min="12309" max="12309" width="8.5703125" style="362" customWidth="1"/>
    <col min="12310" max="12313" width="11.42578125" style="362" customWidth="1"/>
    <col min="12314" max="12314" width="12.7109375" style="362" customWidth="1"/>
    <col min="12315" max="12315" width="11.85546875" style="362" customWidth="1"/>
    <col min="12316" max="12316" width="7.85546875" style="362" customWidth="1"/>
    <col min="12317" max="12317" width="7.5703125" style="362" customWidth="1"/>
    <col min="12318" max="12318" width="8.85546875" style="362" customWidth="1"/>
    <col min="12319" max="12319" width="8.140625" style="362" customWidth="1"/>
    <col min="12320" max="12320" width="7.85546875" style="362" customWidth="1"/>
    <col min="12321" max="12321" width="8.5703125" style="362" customWidth="1"/>
    <col min="12322" max="12322" width="8.28515625" style="362" customWidth="1"/>
    <col min="12323" max="12323" width="11.42578125" style="362" customWidth="1"/>
    <col min="12324" max="12324" width="18" style="362" customWidth="1"/>
    <col min="12325" max="12325" width="21.42578125" style="362" customWidth="1"/>
    <col min="12326" max="12326" width="27.85546875" style="362" customWidth="1"/>
    <col min="12327" max="12542" width="11.42578125" style="362"/>
    <col min="12543" max="12543" width="13.5703125" style="362" customWidth="1"/>
    <col min="12544" max="12544" width="19" style="362" customWidth="1"/>
    <col min="12545" max="12545" width="13.5703125" style="362" customWidth="1"/>
    <col min="12546" max="12546" width="19.7109375" style="362" customWidth="1"/>
    <col min="12547" max="12547" width="13.5703125" style="362" customWidth="1"/>
    <col min="12548" max="12549" width="14.7109375" style="362" customWidth="1"/>
    <col min="12550" max="12550" width="36.140625" style="362" customWidth="1"/>
    <col min="12551" max="12551" width="29.42578125" style="362" customWidth="1"/>
    <col min="12552" max="12552" width="16" style="362" customWidth="1"/>
    <col min="12553" max="12553" width="38.28515625" style="362" customWidth="1"/>
    <col min="12554" max="12554" width="12" style="362" customWidth="1"/>
    <col min="12555" max="12555" width="38.140625" style="362" customWidth="1"/>
    <col min="12556" max="12556" width="17.85546875" style="362" bestFit="1" customWidth="1"/>
    <col min="12557" max="12557" width="24.7109375" style="362" customWidth="1"/>
    <col min="12558" max="12558" width="36.42578125" style="362" customWidth="1"/>
    <col min="12559" max="12559" width="46.7109375" style="362" customWidth="1"/>
    <col min="12560" max="12560" width="43.7109375" style="362" customWidth="1"/>
    <col min="12561" max="12561" width="25.42578125" style="362" customWidth="1"/>
    <col min="12562" max="12562" width="12.42578125" style="362" customWidth="1"/>
    <col min="12563" max="12563" width="16.42578125" style="362" customWidth="1"/>
    <col min="12564" max="12564" width="13.42578125" style="362" customWidth="1"/>
    <col min="12565" max="12565" width="8.5703125" style="362" customWidth="1"/>
    <col min="12566" max="12569" width="11.42578125" style="362" customWidth="1"/>
    <col min="12570" max="12570" width="12.7109375" style="362" customWidth="1"/>
    <col min="12571" max="12571" width="11.85546875" style="362" customWidth="1"/>
    <col min="12572" max="12572" width="7.85546875" style="362" customWidth="1"/>
    <col min="12573" max="12573" width="7.5703125" style="362" customWidth="1"/>
    <col min="12574" max="12574" width="8.85546875" style="362" customWidth="1"/>
    <col min="12575" max="12575" width="8.140625" style="362" customWidth="1"/>
    <col min="12576" max="12576" width="7.85546875" style="362" customWidth="1"/>
    <col min="12577" max="12577" width="8.5703125" style="362" customWidth="1"/>
    <col min="12578" max="12578" width="8.28515625" style="362" customWidth="1"/>
    <col min="12579" max="12579" width="11.42578125" style="362" customWidth="1"/>
    <col min="12580" max="12580" width="18" style="362" customWidth="1"/>
    <col min="12581" max="12581" width="21.42578125" style="362" customWidth="1"/>
    <col min="12582" max="12582" width="27.85546875" style="362" customWidth="1"/>
    <col min="12583" max="12798" width="11.42578125" style="362"/>
    <col min="12799" max="12799" width="13.5703125" style="362" customWidth="1"/>
    <col min="12800" max="12800" width="19" style="362" customWidth="1"/>
    <col min="12801" max="12801" width="13.5703125" style="362" customWidth="1"/>
    <col min="12802" max="12802" width="19.7109375" style="362" customWidth="1"/>
    <col min="12803" max="12803" width="13.5703125" style="362" customWidth="1"/>
    <col min="12804" max="12805" width="14.7109375" style="362" customWidth="1"/>
    <col min="12806" max="12806" width="36.140625" style="362" customWidth="1"/>
    <col min="12807" max="12807" width="29.42578125" style="362" customWidth="1"/>
    <col min="12808" max="12808" width="16" style="362" customWidth="1"/>
    <col min="12809" max="12809" width="38.28515625" style="362" customWidth="1"/>
    <col min="12810" max="12810" width="12" style="362" customWidth="1"/>
    <col min="12811" max="12811" width="38.140625" style="362" customWidth="1"/>
    <col min="12812" max="12812" width="17.85546875" style="362" bestFit="1" customWidth="1"/>
    <col min="12813" max="12813" width="24.7109375" style="362" customWidth="1"/>
    <col min="12814" max="12814" width="36.42578125" style="362" customWidth="1"/>
    <col min="12815" max="12815" width="46.7109375" style="362" customWidth="1"/>
    <col min="12816" max="12816" width="43.7109375" style="362" customWidth="1"/>
    <col min="12817" max="12817" width="25.42578125" style="362" customWidth="1"/>
    <col min="12818" max="12818" width="12.42578125" style="362" customWidth="1"/>
    <col min="12819" max="12819" width="16.42578125" style="362" customWidth="1"/>
    <col min="12820" max="12820" width="13.42578125" style="362" customWidth="1"/>
    <col min="12821" max="12821" width="8.5703125" style="362" customWidth="1"/>
    <col min="12822" max="12825" width="11.42578125" style="362" customWidth="1"/>
    <col min="12826" max="12826" width="12.7109375" style="362" customWidth="1"/>
    <col min="12827" max="12827" width="11.85546875" style="362" customWidth="1"/>
    <col min="12828" max="12828" width="7.85546875" style="362" customWidth="1"/>
    <col min="12829" max="12829" width="7.5703125" style="362" customWidth="1"/>
    <col min="12830" max="12830" width="8.85546875" style="362" customWidth="1"/>
    <col min="12831" max="12831" width="8.140625" style="362" customWidth="1"/>
    <col min="12832" max="12832" width="7.85546875" style="362" customWidth="1"/>
    <col min="12833" max="12833" width="8.5703125" style="362" customWidth="1"/>
    <col min="12834" max="12834" width="8.28515625" style="362" customWidth="1"/>
    <col min="12835" max="12835" width="11.42578125" style="362" customWidth="1"/>
    <col min="12836" max="12836" width="18" style="362" customWidth="1"/>
    <col min="12837" max="12837" width="21.42578125" style="362" customWidth="1"/>
    <col min="12838" max="12838" width="27.85546875" style="362" customWidth="1"/>
    <col min="12839" max="13054" width="11.42578125" style="362"/>
    <col min="13055" max="13055" width="13.5703125" style="362" customWidth="1"/>
    <col min="13056" max="13056" width="19" style="362" customWidth="1"/>
    <col min="13057" max="13057" width="13.5703125" style="362" customWidth="1"/>
    <col min="13058" max="13058" width="19.7109375" style="362" customWidth="1"/>
    <col min="13059" max="13059" width="13.5703125" style="362" customWidth="1"/>
    <col min="13060" max="13061" width="14.7109375" style="362" customWidth="1"/>
    <col min="13062" max="13062" width="36.140625" style="362" customWidth="1"/>
    <col min="13063" max="13063" width="29.42578125" style="362" customWidth="1"/>
    <col min="13064" max="13064" width="16" style="362" customWidth="1"/>
    <col min="13065" max="13065" width="38.28515625" style="362" customWidth="1"/>
    <col min="13066" max="13066" width="12" style="362" customWidth="1"/>
    <col min="13067" max="13067" width="38.140625" style="362" customWidth="1"/>
    <col min="13068" max="13068" width="17.85546875" style="362" bestFit="1" customWidth="1"/>
    <col min="13069" max="13069" width="24.7109375" style="362" customWidth="1"/>
    <col min="13070" max="13070" width="36.42578125" style="362" customWidth="1"/>
    <col min="13071" max="13071" width="46.7109375" style="362" customWidth="1"/>
    <col min="13072" max="13072" width="43.7109375" style="362" customWidth="1"/>
    <col min="13073" max="13073" width="25.42578125" style="362" customWidth="1"/>
    <col min="13074" max="13074" width="12.42578125" style="362" customWidth="1"/>
    <col min="13075" max="13075" width="16.42578125" style="362" customWidth="1"/>
    <col min="13076" max="13076" width="13.42578125" style="362" customWidth="1"/>
    <col min="13077" max="13077" width="8.5703125" style="362" customWidth="1"/>
    <col min="13078" max="13081" width="11.42578125" style="362" customWidth="1"/>
    <col min="13082" max="13082" width="12.7109375" style="362" customWidth="1"/>
    <col min="13083" max="13083" width="11.85546875" style="362" customWidth="1"/>
    <col min="13084" max="13084" width="7.85546875" style="362" customWidth="1"/>
    <col min="13085" max="13085" width="7.5703125" style="362" customWidth="1"/>
    <col min="13086" max="13086" width="8.85546875" style="362" customWidth="1"/>
    <col min="13087" max="13087" width="8.140625" style="362" customWidth="1"/>
    <col min="13088" max="13088" width="7.85546875" style="362" customWidth="1"/>
    <col min="13089" max="13089" width="8.5703125" style="362" customWidth="1"/>
    <col min="13090" max="13090" width="8.28515625" style="362" customWidth="1"/>
    <col min="13091" max="13091" width="11.42578125" style="362" customWidth="1"/>
    <col min="13092" max="13092" width="18" style="362" customWidth="1"/>
    <col min="13093" max="13093" width="21.42578125" style="362" customWidth="1"/>
    <col min="13094" max="13094" width="27.85546875" style="362" customWidth="1"/>
    <col min="13095" max="13310" width="11.42578125" style="362"/>
    <col min="13311" max="13311" width="13.5703125" style="362" customWidth="1"/>
    <col min="13312" max="13312" width="19" style="362" customWidth="1"/>
    <col min="13313" max="13313" width="13.5703125" style="362" customWidth="1"/>
    <col min="13314" max="13314" width="19.7109375" style="362" customWidth="1"/>
    <col min="13315" max="13315" width="13.5703125" style="362" customWidth="1"/>
    <col min="13316" max="13317" width="14.7109375" style="362" customWidth="1"/>
    <col min="13318" max="13318" width="36.140625" style="362" customWidth="1"/>
    <col min="13319" max="13319" width="29.42578125" style="362" customWidth="1"/>
    <col min="13320" max="13320" width="16" style="362" customWidth="1"/>
    <col min="13321" max="13321" width="38.28515625" style="362" customWidth="1"/>
    <col min="13322" max="13322" width="12" style="362" customWidth="1"/>
    <col min="13323" max="13323" width="38.140625" style="362" customWidth="1"/>
    <col min="13324" max="13324" width="17.85546875" style="362" bestFit="1" customWidth="1"/>
    <col min="13325" max="13325" width="24.7109375" style="362" customWidth="1"/>
    <col min="13326" max="13326" width="36.42578125" style="362" customWidth="1"/>
    <col min="13327" max="13327" width="46.7109375" style="362" customWidth="1"/>
    <col min="13328" max="13328" width="43.7109375" style="362" customWidth="1"/>
    <col min="13329" max="13329" width="25.42578125" style="362" customWidth="1"/>
    <col min="13330" max="13330" width="12.42578125" style="362" customWidth="1"/>
    <col min="13331" max="13331" width="16.42578125" style="362" customWidth="1"/>
    <col min="13332" max="13332" width="13.42578125" style="362" customWidth="1"/>
    <col min="13333" max="13333" width="8.5703125" style="362" customWidth="1"/>
    <col min="13334" max="13337" width="11.42578125" style="362" customWidth="1"/>
    <col min="13338" max="13338" width="12.7109375" style="362" customWidth="1"/>
    <col min="13339" max="13339" width="11.85546875" style="362" customWidth="1"/>
    <col min="13340" max="13340" width="7.85546875" style="362" customWidth="1"/>
    <col min="13341" max="13341" width="7.5703125" style="362" customWidth="1"/>
    <col min="13342" max="13342" width="8.85546875" style="362" customWidth="1"/>
    <col min="13343" max="13343" width="8.140625" style="362" customWidth="1"/>
    <col min="13344" max="13344" width="7.85546875" style="362" customWidth="1"/>
    <col min="13345" max="13345" width="8.5703125" style="362" customWidth="1"/>
    <col min="13346" max="13346" width="8.28515625" style="362" customWidth="1"/>
    <col min="13347" max="13347" width="11.42578125" style="362" customWidth="1"/>
    <col min="13348" max="13348" width="18" style="362" customWidth="1"/>
    <col min="13349" max="13349" width="21.42578125" style="362" customWidth="1"/>
    <col min="13350" max="13350" width="27.85546875" style="362" customWidth="1"/>
    <col min="13351" max="13566" width="11.42578125" style="362"/>
    <col min="13567" max="13567" width="13.5703125" style="362" customWidth="1"/>
    <col min="13568" max="13568" width="19" style="362" customWidth="1"/>
    <col min="13569" max="13569" width="13.5703125" style="362" customWidth="1"/>
    <col min="13570" max="13570" width="19.7109375" style="362" customWidth="1"/>
    <col min="13571" max="13571" width="13.5703125" style="362" customWidth="1"/>
    <col min="13572" max="13573" width="14.7109375" style="362" customWidth="1"/>
    <col min="13574" max="13574" width="36.140625" style="362" customWidth="1"/>
    <col min="13575" max="13575" width="29.42578125" style="362" customWidth="1"/>
    <col min="13576" max="13576" width="16" style="362" customWidth="1"/>
    <col min="13577" max="13577" width="38.28515625" style="362" customWidth="1"/>
    <col min="13578" max="13578" width="12" style="362" customWidth="1"/>
    <col min="13579" max="13579" width="38.140625" style="362" customWidth="1"/>
    <col min="13580" max="13580" width="17.85546875" style="362" bestFit="1" customWidth="1"/>
    <col min="13581" max="13581" width="24.7109375" style="362" customWidth="1"/>
    <col min="13582" max="13582" width="36.42578125" style="362" customWidth="1"/>
    <col min="13583" max="13583" width="46.7109375" style="362" customWidth="1"/>
    <col min="13584" max="13584" width="43.7109375" style="362" customWidth="1"/>
    <col min="13585" max="13585" width="25.42578125" style="362" customWidth="1"/>
    <col min="13586" max="13586" width="12.42578125" style="362" customWidth="1"/>
    <col min="13587" max="13587" width="16.42578125" style="362" customWidth="1"/>
    <col min="13588" max="13588" width="13.42578125" style="362" customWidth="1"/>
    <col min="13589" max="13589" width="8.5703125" style="362" customWidth="1"/>
    <col min="13590" max="13593" width="11.42578125" style="362" customWidth="1"/>
    <col min="13594" max="13594" width="12.7109375" style="362" customWidth="1"/>
    <col min="13595" max="13595" width="11.85546875" style="362" customWidth="1"/>
    <col min="13596" max="13596" width="7.85546875" style="362" customWidth="1"/>
    <col min="13597" max="13597" width="7.5703125" style="362" customWidth="1"/>
    <col min="13598" max="13598" width="8.85546875" style="362" customWidth="1"/>
    <col min="13599" max="13599" width="8.140625" style="362" customWidth="1"/>
    <col min="13600" max="13600" width="7.85546875" style="362" customWidth="1"/>
    <col min="13601" max="13601" width="8.5703125" style="362" customWidth="1"/>
    <col min="13602" max="13602" width="8.28515625" style="362" customWidth="1"/>
    <col min="13603" max="13603" width="11.42578125" style="362" customWidth="1"/>
    <col min="13604" max="13604" width="18" style="362" customWidth="1"/>
    <col min="13605" max="13605" width="21.42578125" style="362" customWidth="1"/>
    <col min="13606" max="13606" width="27.85546875" style="362" customWidth="1"/>
    <col min="13607" max="13822" width="11.42578125" style="362"/>
    <col min="13823" max="13823" width="13.5703125" style="362" customWidth="1"/>
    <col min="13824" max="13824" width="19" style="362" customWidth="1"/>
    <col min="13825" max="13825" width="13.5703125" style="362" customWidth="1"/>
    <col min="13826" max="13826" width="19.7109375" style="362" customWidth="1"/>
    <col min="13827" max="13827" width="13.5703125" style="362" customWidth="1"/>
    <col min="13828" max="13829" width="14.7109375" style="362" customWidth="1"/>
    <col min="13830" max="13830" width="36.140625" style="362" customWidth="1"/>
    <col min="13831" max="13831" width="29.42578125" style="362" customWidth="1"/>
    <col min="13832" max="13832" width="16" style="362" customWidth="1"/>
    <col min="13833" max="13833" width="38.28515625" style="362" customWidth="1"/>
    <col min="13834" max="13834" width="12" style="362" customWidth="1"/>
    <col min="13835" max="13835" width="38.140625" style="362" customWidth="1"/>
    <col min="13836" max="13836" width="17.85546875" style="362" bestFit="1" customWidth="1"/>
    <col min="13837" max="13837" width="24.7109375" style="362" customWidth="1"/>
    <col min="13838" max="13838" width="36.42578125" style="362" customWidth="1"/>
    <col min="13839" max="13839" width="46.7109375" style="362" customWidth="1"/>
    <col min="13840" max="13840" width="43.7109375" style="362" customWidth="1"/>
    <col min="13841" max="13841" width="25.42578125" style="362" customWidth="1"/>
    <col min="13842" max="13842" width="12.42578125" style="362" customWidth="1"/>
    <col min="13843" max="13843" width="16.42578125" style="362" customWidth="1"/>
    <col min="13844" max="13844" width="13.42578125" style="362" customWidth="1"/>
    <col min="13845" max="13845" width="8.5703125" style="362" customWidth="1"/>
    <col min="13846" max="13849" width="11.42578125" style="362" customWidth="1"/>
    <col min="13850" max="13850" width="12.7109375" style="362" customWidth="1"/>
    <col min="13851" max="13851" width="11.85546875" style="362" customWidth="1"/>
    <col min="13852" max="13852" width="7.85546875" style="362" customWidth="1"/>
    <col min="13853" max="13853" width="7.5703125" style="362" customWidth="1"/>
    <col min="13854" max="13854" width="8.85546875" style="362" customWidth="1"/>
    <col min="13855" max="13855" width="8.140625" style="362" customWidth="1"/>
    <col min="13856" max="13856" width="7.85546875" style="362" customWidth="1"/>
    <col min="13857" max="13857" width="8.5703125" style="362" customWidth="1"/>
    <col min="13858" max="13858" width="8.28515625" style="362" customWidth="1"/>
    <col min="13859" max="13859" width="11.42578125" style="362" customWidth="1"/>
    <col min="13860" max="13860" width="18" style="362" customWidth="1"/>
    <col min="13861" max="13861" width="21.42578125" style="362" customWidth="1"/>
    <col min="13862" max="13862" width="27.85546875" style="362" customWidth="1"/>
    <col min="13863" max="14078" width="11.42578125" style="362"/>
    <col min="14079" max="14079" width="13.5703125" style="362" customWidth="1"/>
    <col min="14080" max="14080" width="19" style="362" customWidth="1"/>
    <col min="14081" max="14081" width="13.5703125" style="362" customWidth="1"/>
    <col min="14082" max="14082" width="19.7109375" style="362" customWidth="1"/>
    <col min="14083" max="14083" width="13.5703125" style="362" customWidth="1"/>
    <col min="14084" max="14085" width="14.7109375" style="362" customWidth="1"/>
    <col min="14086" max="14086" width="36.140625" style="362" customWidth="1"/>
    <col min="14087" max="14087" width="29.42578125" style="362" customWidth="1"/>
    <col min="14088" max="14088" width="16" style="362" customWidth="1"/>
    <col min="14089" max="14089" width="38.28515625" style="362" customWidth="1"/>
    <col min="14090" max="14090" width="12" style="362" customWidth="1"/>
    <col min="14091" max="14091" width="38.140625" style="362" customWidth="1"/>
    <col min="14092" max="14092" width="17.85546875" style="362" bestFit="1" customWidth="1"/>
    <col min="14093" max="14093" width="24.7109375" style="362" customWidth="1"/>
    <col min="14094" max="14094" width="36.42578125" style="362" customWidth="1"/>
    <col min="14095" max="14095" width="46.7109375" style="362" customWidth="1"/>
    <col min="14096" max="14096" width="43.7109375" style="362" customWidth="1"/>
    <col min="14097" max="14097" width="25.42578125" style="362" customWidth="1"/>
    <col min="14098" max="14098" width="12.42578125" style="362" customWidth="1"/>
    <col min="14099" max="14099" width="16.42578125" style="362" customWidth="1"/>
    <col min="14100" max="14100" width="13.42578125" style="362" customWidth="1"/>
    <col min="14101" max="14101" width="8.5703125" style="362" customWidth="1"/>
    <col min="14102" max="14105" width="11.42578125" style="362" customWidth="1"/>
    <col min="14106" max="14106" width="12.7109375" style="362" customWidth="1"/>
    <col min="14107" max="14107" width="11.85546875" style="362" customWidth="1"/>
    <col min="14108" max="14108" width="7.85546875" style="362" customWidth="1"/>
    <col min="14109" max="14109" width="7.5703125" style="362" customWidth="1"/>
    <col min="14110" max="14110" width="8.85546875" style="362" customWidth="1"/>
    <col min="14111" max="14111" width="8.140625" style="362" customWidth="1"/>
    <col min="14112" max="14112" width="7.85546875" style="362" customWidth="1"/>
    <col min="14113" max="14113" width="8.5703125" style="362" customWidth="1"/>
    <col min="14114" max="14114" width="8.28515625" style="362" customWidth="1"/>
    <col min="14115" max="14115" width="11.42578125" style="362" customWidth="1"/>
    <col min="14116" max="14116" width="18" style="362" customWidth="1"/>
    <col min="14117" max="14117" width="21.42578125" style="362" customWidth="1"/>
    <col min="14118" max="14118" width="27.85546875" style="362" customWidth="1"/>
    <col min="14119" max="14334" width="11.42578125" style="362"/>
    <col min="14335" max="14335" width="13.5703125" style="362" customWidth="1"/>
    <col min="14336" max="14336" width="19" style="362" customWidth="1"/>
    <col min="14337" max="14337" width="13.5703125" style="362" customWidth="1"/>
    <col min="14338" max="14338" width="19.7109375" style="362" customWidth="1"/>
    <col min="14339" max="14339" width="13.5703125" style="362" customWidth="1"/>
    <col min="14340" max="14341" width="14.7109375" style="362" customWidth="1"/>
    <col min="14342" max="14342" width="36.140625" style="362" customWidth="1"/>
    <col min="14343" max="14343" width="29.42578125" style="362" customWidth="1"/>
    <col min="14344" max="14344" width="16" style="362" customWidth="1"/>
    <col min="14345" max="14345" width="38.28515625" style="362" customWidth="1"/>
    <col min="14346" max="14346" width="12" style="362" customWidth="1"/>
    <col min="14347" max="14347" width="38.140625" style="362" customWidth="1"/>
    <col min="14348" max="14348" width="17.85546875" style="362" bestFit="1" customWidth="1"/>
    <col min="14349" max="14349" width="24.7109375" style="362" customWidth="1"/>
    <col min="14350" max="14350" width="36.42578125" style="362" customWidth="1"/>
    <col min="14351" max="14351" width="46.7109375" style="362" customWidth="1"/>
    <col min="14352" max="14352" width="43.7109375" style="362" customWidth="1"/>
    <col min="14353" max="14353" width="25.42578125" style="362" customWidth="1"/>
    <col min="14354" max="14354" width="12.42578125" style="362" customWidth="1"/>
    <col min="14355" max="14355" width="16.42578125" style="362" customWidth="1"/>
    <col min="14356" max="14356" width="13.42578125" style="362" customWidth="1"/>
    <col min="14357" max="14357" width="8.5703125" style="362" customWidth="1"/>
    <col min="14358" max="14361" width="11.42578125" style="362" customWidth="1"/>
    <col min="14362" max="14362" width="12.7109375" style="362" customWidth="1"/>
    <col min="14363" max="14363" width="11.85546875" style="362" customWidth="1"/>
    <col min="14364" max="14364" width="7.85546875" style="362" customWidth="1"/>
    <col min="14365" max="14365" width="7.5703125" style="362" customWidth="1"/>
    <col min="14366" max="14366" width="8.85546875" style="362" customWidth="1"/>
    <col min="14367" max="14367" width="8.140625" style="362" customWidth="1"/>
    <col min="14368" max="14368" width="7.85546875" style="362" customWidth="1"/>
    <col min="14369" max="14369" width="8.5703125" style="362" customWidth="1"/>
    <col min="14370" max="14370" width="8.28515625" style="362" customWidth="1"/>
    <col min="14371" max="14371" width="11.42578125" style="362" customWidth="1"/>
    <col min="14372" max="14372" width="18" style="362" customWidth="1"/>
    <col min="14373" max="14373" width="21.42578125" style="362" customWidth="1"/>
    <col min="14374" max="14374" width="27.85546875" style="362" customWidth="1"/>
    <col min="14375" max="14590" width="11.42578125" style="362"/>
    <col min="14591" max="14591" width="13.5703125" style="362" customWidth="1"/>
    <col min="14592" max="14592" width="19" style="362" customWidth="1"/>
    <col min="14593" max="14593" width="13.5703125" style="362" customWidth="1"/>
    <col min="14594" max="14594" width="19.7109375" style="362" customWidth="1"/>
    <col min="14595" max="14595" width="13.5703125" style="362" customWidth="1"/>
    <col min="14596" max="14597" width="14.7109375" style="362" customWidth="1"/>
    <col min="14598" max="14598" width="36.140625" style="362" customWidth="1"/>
    <col min="14599" max="14599" width="29.42578125" style="362" customWidth="1"/>
    <col min="14600" max="14600" width="16" style="362" customWidth="1"/>
    <col min="14601" max="14601" width="38.28515625" style="362" customWidth="1"/>
    <col min="14602" max="14602" width="12" style="362" customWidth="1"/>
    <col min="14603" max="14603" width="38.140625" style="362" customWidth="1"/>
    <col min="14604" max="14604" width="17.85546875" style="362" bestFit="1" customWidth="1"/>
    <col min="14605" max="14605" width="24.7109375" style="362" customWidth="1"/>
    <col min="14606" max="14606" width="36.42578125" style="362" customWidth="1"/>
    <col min="14607" max="14607" width="46.7109375" style="362" customWidth="1"/>
    <col min="14608" max="14608" width="43.7109375" style="362" customWidth="1"/>
    <col min="14609" max="14609" width="25.42578125" style="362" customWidth="1"/>
    <col min="14610" max="14610" width="12.42578125" style="362" customWidth="1"/>
    <col min="14611" max="14611" width="16.42578125" style="362" customWidth="1"/>
    <col min="14612" max="14612" width="13.42578125" style="362" customWidth="1"/>
    <col min="14613" max="14613" width="8.5703125" style="362" customWidth="1"/>
    <col min="14614" max="14617" width="11.42578125" style="362" customWidth="1"/>
    <col min="14618" max="14618" width="12.7109375" style="362" customWidth="1"/>
    <col min="14619" max="14619" width="11.85546875" style="362" customWidth="1"/>
    <col min="14620" max="14620" width="7.85546875" style="362" customWidth="1"/>
    <col min="14621" max="14621" width="7.5703125" style="362" customWidth="1"/>
    <col min="14622" max="14622" width="8.85546875" style="362" customWidth="1"/>
    <col min="14623" max="14623" width="8.140625" style="362" customWidth="1"/>
    <col min="14624" max="14624" width="7.85546875" style="362" customWidth="1"/>
    <col min="14625" max="14625" width="8.5703125" style="362" customWidth="1"/>
    <col min="14626" max="14626" width="8.28515625" style="362" customWidth="1"/>
    <col min="14627" max="14627" width="11.42578125" style="362" customWidth="1"/>
    <col min="14628" max="14628" width="18" style="362" customWidth="1"/>
    <col min="14629" max="14629" width="21.42578125" style="362" customWidth="1"/>
    <col min="14630" max="14630" width="27.85546875" style="362" customWidth="1"/>
    <col min="14631" max="14846" width="11.42578125" style="362"/>
    <col min="14847" max="14847" width="13.5703125" style="362" customWidth="1"/>
    <col min="14848" max="14848" width="19" style="362" customWidth="1"/>
    <col min="14849" max="14849" width="13.5703125" style="362" customWidth="1"/>
    <col min="14850" max="14850" width="19.7109375" style="362" customWidth="1"/>
    <col min="14851" max="14851" width="13.5703125" style="362" customWidth="1"/>
    <col min="14852" max="14853" width="14.7109375" style="362" customWidth="1"/>
    <col min="14854" max="14854" width="36.140625" style="362" customWidth="1"/>
    <col min="14855" max="14855" width="29.42578125" style="362" customWidth="1"/>
    <col min="14856" max="14856" width="16" style="362" customWidth="1"/>
    <col min="14857" max="14857" width="38.28515625" style="362" customWidth="1"/>
    <col min="14858" max="14858" width="12" style="362" customWidth="1"/>
    <col min="14859" max="14859" width="38.140625" style="362" customWidth="1"/>
    <col min="14860" max="14860" width="17.85546875" style="362" bestFit="1" customWidth="1"/>
    <col min="14861" max="14861" width="24.7109375" style="362" customWidth="1"/>
    <col min="14862" max="14862" width="36.42578125" style="362" customWidth="1"/>
    <col min="14863" max="14863" width="46.7109375" style="362" customWidth="1"/>
    <col min="14864" max="14864" width="43.7109375" style="362" customWidth="1"/>
    <col min="14865" max="14865" width="25.42578125" style="362" customWidth="1"/>
    <col min="14866" max="14866" width="12.42578125" style="362" customWidth="1"/>
    <col min="14867" max="14867" width="16.42578125" style="362" customWidth="1"/>
    <col min="14868" max="14868" width="13.42578125" style="362" customWidth="1"/>
    <col min="14869" max="14869" width="8.5703125" style="362" customWidth="1"/>
    <col min="14870" max="14873" width="11.42578125" style="362" customWidth="1"/>
    <col min="14874" max="14874" width="12.7109375" style="362" customWidth="1"/>
    <col min="14875" max="14875" width="11.85546875" style="362" customWidth="1"/>
    <col min="14876" max="14876" width="7.85546875" style="362" customWidth="1"/>
    <col min="14877" max="14877" width="7.5703125" style="362" customWidth="1"/>
    <col min="14878" max="14878" width="8.85546875" style="362" customWidth="1"/>
    <col min="14879" max="14879" width="8.140625" style="362" customWidth="1"/>
    <col min="14880" max="14880" width="7.85546875" style="362" customWidth="1"/>
    <col min="14881" max="14881" width="8.5703125" style="362" customWidth="1"/>
    <col min="14882" max="14882" width="8.28515625" style="362" customWidth="1"/>
    <col min="14883" max="14883" width="11.42578125" style="362" customWidth="1"/>
    <col min="14884" max="14884" width="18" style="362" customWidth="1"/>
    <col min="14885" max="14885" width="21.42578125" style="362" customWidth="1"/>
    <col min="14886" max="14886" width="27.85546875" style="362" customWidth="1"/>
    <col min="14887" max="15102" width="11.42578125" style="362"/>
    <col min="15103" max="15103" width="13.5703125" style="362" customWidth="1"/>
    <col min="15104" max="15104" width="19" style="362" customWidth="1"/>
    <col min="15105" max="15105" width="13.5703125" style="362" customWidth="1"/>
    <col min="15106" max="15106" width="19.7109375" style="362" customWidth="1"/>
    <col min="15107" max="15107" width="13.5703125" style="362" customWidth="1"/>
    <col min="15108" max="15109" width="14.7109375" style="362" customWidth="1"/>
    <col min="15110" max="15110" width="36.140625" style="362" customWidth="1"/>
    <col min="15111" max="15111" width="29.42578125" style="362" customWidth="1"/>
    <col min="15112" max="15112" width="16" style="362" customWidth="1"/>
    <col min="15113" max="15113" width="38.28515625" style="362" customWidth="1"/>
    <col min="15114" max="15114" width="12" style="362" customWidth="1"/>
    <col min="15115" max="15115" width="38.140625" style="362" customWidth="1"/>
    <col min="15116" max="15116" width="17.85546875" style="362" bestFit="1" customWidth="1"/>
    <col min="15117" max="15117" width="24.7109375" style="362" customWidth="1"/>
    <col min="15118" max="15118" width="36.42578125" style="362" customWidth="1"/>
    <col min="15119" max="15119" width="46.7109375" style="362" customWidth="1"/>
    <col min="15120" max="15120" width="43.7109375" style="362" customWidth="1"/>
    <col min="15121" max="15121" width="25.42578125" style="362" customWidth="1"/>
    <col min="15122" max="15122" width="12.42578125" style="362" customWidth="1"/>
    <col min="15123" max="15123" width="16.42578125" style="362" customWidth="1"/>
    <col min="15124" max="15124" width="13.42578125" style="362" customWidth="1"/>
    <col min="15125" max="15125" width="8.5703125" style="362" customWidth="1"/>
    <col min="15126" max="15129" width="11.42578125" style="362" customWidth="1"/>
    <col min="15130" max="15130" width="12.7109375" style="362" customWidth="1"/>
    <col min="15131" max="15131" width="11.85546875" style="362" customWidth="1"/>
    <col min="15132" max="15132" width="7.85546875" style="362" customWidth="1"/>
    <col min="15133" max="15133" width="7.5703125" style="362" customWidth="1"/>
    <col min="15134" max="15134" width="8.85546875" style="362" customWidth="1"/>
    <col min="15135" max="15135" width="8.140625" style="362" customWidth="1"/>
    <col min="15136" max="15136" width="7.85546875" style="362" customWidth="1"/>
    <col min="15137" max="15137" width="8.5703125" style="362" customWidth="1"/>
    <col min="15138" max="15138" width="8.28515625" style="362" customWidth="1"/>
    <col min="15139" max="15139" width="11.42578125" style="362" customWidth="1"/>
    <col min="15140" max="15140" width="18" style="362" customWidth="1"/>
    <col min="15141" max="15141" width="21.42578125" style="362" customWidth="1"/>
    <col min="15142" max="15142" width="27.85546875" style="362" customWidth="1"/>
    <col min="15143" max="15358" width="11.42578125" style="362"/>
    <col min="15359" max="15359" width="13.5703125" style="362" customWidth="1"/>
    <col min="15360" max="15360" width="19" style="362" customWidth="1"/>
    <col min="15361" max="15361" width="13.5703125" style="362" customWidth="1"/>
    <col min="15362" max="15362" width="19.7109375" style="362" customWidth="1"/>
    <col min="15363" max="15363" width="13.5703125" style="362" customWidth="1"/>
    <col min="15364" max="15365" width="14.7109375" style="362" customWidth="1"/>
    <col min="15366" max="15366" width="36.140625" style="362" customWidth="1"/>
    <col min="15367" max="15367" width="29.42578125" style="362" customWidth="1"/>
    <col min="15368" max="15368" width="16" style="362" customWidth="1"/>
    <col min="15369" max="15369" width="38.28515625" style="362" customWidth="1"/>
    <col min="15370" max="15370" width="12" style="362" customWidth="1"/>
    <col min="15371" max="15371" width="38.140625" style="362" customWidth="1"/>
    <col min="15372" max="15372" width="17.85546875" style="362" bestFit="1" customWidth="1"/>
    <col min="15373" max="15373" width="24.7109375" style="362" customWidth="1"/>
    <col min="15374" max="15374" width="36.42578125" style="362" customWidth="1"/>
    <col min="15375" max="15375" width="46.7109375" style="362" customWidth="1"/>
    <col min="15376" max="15376" width="43.7109375" style="362" customWidth="1"/>
    <col min="15377" max="15377" width="25.42578125" style="362" customWidth="1"/>
    <col min="15378" max="15378" width="12.42578125" style="362" customWidth="1"/>
    <col min="15379" max="15379" width="16.42578125" style="362" customWidth="1"/>
    <col min="15380" max="15380" width="13.42578125" style="362" customWidth="1"/>
    <col min="15381" max="15381" width="8.5703125" style="362" customWidth="1"/>
    <col min="15382" max="15385" width="11.42578125" style="362" customWidth="1"/>
    <col min="15386" max="15386" width="12.7109375" style="362" customWidth="1"/>
    <col min="15387" max="15387" width="11.85546875" style="362" customWidth="1"/>
    <col min="15388" max="15388" width="7.85546875" style="362" customWidth="1"/>
    <col min="15389" max="15389" width="7.5703125" style="362" customWidth="1"/>
    <col min="15390" max="15390" width="8.85546875" style="362" customWidth="1"/>
    <col min="15391" max="15391" width="8.140625" style="362" customWidth="1"/>
    <col min="15392" max="15392" width="7.85546875" style="362" customWidth="1"/>
    <col min="15393" max="15393" width="8.5703125" style="362" customWidth="1"/>
    <col min="15394" max="15394" width="8.28515625" style="362" customWidth="1"/>
    <col min="15395" max="15395" width="11.42578125" style="362" customWidth="1"/>
    <col min="15396" max="15396" width="18" style="362" customWidth="1"/>
    <col min="15397" max="15397" width="21.42578125" style="362" customWidth="1"/>
    <col min="15398" max="15398" width="27.85546875" style="362" customWidth="1"/>
    <col min="15399" max="15614" width="11.42578125" style="362"/>
    <col min="15615" max="15615" width="13.5703125" style="362" customWidth="1"/>
    <col min="15616" max="15616" width="19" style="362" customWidth="1"/>
    <col min="15617" max="15617" width="13.5703125" style="362" customWidth="1"/>
    <col min="15618" max="15618" width="19.7109375" style="362" customWidth="1"/>
    <col min="15619" max="15619" width="13.5703125" style="362" customWidth="1"/>
    <col min="15620" max="15621" width="14.7109375" style="362" customWidth="1"/>
    <col min="15622" max="15622" width="36.140625" style="362" customWidth="1"/>
    <col min="15623" max="15623" width="29.42578125" style="362" customWidth="1"/>
    <col min="15624" max="15624" width="16" style="362" customWidth="1"/>
    <col min="15625" max="15625" width="38.28515625" style="362" customWidth="1"/>
    <col min="15626" max="15626" width="12" style="362" customWidth="1"/>
    <col min="15627" max="15627" width="38.140625" style="362" customWidth="1"/>
    <col min="15628" max="15628" width="17.85546875" style="362" bestFit="1" customWidth="1"/>
    <col min="15629" max="15629" width="24.7109375" style="362" customWidth="1"/>
    <col min="15630" max="15630" width="36.42578125" style="362" customWidth="1"/>
    <col min="15631" max="15631" width="46.7109375" style="362" customWidth="1"/>
    <col min="15632" max="15632" width="43.7109375" style="362" customWidth="1"/>
    <col min="15633" max="15633" width="25.42578125" style="362" customWidth="1"/>
    <col min="15634" max="15634" width="12.42578125" style="362" customWidth="1"/>
    <col min="15635" max="15635" width="16.42578125" style="362" customWidth="1"/>
    <col min="15636" max="15636" width="13.42578125" style="362" customWidth="1"/>
    <col min="15637" max="15637" width="8.5703125" style="362" customWidth="1"/>
    <col min="15638" max="15641" width="11.42578125" style="362" customWidth="1"/>
    <col min="15642" max="15642" width="12.7109375" style="362" customWidth="1"/>
    <col min="15643" max="15643" width="11.85546875" style="362" customWidth="1"/>
    <col min="15644" max="15644" width="7.85546875" style="362" customWidth="1"/>
    <col min="15645" max="15645" width="7.5703125" style="362" customWidth="1"/>
    <col min="15646" max="15646" width="8.85546875" style="362" customWidth="1"/>
    <col min="15647" max="15647" width="8.140625" style="362" customWidth="1"/>
    <col min="15648" max="15648" width="7.85546875" style="362" customWidth="1"/>
    <col min="15649" max="15649" width="8.5703125" style="362" customWidth="1"/>
    <col min="15650" max="15650" width="8.28515625" style="362" customWidth="1"/>
    <col min="15651" max="15651" width="11.42578125" style="362" customWidth="1"/>
    <col min="15652" max="15652" width="18" style="362" customWidth="1"/>
    <col min="15653" max="15653" width="21.42578125" style="362" customWidth="1"/>
    <col min="15654" max="15654" width="27.85546875" style="362" customWidth="1"/>
    <col min="15655" max="15870" width="11.42578125" style="362"/>
    <col min="15871" max="15871" width="13.5703125" style="362" customWidth="1"/>
    <col min="15872" max="15872" width="19" style="362" customWidth="1"/>
    <col min="15873" max="15873" width="13.5703125" style="362" customWidth="1"/>
    <col min="15874" max="15874" width="19.7109375" style="362" customWidth="1"/>
    <col min="15875" max="15875" width="13.5703125" style="362" customWidth="1"/>
    <col min="15876" max="15877" width="14.7109375" style="362" customWidth="1"/>
    <col min="15878" max="15878" width="36.140625" style="362" customWidth="1"/>
    <col min="15879" max="15879" width="29.42578125" style="362" customWidth="1"/>
    <col min="15880" max="15880" width="16" style="362" customWidth="1"/>
    <col min="15881" max="15881" width="38.28515625" style="362" customWidth="1"/>
    <col min="15882" max="15882" width="12" style="362" customWidth="1"/>
    <col min="15883" max="15883" width="38.140625" style="362" customWidth="1"/>
    <col min="15884" max="15884" width="17.85546875" style="362" bestFit="1" customWidth="1"/>
    <col min="15885" max="15885" width="24.7109375" style="362" customWidth="1"/>
    <col min="15886" max="15886" width="36.42578125" style="362" customWidth="1"/>
    <col min="15887" max="15887" width="46.7109375" style="362" customWidth="1"/>
    <col min="15888" max="15888" width="43.7109375" style="362" customWidth="1"/>
    <col min="15889" max="15889" width="25.42578125" style="362" customWidth="1"/>
    <col min="15890" max="15890" width="12.42578125" style="362" customWidth="1"/>
    <col min="15891" max="15891" width="16.42578125" style="362" customWidth="1"/>
    <col min="15892" max="15892" width="13.42578125" style="362" customWidth="1"/>
    <col min="15893" max="15893" width="8.5703125" style="362" customWidth="1"/>
    <col min="15894" max="15897" width="11.42578125" style="362" customWidth="1"/>
    <col min="15898" max="15898" width="12.7109375" style="362" customWidth="1"/>
    <col min="15899" max="15899" width="11.85546875" style="362" customWidth="1"/>
    <col min="15900" max="15900" width="7.85546875" style="362" customWidth="1"/>
    <col min="15901" max="15901" width="7.5703125" style="362" customWidth="1"/>
    <col min="15902" max="15902" width="8.85546875" style="362" customWidth="1"/>
    <col min="15903" max="15903" width="8.140625" style="362" customWidth="1"/>
    <col min="15904" max="15904" width="7.85546875" style="362" customWidth="1"/>
    <col min="15905" max="15905" width="8.5703125" style="362" customWidth="1"/>
    <col min="15906" max="15906" width="8.28515625" style="362" customWidth="1"/>
    <col min="15907" max="15907" width="11.42578125" style="362" customWidth="1"/>
    <col min="15908" max="15908" width="18" style="362" customWidth="1"/>
    <col min="15909" max="15909" width="21.42578125" style="362" customWidth="1"/>
    <col min="15910" max="15910" width="27.85546875" style="362" customWidth="1"/>
    <col min="15911" max="16126" width="11.42578125" style="362"/>
    <col min="16127" max="16127" width="13.5703125" style="362" customWidth="1"/>
    <col min="16128" max="16128" width="19" style="362" customWidth="1"/>
    <col min="16129" max="16129" width="13.5703125" style="362" customWidth="1"/>
    <col min="16130" max="16130" width="19.7109375" style="362" customWidth="1"/>
    <col min="16131" max="16131" width="13.5703125" style="362" customWidth="1"/>
    <col min="16132" max="16133" width="14.7109375" style="362" customWidth="1"/>
    <col min="16134" max="16134" width="36.140625" style="362" customWidth="1"/>
    <col min="16135" max="16135" width="29.42578125" style="362" customWidth="1"/>
    <col min="16136" max="16136" width="16" style="362" customWidth="1"/>
    <col min="16137" max="16137" width="38.28515625" style="362" customWidth="1"/>
    <col min="16138" max="16138" width="12" style="362" customWidth="1"/>
    <col min="16139" max="16139" width="38.140625" style="362" customWidth="1"/>
    <col min="16140" max="16140" width="17.85546875" style="362" bestFit="1" customWidth="1"/>
    <col min="16141" max="16141" width="24.7109375" style="362" customWidth="1"/>
    <col min="16142" max="16142" width="36.42578125" style="362" customWidth="1"/>
    <col min="16143" max="16143" width="46.7109375" style="362" customWidth="1"/>
    <col min="16144" max="16144" width="43.7109375" style="362" customWidth="1"/>
    <col min="16145" max="16145" width="25.42578125" style="362" customWidth="1"/>
    <col min="16146" max="16146" width="12.42578125" style="362" customWidth="1"/>
    <col min="16147" max="16147" width="16.42578125" style="362" customWidth="1"/>
    <col min="16148" max="16148" width="13.42578125" style="362" customWidth="1"/>
    <col min="16149" max="16149" width="8.5703125" style="362" customWidth="1"/>
    <col min="16150" max="16153" width="11.42578125" style="362" customWidth="1"/>
    <col min="16154" max="16154" width="12.7109375" style="362" customWidth="1"/>
    <col min="16155" max="16155" width="11.85546875" style="362" customWidth="1"/>
    <col min="16156" max="16156" width="7.85546875" style="362" customWidth="1"/>
    <col min="16157" max="16157" width="7.5703125" style="362" customWidth="1"/>
    <col min="16158" max="16158" width="8.85546875" style="362" customWidth="1"/>
    <col min="16159" max="16159" width="8.140625" style="362" customWidth="1"/>
    <col min="16160" max="16160" width="7.85546875" style="362" customWidth="1"/>
    <col min="16161" max="16161" width="8.5703125" style="362" customWidth="1"/>
    <col min="16162" max="16162" width="8.28515625" style="362" customWidth="1"/>
    <col min="16163" max="16163" width="11.42578125" style="362" customWidth="1"/>
    <col min="16164" max="16164" width="18" style="362" customWidth="1"/>
    <col min="16165" max="16165" width="21.42578125" style="362" customWidth="1"/>
    <col min="16166" max="16166" width="27.85546875" style="362" customWidth="1"/>
    <col min="16167" max="16384" width="11.42578125" style="362"/>
  </cols>
  <sheetData>
    <row r="1" spans="1:254" ht="17.25" customHeight="1" x14ac:dyDescent="0.2">
      <c r="A1" s="3892" t="s">
        <v>2562</v>
      </c>
      <c r="B1" s="3893"/>
      <c r="C1" s="3893"/>
      <c r="D1" s="3893"/>
      <c r="E1" s="3893"/>
      <c r="F1" s="3893"/>
      <c r="G1" s="3893"/>
      <c r="H1" s="3893"/>
      <c r="I1" s="3893"/>
      <c r="J1" s="3893"/>
      <c r="K1" s="3893"/>
      <c r="L1" s="3893"/>
      <c r="M1" s="3893"/>
      <c r="N1" s="3893"/>
      <c r="O1" s="3893"/>
      <c r="P1" s="3893"/>
      <c r="Q1" s="3893"/>
      <c r="R1" s="3893"/>
      <c r="S1" s="3893"/>
      <c r="T1" s="3893"/>
      <c r="U1" s="3893"/>
      <c r="V1" s="3893"/>
      <c r="W1" s="3893"/>
      <c r="X1" s="3893"/>
      <c r="Y1" s="3893"/>
      <c r="Z1" s="3893"/>
      <c r="AA1" s="3893"/>
      <c r="AB1" s="3893"/>
      <c r="AC1" s="3893"/>
      <c r="AD1" s="3893"/>
      <c r="AE1" s="3893"/>
      <c r="AF1" s="3893"/>
      <c r="AG1" s="3893"/>
      <c r="AH1" s="3893"/>
      <c r="AI1" s="3893"/>
      <c r="AJ1" s="3893"/>
      <c r="AK1" s="3893"/>
      <c r="AL1" s="3893"/>
      <c r="AM1" s="616" t="s">
        <v>0</v>
      </c>
      <c r="AN1" s="816" t="s">
        <v>118</v>
      </c>
    </row>
    <row r="2" spans="1:254" ht="27.75" customHeight="1" x14ac:dyDescent="0.2">
      <c r="A2" s="3893"/>
      <c r="B2" s="3893"/>
      <c r="C2" s="3893"/>
      <c r="D2" s="3893"/>
      <c r="E2" s="3893"/>
      <c r="F2" s="3893"/>
      <c r="G2" s="3893"/>
      <c r="H2" s="3893"/>
      <c r="I2" s="3893"/>
      <c r="J2" s="3893"/>
      <c r="K2" s="3893"/>
      <c r="L2" s="3893"/>
      <c r="M2" s="3893"/>
      <c r="N2" s="3893"/>
      <c r="O2" s="3893"/>
      <c r="P2" s="3893"/>
      <c r="Q2" s="3893"/>
      <c r="R2" s="3893"/>
      <c r="S2" s="3893"/>
      <c r="T2" s="3893"/>
      <c r="U2" s="3893"/>
      <c r="V2" s="3893"/>
      <c r="W2" s="3893"/>
      <c r="X2" s="3893"/>
      <c r="Y2" s="3893"/>
      <c r="Z2" s="3893"/>
      <c r="AA2" s="3893"/>
      <c r="AB2" s="3893"/>
      <c r="AC2" s="3893"/>
      <c r="AD2" s="3893"/>
      <c r="AE2" s="3893"/>
      <c r="AF2" s="3893"/>
      <c r="AG2" s="3893"/>
      <c r="AH2" s="3893"/>
      <c r="AI2" s="3893"/>
      <c r="AJ2" s="3893"/>
      <c r="AK2" s="3893"/>
      <c r="AL2" s="3893"/>
      <c r="AM2" s="619" t="s">
        <v>2</v>
      </c>
      <c r="AN2" s="816" t="s">
        <v>119</v>
      </c>
    </row>
    <row r="3" spans="1:254" ht="20.25" customHeight="1" x14ac:dyDescent="0.2">
      <c r="A3" s="3893"/>
      <c r="B3" s="3893"/>
      <c r="C3" s="3893"/>
      <c r="D3" s="3893"/>
      <c r="E3" s="3893"/>
      <c r="F3" s="3893"/>
      <c r="G3" s="3893"/>
      <c r="H3" s="3893"/>
      <c r="I3" s="3893"/>
      <c r="J3" s="3893"/>
      <c r="K3" s="3893"/>
      <c r="L3" s="3893"/>
      <c r="M3" s="3893"/>
      <c r="N3" s="3893"/>
      <c r="O3" s="3893"/>
      <c r="P3" s="3893"/>
      <c r="Q3" s="3893"/>
      <c r="R3" s="3893"/>
      <c r="S3" s="3893"/>
      <c r="T3" s="3893"/>
      <c r="U3" s="3893"/>
      <c r="V3" s="3893"/>
      <c r="W3" s="3893"/>
      <c r="X3" s="3893"/>
      <c r="Y3" s="3893"/>
      <c r="Z3" s="3893"/>
      <c r="AA3" s="3893"/>
      <c r="AB3" s="3893"/>
      <c r="AC3" s="3893"/>
      <c r="AD3" s="3893"/>
      <c r="AE3" s="3893"/>
      <c r="AF3" s="3893"/>
      <c r="AG3" s="3893"/>
      <c r="AH3" s="3893"/>
      <c r="AI3" s="3893"/>
      <c r="AJ3" s="3893"/>
      <c r="AK3" s="3893"/>
      <c r="AL3" s="3893"/>
      <c r="AM3" s="616" t="s">
        <v>4</v>
      </c>
      <c r="AN3" s="817" t="s">
        <v>5</v>
      </c>
    </row>
    <row r="4" spans="1:254" ht="32.25" customHeight="1" x14ac:dyDescent="0.2">
      <c r="A4" s="3070"/>
      <c r="B4" s="3070"/>
      <c r="C4" s="3070"/>
      <c r="D4" s="3070"/>
      <c r="E4" s="3070"/>
      <c r="F4" s="3070"/>
      <c r="G4" s="3070"/>
      <c r="H4" s="3070"/>
      <c r="I4" s="3070"/>
      <c r="J4" s="3070"/>
      <c r="K4" s="3070"/>
      <c r="L4" s="3070"/>
      <c r="M4" s="3070"/>
      <c r="N4" s="3070"/>
      <c r="O4" s="3070"/>
      <c r="P4" s="3070"/>
      <c r="Q4" s="3070"/>
      <c r="R4" s="3070"/>
      <c r="S4" s="3070"/>
      <c r="T4" s="3070"/>
      <c r="U4" s="3070"/>
      <c r="V4" s="3070"/>
      <c r="W4" s="3070"/>
      <c r="X4" s="3070"/>
      <c r="Y4" s="3070"/>
      <c r="Z4" s="3070"/>
      <c r="AA4" s="3070"/>
      <c r="AB4" s="3070"/>
      <c r="AC4" s="3070"/>
      <c r="AD4" s="3070"/>
      <c r="AE4" s="3070"/>
      <c r="AF4" s="3070"/>
      <c r="AG4" s="3070"/>
      <c r="AH4" s="3070"/>
      <c r="AI4" s="3070"/>
      <c r="AJ4" s="3070"/>
      <c r="AK4" s="3070"/>
      <c r="AL4" s="3070"/>
      <c r="AM4" s="616" t="s">
        <v>6</v>
      </c>
      <c r="AN4" s="818" t="s">
        <v>7</v>
      </c>
      <c r="AO4" s="819"/>
      <c r="AP4" s="819"/>
      <c r="AQ4" s="819"/>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363"/>
      <c r="BW4" s="363"/>
      <c r="BX4" s="363"/>
      <c r="BY4" s="363"/>
      <c r="BZ4" s="363"/>
      <c r="CA4" s="363"/>
      <c r="CB4" s="363"/>
      <c r="CC4" s="363"/>
      <c r="CD4" s="363"/>
      <c r="CE4" s="363"/>
      <c r="CF4" s="363"/>
      <c r="CG4" s="363"/>
      <c r="CH4" s="363"/>
      <c r="CI4" s="363"/>
      <c r="CJ4" s="363"/>
      <c r="CK4" s="363"/>
      <c r="CL4" s="363"/>
      <c r="CM4" s="363"/>
      <c r="CN4" s="363"/>
      <c r="CO4" s="363"/>
      <c r="CP4" s="363"/>
      <c r="CQ4" s="363"/>
      <c r="CR4" s="363"/>
      <c r="CS4" s="363"/>
      <c r="CT4" s="363"/>
      <c r="CU4" s="363"/>
      <c r="CV4" s="363"/>
      <c r="CW4" s="363"/>
      <c r="CX4" s="363"/>
      <c r="CY4" s="363"/>
      <c r="CZ4" s="363"/>
      <c r="DA4" s="363"/>
      <c r="DB4" s="363"/>
      <c r="DC4" s="363"/>
      <c r="DD4" s="363"/>
      <c r="DE4" s="363"/>
      <c r="DF4" s="363"/>
      <c r="DG4" s="363"/>
      <c r="DH4" s="363"/>
      <c r="DI4" s="363"/>
      <c r="DJ4" s="363"/>
      <c r="DK4" s="363"/>
      <c r="DL4" s="363"/>
      <c r="DM4" s="363"/>
      <c r="DN4" s="363"/>
      <c r="DO4" s="363"/>
      <c r="DP4" s="363"/>
      <c r="DQ4" s="363"/>
      <c r="DR4" s="363"/>
      <c r="DS4" s="363"/>
      <c r="DT4" s="363"/>
      <c r="DU4" s="363"/>
      <c r="DV4" s="363"/>
      <c r="DW4" s="363"/>
      <c r="DX4" s="363"/>
      <c r="DY4" s="363"/>
      <c r="DZ4" s="363"/>
      <c r="EA4" s="363"/>
      <c r="EB4" s="363"/>
      <c r="EC4" s="363"/>
      <c r="ED4" s="363"/>
      <c r="EE4" s="363"/>
      <c r="EF4" s="363"/>
      <c r="EG4" s="363"/>
      <c r="EH4" s="363"/>
      <c r="EI4" s="363"/>
      <c r="EJ4" s="363"/>
      <c r="EK4" s="363"/>
      <c r="EL4" s="363"/>
      <c r="EM4" s="363"/>
      <c r="EN4" s="363"/>
      <c r="EO4" s="363"/>
      <c r="EP4" s="363"/>
      <c r="EQ4" s="363"/>
      <c r="ER4" s="363"/>
      <c r="ES4" s="363"/>
      <c r="ET4" s="363"/>
      <c r="EU4" s="363"/>
      <c r="EV4" s="363"/>
      <c r="EW4" s="363"/>
      <c r="EX4" s="363"/>
      <c r="EY4" s="363"/>
      <c r="EZ4" s="363"/>
      <c r="FA4" s="363"/>
      <c r="FB4" s="363"/>
      <c r="FC4" s="363"/>
      <c r="FD4" s="363"/>
      <c r="FE4" s="363"/>
      <c r="FF4" s="363"/>
      <c r="FG4" s="363"/>
      <c r="FH4" s="363"/>
      <c r="FI4" s="363"/>
      <c r="FJ4" s="363"/>
      <c r="FK4" s="363"/>
      <c r="FL4" s="363"/>
      <c r="FM4" s="363"/>
      <c r="FN4" s="363"/>
      <c r="FO4" s="363"/>
      <c r="FP4" s="363"/>
      <c r="FQ4" s="363"/>
      <c r="FR4" s="363"/>
      <c r="FS4" s="363"/>
      <c r="FT4" s="363"/>
      <c r="FU4" s="363"/>
      <c r="FV4" s="363"/>
      <c r="FW4" s="363"/>
      <c r="FX4" s="363"/>
      <c r="FY4" s="363"/>
      <c r="FZ4" s="363"/>
      <c r="GA4" s="363"/>
      <c r="GB4" s="363"/>
      <c r="GC4" s="363"/>
      <c r="GD4" s="363"/>
      <c r="GE4" s="363"/>
      <c r="GF4" s="363"/>
      <c r="GG4" s="363"/>
      <c r="GH4" s="363"/>
      <c r="GI4" s="363"/>
      <c r="GJ4" s="363"/>
      <c r="GK4" s="363"/>
      <c r="GL4" s="363"/>
      <c r="GM4" s="363"/>
      <c r="GN4" s="363"/>
      <c r="GO4" s="363"/>
      <c r="GP4" s="363"/>
      <c r="GQ4" s="363"/>
      <c r="GR4" s="363"/>
      <c r="GS4" s="363"/>
      <c r="GT4" s="363"/>
      <c r="GU4" s="363"/>
      <c r="GV4" s="363"/>
      <c r="GW4" s="363"/>
      <c r="GX4" s="363"/>
      <c r="GY4" s="363"/>
      <c r="GZ4" s="363"/>
      <c r="HA4" s="363"/>
      <c r="HB4" s="363"/>
      <c r="HC4" s="363"/>
      <c r="HD4" s="363"/>
      <c r="HE4" s="363"/>
      <c r="HF4" s="363"/>
      <c r="HG4" s="363"/>
      <c r="HH4" s="363"/>
      <c r="HI4" s="363"/>
      <c r="HJ4" s="363"/>
      <c r="HK4" s="363"/>
      <c r="HL4" s="363"/>
      <c r="HM4" s="363"/>
      <c r="HN4" s="363"/>
      <c r="HO4" s="363"/>
      <c r="HP4" s="363"/>
      <c r="HQ4" s="363"/>
      <c r="HR4" s="363"/>
      <c r="HS4" s="363"/>
      <c r="HT4" s="363"/>
      <c r="HU4" s="363"/>
      <c r="HV4" s="363"/>
      <c r="HW4" s="363"/>
      <c r="HX4" s="363"/>
      <c r="HY4" s="363"/>
      <c r="HZ4" s="363"/>
      <c r="IA4" s="363"/>
      <c r="IB4" s="363"/>
      <c r="IC4" s="363"/>
      <c r="ID4" s="363"/>
      <c r="IE4" s="363"/>
      <c r="IF4" s="363"/>
      <c r="IG4" s="363"/>
      <c r="IH4" s="363"/>
      <c r="II4" s="363"/>
      <c r="IJ4" s="363"/>
      <c r="IK4" s="363"/>
      <c r="IL4" s="363"/>
      <c r="IM4" s="363"/>
      <c r="IN4" s="363"/>
      <c r="IO4" s="363"/>
      <c r="IP4" s="363"/>
      <c r="IQ4" s="363"/>
      <c r="IR4" s="363"/>
      <c r="IS4" s="363"/>
      <c r="IT4" s="363"/>
    </row>
    <row r="5" spans="1:254" ht="31.5" customHeight="1" x14ac:dyDescent="0.2">
      <c r="A5" s="3086" t="s">
        <v>2067</v>
      </c>
      <c r="B5" s="3086"/>
      <c r="C5" s="3086"/>
      <c r="D5" s="3086"/>
      <c r="E5" s="3086"/>
      <c r="F5" s="3086"/>
      <c r="G5" s="3086"/>
      <c r="H5" s="3086"/>
      <c r="I5" s="3086"/>
      <c r="J5" s="3086"/>
      <c r="K5" s="1763"/>
      <c r="L5" s="1763"/>
      <c r="M5" s="3088" t="s">
        <v>9</v>
      </c>
      <c r="N5" s="3088"/>
      <c r="O5" s="3088"/>
      <c r="P5" s="3088"/>
      <c r="Q5" s="3088"/>
      <c r="R5" s="3088"/>
      <c r="S5" s="3088"/>
      <c r="T5" s="3088"/>
      <c r="U5" s="3088"/>
      <c r="V5" s="3088"/>
      <c r="W5" s="3088"/>
      <c r="X5" s="3088"/>
      <c r="Y5" s="3088"/>
      <c r="Z5" s="3088"/>
      <c r="AA5" s="3088"/>
      <c r="AB5" s="3088"/>
      <c r="AC5" s="3088"/>
      <c r="AD5" s="3088"/>
      <c r="AE5" s="3088"/>
      <c r="AF5" s="3088"/>
      <c r="AG5" s="3088"/>
      <c r="AH5" s="3088"/>
      <c r="AI5" s="3088"/>
      <c r="AJ5" s="3088"/>
      <c r="AK5" s="3088"/>
      <c r="AL5" s="3088"/>
      <c r="AM5" s="3088"/>
      <c r="AN5" s="3088"/>
    </row>
    <row r="6" spans="1:254" ht="24" customHeight="1" x14ac:dyDescent="0.2">
      <c r="A6" s="3070"/>
      <c r="B6" s="3070"/>
      <c r="C6" s="3070"/>
      <c r="D6" s="3070"/>
      <c r="E6" s="3070"/>
      <c r="F6" s="3070"/>
      <c r="G6" s="3070"/>
      <c r="H6" s="3070"/>
      <c r="I6" s="3070"/>
      <c r="J6" s="3070"/>
      <c r="K6" s="1764"/>
      <c r="L6" s="1764"/>
      <c r="M6" s="3556"/>
      <c r="N6" s="3894"/>
      <c r="O6" s="3894"/>
      <c r="P6" s="3894"/>
      <c r="Q6" s="3894"/>
      <c r="R6" s="3894"/>
      <c r="S6" s="3894"/>
      <c r="T6" s="3894"/>
      <c r="U6" s="3557"/>
      <c r="V6" s="3556" t="s">
        <v>10</v>
      </c>
      <c r="W6" s="3894"/>
      <c r="X6" s="3894"/>
      <c r="Y6" s="3894"/>
      <c r="Z6" s="3894"/>
      <c r="AA6" s="3894"/>
      <c r="AB6" s="3894"/>
      <c r="AC6" s="3894"/>
      <c r="AD6" s="3894"/>
      <c r="AE6" s="3894"/>
      <c r="AF6" s="3894"/>
      <c r="AG6" s="3894"/>
      <c r="AH6" s="3894"/>
      <c r="AI6" s="3894"/>
      <c r="AJ6" s="3894"/>
      <c r="AK6" s="3894"/>
      <c r="AL6" s="3556"/>
      <c r="AM6" s="3894"/>
      <c r="AN6" s="3557"/>
    </row>
    <row r="7" spans="1:254" ht="14.25" customHeight="1" x14ac:dyDescent="0.2">
      <c r="A7" s="3895" t="s">
        <v>11</v>
      </c>
      <c r="B7" s="3888" t="s">
        <v>12</v>
      </c>
      <c r="C7" s="3888" t="s">
        <v>11</v>
      </c>
      <c r="D7" s="3888" t="s">
        <v>13</v>
      </c>
      <c r="E7" s="3888" t="s">
        <v>11</v>
      </c>
      <c r="F7" s="3888" t="s">
        <v>14</v>
      </c>
      <c r="G7" s="3888" t="s">
        <v>11</v>
      </c>
      <c r="H7" s="3888" t="s">
        <v>15</v>
      </c>
      <c r="I7" s="3888" t="s">
        <v>16</v>
      </c>
      <c r="J7" s="3888" t="s">
        <v>17</v>
      </c>
      <c r="K7" s="3888" t="s">
        <v>18</v>
      </c>
      <c r="L7" s="3888" t="s">
        <v>163</v>
      </c>
      <c r="M7" s="3888" t="s">
        <v>9</v>
      </c>
      <c r="N7" s="3948" t="s">
        <v>20</v>
      </c>
      <c r="O7" s="3898" t="s">
        <v>21</v>
      </c>
      <c r="P7" s="3901" t="s">
        <v>22</v>
      </c>
      <c r="Q7" s="3901" t="s">
        <v>23</v>
      </c>
      <c r="R7" s="3888" t="s">
        <v>24</v>
      </c>
      <c r="S7" s="3905" t="s">
        <v>21</v>
      </c>
      <c r="T7" s="3888" t="s">
        <v>11</v>
      </c>
      <c r="U7" s="3888" t="s">
        <v>25</v>
      </c>
      <c r="V7" s="3904" t="s">
        <v>26</v>
      </c>
      <c r="W7" s="3904"/>
      <c r="X7" s="3904" t="s">
        <v>27</v>
      </c>
      <c r="Y7" s="3904"/>
      <c r="Z7" s="3904"/>
      <c r="AA7" s="3904"/>
      <c r="AB7" s="3904" t="s">
        <v>28</v>
      </c>
      <c r="AC7" s="3904"/>
      <c r="AD7" s="3904"/>
      <c r="AE7" s="3904"/>
      <c r="AF7" s="3904"/>
      <c r="AG7" s="3904"/>
      <c r="AH7" s="3904" t="s">
        <v>29</v>
      </c>
      <c r="AI7" s="3904"/>
      <c r="AJ7" s="3904"/>
      <c r="AK7" s="820" t="s">
        <v>30</v>
      </c>
      <c r="AL7" s="3952" t="s">
        <v>31</v>
      </c>
      <c r="AM7" s="3952" t="s">
        <v>32</v>
      </c>
      <c r="AN7" s="3959" t="s">
        <v>33</v>
      </c>
    </row>
    <row r="8" spans="1:254" ht="14.25" customHeight="1" x14ac:dyDescent="0.2">
      <c r="A8" s="3896"/>
      <c r="B8" s="3889"/>
      <c r="C8" s="3889"/>
      <c r="D8" s="3889"/>
      <c r="E8" s="3889"/>
      <c r="F8" s="3889"/>
      <c r="G8" s="3889"/>
      <c r="H8" s="3889"/>
      <c r="I8" s="3889"/>
      <c r="J8" s="3889"/>
      <c r="K8" s="3889"/>
      <c r="L8" s="3889"/>
      <c r="M8" s="3889"/>
      <c r="N8" s="3949"/>
      <c r="O8" s="3899"/>
      <c r="P8" s="3902"/>
      <c r="Q8" s="3902"/>
      <c r="R8" s="3889"/>
      <c r="S8" s="3906"/>
      <c r="T8" s="3889"/>
      <c r="U8" s="3889"/>
      <c r="V8" s="3904"/>
      <c r="W8" s="3904"/>
      <c r="X8" s="3904"/>
      <c r="Y8" s="3904"/>
      <c r="Z8" s="3904"/>
      <c r="AA8" s="3904"/>
      <c r="AB8" s="3904"/>
      <c r="AC8" s="3904"/>
      <c r="AD8" s="3904"/>
      <c r="AE8" s="3904"/>
      <c r="AF8" s="3904"/>
      <c r="AG8" s="3904"/>
      <c r="AH8" s="3904"/>
      <c r="AI8" s="3904"/>
      <c r="AJ8" s="3904"/>
      <c r="AK8" s="1839" t="s">
        <v>30</v>
      </c>
      <c r="AL8" s="3953"/>
      <c r="AM8" s="3953"/>
      <c r="AN8" s="3960"/>
    </row>
    <row r="9" spans="1:254" ht="153.75" customHeight="1" x14ac:dyDescent="0.2">
      <c r="A9" s="3897"/>
      <c r="B9" s="3890"/>
      <c r="C9" s="3890"/>
      <c r="D9" s="3890"/>
      <c r="E9" s="3890"/>
      <c r="F9" s="3890"/>
      <c r="G9" s="3890"/>
      <c r="H9" s="3890"/>
      <c r="I9" s="3890"/>
      <c r="J9" s="3890"/>
      <c r="K9" s="3890"/>
      <c r="L9" s="3890"/>
      <c r="M9" s="3890"/>
      <c r="N9" s="3950"/>
      <c r="O9" s="3900"/>
      <c r="P9" s="3903"/>
      <c r="Q9" s="3903"/>
      <c r="R9" s="3890"/>
      <c r="S9" s="821" t="s">
        <v>833</v>
      </c>
      <c r="T9" s="3890"/>
      <c r="U9" s="3890"/>
      <c r="V9" s="822" t="s">
        <v>34</v>
      </c>
      <c r="W9" s="823" t="s">
        <v>35</v>
      </c>
      <c r="X9" s="822" t="s">
        <v>36</v>
      </c>
      <c r="Y9" s="822" t="s">
        <v>121</v>
      </c>
      <c r="Z9" s="822" t="s">
        <v>2536</v>
      </c>
      <c r="AA9" s="822" t="s">
        <v>123</v>
      </c>
      <c r="AB9" s="822" t="s">
        <v>40</v>
      </c>
      <c r="AC9" s="822" t="s">
        <v>41</v>
      </c>
      <c r="AD9" s="822" t="s">
        <v>42</v>
      </c>
      <c r="AE9" s="822" t="s">
        <v>43</v>
      </c>
      <c r="AF9" s="822" t="s">
        <v>44</v>
      </c>
      <c r="AG9" s="822" t="s">
        <v>45</v>
      </c>
      <c r="AH9" s="822" t="s">
        <v>46</v>
      </c>
      <c r="AI9" s="822" t="s">
        <v>47</v>
      </c>
      <c r="AJ9" s="822" t="s">
        <v>48</v>
      </c>
      <c r="AK9" s="822" t="s">
        <v>30</v>
      </c>
      <c r="AL9" s="3954"/>
      <c r="AM9" s="3954"/>
      <c r="AN9" s="3961"/>
    </row>
    <row r="10" spans="1:254" ht="15" x14ac:dyDescent="0.2">
      <c r="A10" s="824">
        <v>3</v>
      </c>
      <c r="B10" s="825" t="s">
        <v>1709</v>
      </c>
      <c r="C10" s="826"/>
      <c r="D10" s="826"/>
      <c r="E10" s="826"/>
      <c r="F10" s="826"/>
      <c r="G10" s="826"/>
      <c r="H10" s="827"/>
      <c r="I10" s="827"/>
      <c r="J10" s="826"/>
      <c r="K10" s="826"/>
      <c r="L10" s="826"/>
      <c r="M10" s="827"/>
      <c r="N10" s="1901"/>
      <c r="O10" s="2537"/>
      <c r="P10" s="827"/>
      <c r="Q10" s="827"/>
      <c r="R10" s="827"/>
      <c r="S10" s="826"/>
      <c r="T10" s="828"/>
      <c r="U10" s="827"/>
      <c r="V10" s="826"/>
      <c r="W10" s="826"/>
      <c r="X10" s="826"/>
      <c r="Y10" s="826"/>
      <c r="Z10" s="826"/>
      <c r="AA10" s="826"/>
      <c r="AB10" s="826"/>
      <c r="AC10" s="826"/>
      <c r="AD10" s="826"/>
      <c r="AE10" s="826"/>
      <c r="AF10" s="826"/>
      <c r="AG10" s="826"/>
      <c r="AH10" s="826"/>
      <c r="AI10" s="826"/>
      <c r="AJ10" s="826"/>
      <c r="AK10" s="826"/>
      <c r="AL10" s="826"/>
      <c r="AM10" s="826"/>
      <c r="AN10" s="829"/>
    </row>
    <row r="11" spans="1:254" ht="15" x14ac:dyDescent="0.2">
      <c r="A11" s="830"/>
      <c r="B11" s="831"/>
      <c r="C11" s="832">
        <v>16</v>
      </c>
      <c r="D11" s="833" t="s">
        <v>2055</v>
      </c>
      <c r="E11" s="834"/>
      <c r="F11" s="834"/>
      <c r="G11" s="834"/>
      <c r="H11" s="835"/>
      <c r="I11" s="835"/>
      <c r="J11" s="834"/>
      <c r="K11" s="834"/>
      <c r="L11" s="834"/>
      <c r="M11" s="835"/>
      <c r="N11" s="1902"/>
      <c r="O11" s="2538"/>
      <c r="P11" s="835"/>
      <c r="Q11" s="835"/>
      <c r="R11" s="835"/>
      <c r="S11" s="834"/>
      <c r="T11" s="836"/>
      <c r="U11" s="835"/>
      <c r="V11" s="834"/>
      <c r="W11" s="834"/>
      <c r="X11" s="834"/>
      <c r="Y11" s="834"/>
      <c r="Z11" s="834"/>
      <c r="AA11" s="834"/>
      <c r="AB11" s="834"/>
      <c r="AC11" s="834"/>
      <c r="AD11" s="834"/>
      <c r="AE11" s="834"/>
      <c r="AF11" s="834"/>
      <c r="AG11" s="834"/>
      <c r="AH11" s="834"/>
      <c r="AI11" s="834"/>
      <c r="AJ11" s="834"/>
      <c r="AK11" s="834"/>
      <c r="AL11" s="834"/>
      <c r="AM11" s="834"/>
      <c r="AN11" s="837"/>
    </row>
    <row r="12" spans="1:254" ht="15" x14ac:dyDescent="0.2">
      <c r="A12" s="830"/>
      <c r="B12" s="831"/>
      <c r="C12" s="838"/>
      <c r="D12" s="831"/>
      <c r="E12" s="729">
        <v>56</v>
      </c>
      <c r="F12" s="839" t="s">
        <v>2068</v>
      </c>
      <c r="G12" s="840"/>
      <c r="H12" s="841"/>
      <c r="I12" s="841"/>
      <c r="J12" s="840"/>
      <c r="K12" s="840"/>
      <c r="L12" s="840"/>
      <c r="M12" s="841"/>
      <c r="N12" s="1903"/>
      <c r="O12" s="2517"/>
      <c r="P12" s="841"/>
      <c r="Q12" s="841"/>
      <c r="R12" s="841"/>
      <c r="S12" s="840"/>
      <c r="T12" s="842"/>
      <c r="U12" s="841"/>
      <c r="V12" s="840"/>
      <c r="W12" s="840"/>
      <c r="X12" s="840"/>
      <c r="Y12" s="840"/>
      <c r="Z12" s="840"/>
      <c r="AA12" s="840"/>
      <c r="AB12" s="840"/>
      <c r="AC12" s="840"/>
      <c r="AD12" s="840"/>
      <c r="AE12" s="840"/>
      <c r="AF12" s="840"/>
      <c r="AG12" s="840"/>
      <c r="AH12" s="840"/>
      <c r="AI12" s="840"/>
      <c r="AJ12" s="840"/>
      <c r="AK12" s="840"/>
      <c r="AL12" s="840"/>
      <c r="AM12" s="840"/>
      <c r="AN12" s="843"/>
    </row>
    <row r="13" spans="1:254" ht="48.75" customHeight="1" x14ac:dyDescent="0.2">
      <c r="A13" s="830"/>
      <c r="B13" s="831"/>
      <c r="C13" s="838"/>
      <c r="D13" s="831"/>
      <c r="E13" s="3962"/>
      <c r="F13" s="3963"/>
      <c r="G13" s="3968">
        <v>180</v>
      </c>
      <c r="H13" s="3922" t="s">
        <v>2069</v>
      </c>
      <c r="I13" s="3402" t="s">
        <v>2070</v>
      </c>
      <c r="J13" s="3398">
        <v>1</v>
      </c>
      <c r="K13" s="3916" t="s">
        <v>2071</v>
      </c>
      <c r="L13" s="3971" t="s">
        <v>2072</v>
      </c>
      <c r="M13" s="3909" t="s">
        <v>2073</v>
      </c>
      <c r="N13" s="3941">
        <f>SUM(S13:S16)/O13</f>
        <v>0.65509862607338021</v>
      </c>
      <c r="O13" s="3577">
        <f>SUM(S13:S20)</f>
        <v>64050000</v>
      </c>
      <c r="P13" s="3922" t="s">
        <v>2074</v>
      </c>
      <c r="Q13" s="2899" t="s">
        <v>2075</v>
      </c>
      <c r="R13" s="853" t="s">
        <v>2076</v>
      </c>
      <c r="S13" s="2467">
        <f>28960000-6136200</f>
        <v>22823800</v>
      </c>
      <c r="T13" s="1832" t="s">
        <v>1043</v>
      </c>
      <c r="U13" s="1832" t="s">
        <v>61</v>
      </c>
      <c r="V13" s="3974">
        <v>1813</v>
      </c>
      <c r="W13" s="3974">
        <v>1887</v>
      </c>
      <c r="X13" s="3569">
        <v>2000</v>
      </c>
      <c r="Y13" s="3569">
        <v>700</v>
      </c>
      <c r="Z13" s="3569">
        <v>1000</v>
      </c>
      <c r="AA13" s="3569"/>
      <c r="AB13" s="3569"/>
      <c r="AC13" s="3569"/>
      <c r="AD13" s="3569"/>
      <c r="AE13" s="3569"/>
      <c r="AF13" s="3569"/>
      <c r="AG13" s="3569"/>
      <c r="AH13" s="3569"/>
      <c r="AI13" s="3569"/>
      <c r="AJ13" s="3569"/>
      <c r="AK13" s="3569">
        <f>SUM(X13:AA20)</f>
        <v>3700</v>
      </c>
      <c r="AL13" s="3339">
        <v>43467</v>
      </c>
      <c r="AM13" s="3339">
        <v>43830</v>
      </c>
      <c r="AN13" s="2899" t="s">
        <v>2077</v>
      </c>
    </row>
    <row r="14" spans="1:254" ht="51.75" customHeight="1" x14ac:dyDescent="0.2">
      <c r="A14" s="830"/>
      <c r="B14" s="831"/>
      <c r="C14" s="838"/>
      <c r="D14" s="831"/>
      <c r="E14" s="3964"/>
      <c r="F14" s="3965"/>
      <c r="G14" s="3969"/>
      <c r="H14" s="3909"/>
      <c r="I14" s="3406"/>
      <c r="J14" s="3399"/>
      <c r="K14" s="3917"/>
      <c r="L14" s="3958"/>
      <c r="M14" s="3909"/>
      <c r="N14" s="3941"/>
      <c r="O14" s="3577"/>
      <c r="P14" s="3909"/>
      <c r="Q14" s="3397"/>
      <c r="R14" s="938" t="s">
        <v>2078</v>
      </c>
      <c r="S14" s="2467">
        <v>3500000</v>
      </c>
      <c r="T14" s="1832" t="s">
        <v>1043</v>
      </c>
      <c r="U14" s="1832" t="s">
        <v>61</v>
      </c>
      <c r="V14" s="3975"/>
      <c r="W14" s="3975"/>
      <c r="X14" s="3570"/>
      <c r="Y14" s="3570"/>
      <c r="Z14" s="3570"/>
      <c r="AA14" s="3570"/>
      <c r="AB14" s="3570"/>
      <c r="AC14" s="3570"/>
      <c r="AD14" s="3570"/>
      <c r="AE14" s="3570"/>
      <c r="AF14" s="3570"/>
      <c r="AG14" s="3570"/>
      <c r="AH14" s="3570"/>
      <c r="AI14" s="3570"/>
      <c r="AJ14" s="3570"/>
      <c r="AK14" s="3570"/>
      <c r="AL14" s="3339"/>
      <c r="AM14" s="3339"/>
      <c r="AN14" s="3397"/>
    </row>
    <row r="15" spans="1:254" ht="63.75" customHeight="1" x14ac:dyDescent="0.2">
      <c r="A15" s="830"/>
      <c r="B15" s="831"/>
      <c r="C15" s="838"/>
      <c r="D15" s="831"/>
      <c r="E15" s="3964"/>
      <c r="F15" s="3965"/>
      <c r="G15" s="3969"/>
      <c r="H15" s="3909"/>
      <c r="I15" s="3406"/>
      <c r="J15" s="3399"/>
      <c r="K15" s="3917"/>
      <c r="L15" s="3958"/>
      <c r="M15" s="3909"/>
      <c r="N15" s="3941"/>
      <c r="O15" s="3577"/>
      <c r="P15" s="3909"/>
      <c r="Q15" s="3397"/>
      <c r="R15" s="1809" t="s">
        <v>2079</v>
      </c>
      <c r="S15" s="2467">
        <v>4280000</v>
      </c>
      <c r="T15" s="1832" t="s">
        <v>1043</v>
      </c>
      <c r="U15" s="1832" t="s">
        <v>61</v>
      </c>
      <c r="V15" s="3975"/>
      <c r="W15" s="3975"/>
      <c r="X15" s="3570"/>
      <c r="Y15" s="3570"/>
      <c r="Z15" s="3570"/>
      <c r="AA15" s="3570"/>
      <c r="AB15" s="3570"/>
      <c r="AC15" s="3570"/>
      <c r="AD15" s="3570"/>
      <c r="AE15" s="3570"/>
      <c r="AF15" s="3570"/>
      <c r="AG15" s="3570"/>
      <c r="AH15" s="3570"/>
      <c r="AI15" s="3570"/>
      <c r="AJ15" s="3570"/>
      <c r="AK15" s="3570"/>
      <c r="AL15" s="3339"/>
      <c r="AM15" s="3339"/>
      <c r="AN15" s="3397"/>
    </row>
    <row r="16" spans="1:254" ht="66" customHeight="1" x14ac:dyDescent="0.2">
      <c r="A16" s="830"/>
      <c r="B16" s="831"/>
      <c r="C16" s="838"/>
      <c r="D16" s="831"/>
      <c r="E16" s="3964"/>
      <c r="F16" s="3965"/>
      <c r="G16" s="3970"/>
      <c r="H16" s="3943"/>
      <c r="I16" s="3403"/>
      <c r="J16" s="3412"/>
      <c r="K16" s="3917"/>
      <c r="L16" s="3958"/>
      <c r="M16" s="3909"/>
      <c r="N16" s="3941"/>
      <c r="O16" s="3577"/>
      <c r="P16" s="3909"/>
      <c r="Q16" s="2900"/>
      <c r="R16" s="1809" t="s">
        <v>2080</v>
      </c>
      <c r="S16" s="2467">
        <f>7960000+3395267</f>
        <v>11355267</v>
      </c>
      <c r="T16" s="1832" t="s">
        <v>1043</v>
      </c>
      <c r="U16" s="1832" t="s">
        <v>61</v>
      </c>
      <c r="V16" s="3975"/>
      <c r="W16" s="3975"/>
      <c r="X16" s="3570"/>
      <c r="Y16" s="3570"/>
      <c r="Z16" s="3570"/>
      <c r="AA16" s="3570"/>
      <c r="AB16" s="3570"/>
      <c r="AC16" s="3570"/>
      <c r="AD16" s="3570"/>
      <c r="AE16" s="3570"/>
      <c r="AF16" s="3570"/>
      <c r="AG16" s="3570"/>
      <c r="AH16" s="3570"/>
      <c r="AI16" s="3570"/>
      <c r="AJ16" s="3570"/>
      <c r="AK16" s="3570"/>
      <c r="AL16" s="3339"/>
      <c r="AM16" s="3339"/>
      <c r="AN16" s="3397"/>
    </row>
    <row r="17" spans="1:40" ht="66" customHeight="1" x14ac:dyDescent="0.2">
      <c r="A17" s="830"/>
      <c r="B17" s="831"/>
      <c r="C17" s="838"/>
      <c r="D17" s="831"/>
      <c r="E17" s="3964"/>
      <c r="F17" s="3965"/>
      <c r="G17" s="3968">
        <v>181</v>
      </c>
      <c r="H17" s="3922" t="s">
        <v>2081</v>
      </c>
      <c r="I17" s="3402" t="s">
        <v>2082</v>
      </c>
      <c r="J17" s="3398">
        <v>6</v>
      </c>
      <c r="K17" s="3917"/>
      <c r="L17" s="3958"/>
      <c r="M17" s="3909"/>
      <c r="N17" s="3941">
        <f>SUM(S17:S20)/O13</f>
        <v>0.34490137392661985</v>
      </c>
      <c r="O17" s="3577"/>
      <c r="P17" s="3909"/>
      <c r="Q17" s="2899" t="s">
        <v>2083</v>
      </c>
      <c r="R17" s="853" t="s">
        <v>2084</v>
      </c>
      <c r="S17" s="2467">
        <f>4750000+126933</f>
        <v>4876933</v>
      </c>
      <c r="T17" s="1832" t="s">
        <v>1043</v>
      </c>
      <c r="U17" s="1832" t="s">
        <v>61</v>
      </c>
      <c r="V17" s="3975"/>
      <c r="W17" s="3975"/>
      <c r="X17" s="3570"/>
      <c r="Y17" s="3570"/>
      <c r="Z17" s="3570"/>
      <c r="AA17" s="3570"/>
      <c r="AB17" s="3570"/>
      <c r="AC17" s="3570"/>
      <c r="AD17" s="3570"/>
      <c r="AE17" s="3570"/>
      <c r="AF17" s="3570"/>
      <c r="AG17" s="3570"/>
      <c r="AH17" s="3570"/>
      <c r="AI17" s="3570"/>
      <c r="AJ17" s="3570"/>
      <c r="AK17" s="3570"/>
      <c r="AL17" s="3339"/>
      <c r="AM17" s="3339"/>
      <c r="AN17" s="3397"/>
    </row>
    <row r="18" spans="1:40" ht="72" customHeight="1" x14ac:dyDescent="0.2">
      <c r="A18" s="830"/>
      <c r="B18" s="831"/>
      <c r="C18" s="838"/>
      <c r="D18" s="831"/>
      <c r="E18" s="3964"/>
      <c r="F18" s="3965"/>
      <c r="G18" s="3969"/>
      <c r="H18" s="3909"/>
      <c r="I18" s="3406"/>
      <c r="J18" s="3399"/>
      <c r="K18" s="3917"/>
      <c r="L18" s="3958"/>
      <c r="M18" s="3909"/>
      <c r="N18" s="3941"/>
      <c r="O18" s="3577"/>
      <c r="P18" s="3909"/>
      <c r="Q18" s="3397"/>
      <c r="R18" s="853" t="s">
        <v>2085</v>
      </c>
      <c r="S18" s="2467">
        <f>5750000+750000</f>
        <v>6500000</v>
      </c>
      <c r="T18" s="1832" t="s">
        <v>1043</v>
      </c>
      <c r="U18" s="1832" t="s">
        <v>61</v>
      </c>
      <c r="V18" s="3975"/>
      <c r="W18" s="3975"/>
      <c r="X18" s="3570"/>
      <c r="Y18" s="3570"/>
      <c r="Z18" s="3570"/>
      <c r="AA18" s="3570"/>
      <c r="AB18" s="3570"/>
      <c r="AC18" s="3570"/>
      <c r="AD18" s="3570"/>
      <c r="AE18" s="3570"/>
      <c r="AF18" s="3570"/>
      <c r="AG18" s="3570"/>
      <c r="AH18" s="3570"/>
      <c r="AI18" s="3570"/>
      <c r="AJ18" s="3570"/>
      <c r="AK18" s="3570"/>
      <c r="AL18" s="3339"/>
      <c r="AM18" s="3339"/>
      <c r="AN18" s="3397"/>
    </row>
    <row r="19" spans="1:40" ht="66" customHeight="1" x14ac:dyDescent="0.2">
      <c r="A19" s="830"/>
      <c r="B19" s="831"/>
      <c r="C19" s="838"/>
      <c r="D19" s="831"/>
      <c r="E19" s="3964"/>
      <c r="F19" s="3965"/>
      <c r="G19" s="3969"/>
      <c r="H19" s="3909"/>
      <c r="I19" s="3406"/>
      <c r="J19" s="3399"/>
      <c r="K19" s="3917"/>
      <c r="L19" s="3958"/>
      <c r="M19" s="3909"/>
      <c r="N19" s="3941"/>
      <c r="O19" s="3577"/>
      <c r="P19" s="3909"/>
      <c r="Q19" s="3397"/>
      <c r="R19" s="853" t="s">
        <v>2086</v>
      </c>
      <c r="S19" s="2467">
        <f>4750000+1500000</f>
        <v>6250000</v>
      </c>
      <c r="T19" s="1832" t="s">
        <v>1043</v>
      </c>
      <c r="U19" s="1832" t="s">
        <v>61</v>
      </c>
      <c r="V19" s="3975"/>
      <c r="W19" s="3975"/>
      <c r="X19" s="3570"/>
      <c r="Y19" s="3570"/>
      <c r="Z19" s="3570"/>
      <c r="AA19" s="3570"/>
      <c r="AB19" s="3570"/>
      <c r="AC19" s="3570"/>
      <c r="AD19" s="3570"/>
      <c r="AE19" s="3570"/>
      <c r="AF19" s="3570"/>
      <c r="AG19" s="3570"/>
      <c r="AH19" s="3570"/>
      <c r="AI19" s="3570"/>
      <c r="AJ19" s="3570"/>
      <c r="AK19" s="3570"/>
      <c r="AL19" s="3339"/>
      <c r="AM19" s="3339"/>
      <c r="AN19" s="3397"/>
    </row>
    <row r="20" spans="1:40" ht="57.75" customHeight="1" x14ac:dyDescent="0.2">
      <c r="A20" s="830"/>
      <c r="B20" s="831"/>
      <c r="C20" s="844"/>
      <c r="D20" s="845"/>
      <c r="E20" s="3966"/>
      <c r="F20" s="3967"/>
      <c r="G20" s="3970"/>
      <c r="H20" s="3943"/>
      <c r="I20" s="3403"/>
      <c r="J20" s="3412"/>
      <c r="K20" s="3946"/>
      <c r="L20" s="3972"/>
      <c r="M20" s="3943"/>
      <c r="N20" s="3941"/>
      <c r="O20" s="3973"/>
      <c r="P20" s="3943"/>
      <c r="Q20" s="2900"/>
      <c r="R20" s="938" t="s">
        <v>2087</v>
      </c>
      <c r="S20" s="2468">
        <f>4100000+364000</f>
        <v>4464000</v>
      </c>
      <c r="T20" s="1832" t="s">
        <v>1043</v>
      </c>
      <c r="U20" s="1832" t="s">
        <v>61</v>
      </c>
      <c r="V20" s="3976"/>
      <c r="W20" s="3976"/>
      <c r="X20" s="3571"/>
      <c r="Y20" s="3571"/>
      <c r="Z20" s="3571"/>
      <c r="AA20" s="3571"/>
      <c r="AB20" s="3571"/>
      <c r="AC20" s="3571"/>
      <c r="AD20" s="3571"/>
      <c r="AE20" s="3571"/>
      <c r="AF20" s="3571"/>
      <c r="AG20" s="3571"/>
      <c r="AH20" s="3571"/>
      <c r="AI20" s="3571"/>
      <c r="AJ20" s="3571"/>
      <c r="AK20" s="3571"/>
      <c r="AL20" s="3908"/>
      <c r="AM20" s="3908"/>
      <c r="AN20" s="2900"/>
    </row>
    <row r="21" spans="1:40" ht="15" x14ac:dyDescent="0.2">
      <c r="A21" s="830"/>
      <c r="B21" s="831"/>
      <c r="C21" s="832">
        <v>17</v>
      </c>
      <c r="D21" s="846" t="s">
        <v>2088</v>
      </c>
      <c r="E21" s="847"/>
      <c r="F21" s="847"/>
      <c r="G21" s="847"/>
      <c r="H21" s="1083"/>
      <c r="I21" s="1083"/>
      <c r="J21" s="847"/>
      <c r="K21" s="847"/>
      <c r="L21" s="847"/>
      <c r="M21" s="848"/>
      <c r="N21" s="1904"/>
      <c r="O21" s="2516"/>
      <c r="P21" s="1083"/>
      <c r="Q21" s="1083"/>
      <c r="R21" s="1083"/>
      <c r="S21" s="2516"/>
      <c r="T21" s="849"/>
      <c r="U21" s="848"/>
      <c r="V21" s="847"/>
      <c r="W21" s="847"/>
      <c r="X21" s="847"/>
      <c r="Y21" s="847"/>
      <c r="Z21" s="847"/>
      <c r="AA21" s="847"/>
      <c r="AB21" s="847"/>
      <c r="AC21" s="847"/>
      <c r="AD21" s="847"/>
      <c r="AE21" s="847"/>
      <c r="AF21" s="847"/>
      <c r="AG21" s="847"/>
      <c r="AH21" s="847"/>
      <c r="AI21" s="847"/>
      <c r="AJ21" s="847"/>
      <c r="AK21" s="847"/>
      <c r="AL21" s="847"/>
      <c r="AM21" s="847"/>
      <c r="AN21" s="769"/>
    </row>
    <row r="22" spans="1:40" ht="15" x14ac:dyDescent="0.2">
      <c r="A22" s="830"/>
      <c r="B22" s="831"/>
      <c r="C22" s="379"/>
      <c r="D22" s="380"/>
      <c r="E22" s="729">
        <v>58</v>
      </c>
      <c r="F22" s="839" t="s">
        <v>2089</v>
      </c>
      <c r="G22" s="840"/>
      <c r="H22" s="1084"/>
      <c r="I22" s="1084"/>
      <c r="J22" s="840"/>
      <c r="K22" s="840"/>
      <c r="L22" s="840"/>
      <c r="M22" s="841"/>
      <c r="N22" s="1903"/>
      <c r="O22" s="2517"/>
      <c r="P22" s="1084"/>
      <c r="Q22" s="1084"/>
      <c r="R22" s="1086"/>
      <c r="S22" s="2517"/>
      <c r="T22" s="859"/>
      <c r="U22" s="850"/>
      <c r="V22" s="840"/>
      <c r="W22" s="840"/>
      <c r="X22" s="840"/>
      <c r="Y22" s="840"/>
      <c r="Z22" s="840"/>
      <c r="AA22" s="840"/>
      <c r="AB22" s="840"/>
      <c r="AC22" s="840"/>
      <c r="AD22" s="840"/>
      <c r="AE22" s="840"/>
      <c r="AF22" s="840"/>
      <c r="AG22" s="840"/>
      <c r="AH22" s="840"/>
      <c r="AI22" s="840"/>
      <c r="AJ22" s="840"/>
      <c r="AK22" s="840"/>
      <c r="AL22" s="840"/>
      <c r="AM22" s="840"/>
      <c r="AN22" s="843"/>
    </row>
    <row r="23" spans="1:40" ht="51.75" customHeight="1" x14ac:dyDescent="0.2">
      <c r="A23" s="830"/>
      <c r="B23" s="831"/>
      <c r="C23" s="379"/>
      <c r="D23" s="380"/>
      <c r="E23" s="370"/>
      <c r="F23" s="372"/>
      <c r="G23" s="3955">
        <v>183</v>
      </c>
      <c r="H23" s="3915" t="s">
        <v>2090</v>
      </c>
      <c r="I23" s="3915" t="s">
        <v>2091</v>
      </c>
      <c r="J23" s="3956">
        <v>1</v>
      </c>
      <c r="K23" s="3916" t="s">
        <v>2092</v>
      </c>
      <c r="L23" s="3958" t="s">
        <v>2093</v>
      </c>
      <c r="M23" s="3909" t="s">
        <v>2094</v>
      </c>
      <c r="N23" s="3923">
        <f>SUM(S23:S29)/O23</f>
        <v>1</v>
      </c>
      <c r="O23" s="3577">
        <f>SUM(S23:S29)</f>
        <v>178850000</v>
      </c>
      <c r="P23" s="3909" t="s">
        <v>2095</v>
      </c>
      <c r="Q23" s="3434" t="s">
        <v>2096</v>
      </c>
      <c r="R23" s="853" t="s">
        <v>2097</v>
      </c>
      <c r="S23" s="2518">
        <v>18590000</v>
      </c>
      <c r="T23" s="1588">
        <v>20</v>
      </c>
      <c r="U23" s="1589" t="s">
        <v>61</v>
      </c>
      <c r="V23" s="3911">
        <v>3625</v>
      </c>
      <c r="W23" s="3891">
        <v>3875</v>
      </c>
      <c r="X23" s="3891">
        <v>2000</v>
      </c>
      <c r="Y23" s="3891">
        <v>4000</v>
      </c>
      <c r="Z23" s="3891">
        <v>1000</v>
      </c>
      <c r="AA23" s="3891">
        <v>500</v>
      </c>
      <c r="AB23" s="3891"/>
      <c r="AC23" s="3891"/>
      <c r="AD23" s="3891"/>
      <c r="AE23" s="3891"/>
      <c r="AF23" s="3891"/>
      <c r="AG23" s="3891"/>
      <c r="AH23" s="3891"/>
      <c r="AI23" s="3891"/>
      <c r="AJ23" s="3891"/>
      <c r="AK23" s="3913">
        <f>SUM(X23:AI29)</f>
        <v>7500</v>
      </c>
      <c r="AL23" s="3338">
        <v>43467</v>
      </c>
      <c r="AM23" s="3339">
        <v>43830</v>
      </c>
      <c r="AN23" s="3397" t="s">
        <v>2077</v>
      </c>
    </row>
    <row r="24" spans="1:40" ht="86.25" customHeight="1" x14ac:dyDescent="0.2">
      <c r="A24" s="830"/>
      <c r="B24" s="831"/>
      <c r="C24" s="379"/>
      <c r="D24" s="380"/>
      <c r="E24" s="379"/>
      <c r="F24" s="380"/>
      <c r="G24" s="3955"/>
      <c r="H24" s="3915"/>
      <c r="I24" s="3915"/>
      <c r="J24" s="3956"/>
      <c r="K24" s="3917"/>
      <c r="L24" s="3958"/>
      <c r="M24" s="3909"/>
      <c r="N24" s="3923"/>
      <c r="O24" s="3577"/>
      <c r="P24" s="3909"/>
      <c r="Q24" s="3910"/>
      <c r="R24" s="853" t="s">
        <v>2098</v>
      </c>
      <c r="S24" s="2518">
        <f>40770000+14981000-15881418</f>
        <v>39869582</v>
      </c>
      <c r="T24" s="1588">
        <v>20</v>
      </c>
      <c r="U24" s="1589" t="s">
        <v>61</v>
      </c>
      <c r="V24" s="3911"/>
      <c r="W24" s="3891"/>
      <c r="X24" s="3891"/>
      <c r="Y24" s="3891"/>
      <c r="Z24" s="3891"/>
      <c r="AA24" s="3891"/>
      <c r="AB24" s="3891"/>
      <c r="AC24" s="3891"/>
      <c r="AD24" s="3891"/>
      <c r="AE24" s="3891"/>
      <c r="AF24" s="3891"/>
      <c r="AG24" s="3891"/>
      <c r="AH24" s="3891"/>
      <c r="AI24" s="3891"/>
      <c r="AJ24" s="3891"/>
      <c r="AK24" s="3891"/>
      <c r="AL24" s="3931"/>
      <c r="AM24" s="3339"/>
      <c r="AN24" s="3397"/>
    </row>
    <row r="25" spans="1:40" ht="55.5" customHeight="1" x14ac:dyDescent="0.2">
      <c r="A25" s="830"/>
      <c r="B25" s="831"/>
      <c r="C25" s="379"/>
      <c r="D25" s="380"/>
      <c r="E25" s="379"/>
      <c r="F25" s="380"/>
      <c r="G25" s="3955"/>
      <c r="H25" s="3915"/>
      <c r="I25" s="3915"/>
      <c r="J25" s="3956"/>
      <c r="K25" s="3917"/>
      <c r="L25" s="3958"/>
      <c r="M25" s="3909"/>
      <c r="N25" s="3923"/>
      <c r="O25" s="3577"/>
      <c r="P25" s="3909"/>
      <c r="Q25" s="3910"/>
      <c r="R25" s="853" t="s">
        <v>2099</v>
      </c>
      <c r="S25" s="2518">
        <f>37180000-7180000</f>
        <v>30000000</v>
      </c>
      <c r="T25" s="1588">
        <v>20</v>
      </c>
      <c r="U25" s="1589" t="s">
        <v>61</v>
      </c>
      <c r="V25" s="3911"/>
      <c r="W25" s="3891"/>
      <c r="X25" s="3891"/>
      <c r="Y25" s="3891"/>
      <c r="Z25" s="3891"/>
      <c r="AA25" s="3891"/>
      <c r="AB25" s="3891"/>
      <c r="AC25" s="3891"/>
      <c r="AD25" s="3891"/>
      <c r="AE25" s="3891"/>
      <c r="AF25" s="3891"/>
      <c r="AG25" s="3891"/>
      <c r="AH25" s="3891"/>
      <c r="AI25" s="3891"/>
      <c r="AJ25" s="3891"/>
      <c r="AK25" s="3891"/>
      <c r="AL25" s="3931"/>
      <c r="AM25" s="3339"/>
      <c r="AN25" s="3397"/>
    </row>
    <row r="26" spans="1:40" ht="51.75" customHeight="1" x14ac:dyDescent="0.2">
      <c r="A26" s="830"/>
      <c r="B26" s="831"/>
      <c r="C26" s="379"/>
      <c r="D26" s="380"/>
      <c r="E26" s="379"/>
      <c r="F26" s="380"/>
      <c r="G26" s="3955"/>
      <c r="H26" s="3915"/>
      <c r="I26" s="3915"/>
      <c r="J26" s="3956"/>
      <c r="K26" s="3917"/>
      <c r="L26" s="3958"/>
      <c r="M26" s="3909"/>
      <c r="N26" s="3923"/>
      <c r="O26" s="3577"/>
      <c r="P26" s="3909"/>
      <c r="Q26" s="3910"/>
      <c r="R26" s="853" t="s">
        <v>2100</v>
      </c>
      <c r="S26" s="2518">
        <f>37180000-7801000</f>
        <v>29379000</v>
      </c>
      <c r="T26" s="1833">
        <v>20</v>
      </c>
      <c r="U26" s="1118" t="s">
        <v>61</v>
      </c>
      <c r="V26" s="3911"/>
      <c r="W26" s="3891"/>
      <c r="X26" s="3891"/>
      <c r="Y26" s="3891"/>
      <c r="Z26" s="3891"/>
      <c r="AA26" s="3891"/>
      <c r="AB26" s="3891"/>
      <c r="AC26" s="3891"/>
      <c r="AD26" s="3891"/>
      <c r="AE26" s="3891"/>
      <c r="AF26" s="3891"/>
      <c r="AG26" s="3891"/>
      <c r="AH26" s="3891"/>
      <c r="AI26" s="3891"/>
      <c r="AJ26" s="3891"/>
      <c r="AK26" s="3891"/>
      <c r="AL26" s="3931"/>
      <c r="AM26" s="3339"/>
      <c r="AN26" s="3397"/>
    </row>
    <row r="27" spans="1:40" ht="45.75" customHeight="1" x14ac:dyDescent="0.2">
      <c r="A27" s="830"/>
      <c r="B27" s="831"/>
      <c r="C27" s="379"/>
      <c r="D27" s="380"/>
      <c r="E27" s="379"/>
      <c r="F27" s="380"/>
      <c r="G27" s="3955"/>
      <c r="H27" s="3915"/>
      <c r="I27" s="3915"/>
      <c r="J27" s="3956"/>
      <c r="K27" s="3917"/>
      <c r="L27" s="3958"/>
      <c r="M27" s="3909"/>
      <c r="N27" s="3923"/>
      <c r="O27" s="3577"/>
      <c r="P27" s="3909"/>
      <c r="Q27" s="3910"/>
      <c r="R27" s="853" t="s">
        <v>2101</v>
      </c>
      <c r="S27" s="2519">
        <f>31130000-13093617</f>
        <v>18036383</v>
      </c>
      <c r="T27" s="1833">
        <v>20</v>
      </c>
      <c r="U27" s="1118" t="s">
        <v>61</v>
      </c>
      <c r="V27" s="3911"/>
      <c r="W27" s="3891"/>
      <c r="X27" s="3891"/>
      <c r="Y27" s="3891"/>
      <c r="Z27" s="3891"/>
      <c r="AA27" s="3891"/>
      <c r="AB27" s="3891"/>
      <c r="AC27" s="3891"/>
      <c r="AD27" s="3891"/>
      <c r="AE27" s="3891"/>
      <c r="AF27" s="3891"/>
      <c r="AG27" s="3891"/>
      <c r="AH27" s="3891"/>
      <c r="AI27" s="3891"/>
      <c r="AJ27" s="3891"/>
      <c r="AK27" s="3891"/>
      <c r="AL27" s="3931"/>
      <c r="AM27" s="3339"/>
      <c r="AN27" s="3397"/>
    </row>
    <row r="28" spans="1:40" ht="33.75" customHeight="1" x14ac:dyDescent="0.2">
      <c r="A28" s="830"/>
      <c r="B28" s="831"/>
      <c r="C28" s="379"/>
      <c r="D28" s="380"/>
      <c r="E28" s="379"/>
      <c r="F28" s="380"/>
      <c r="G28" s="3955"/>
      <c r="H28" s="3915"/>
      <c r="I28" s="3915"/>
      <c r="J28" s="3956"/>
      <c r="K28" s="3917"/>
      <c r="L28" s="3958"/>
      <c r="M28" s="3909"/>
      <c r="N28" s="3923"/>
      <c r="O28" s="3577"/>
      <c r="P28" s="3909"/>
      <c r="Q28" s="2899" t="s">
        <v>2102</v>
      </c>
      <c r="R28" s="938" t="s">
        <v>2103</v>
      </c>
      <c r="S28" s="2519">
        <f>6000000+28975035</f>
        <v>34975035</v>
      </c>
      <c r="T28" s="1833">
        <v>20</v>
      </c>
      <c r="U28" s="1118" t="s">
        <v>61</v>
      </c>
      <c r="V28" s="3911"/>
      <c r="W28" s="3891"/>
      <c r="X28" s="3891"/>
      <c r="Y28" s="3891"/>
      <c r="Z28" s="3891"/>
      <c r="AA28" s="3891"/>
      <c r="AB28" s="3891"/>
      <c r="AC28" s="3891"/>
      <c r="AD28" s="3891"/>
      <c r="AE28" s="3891"/>
      <c r="AF28" s="3891"/>
      <c r="AG28" s="3891"/>
      <c r="AH28" s="3891"/>
      <c r="AI28" s="3891"/>
      <c r="AJ28" s="3891"/>
      <c r="AK28" s="3891"/>
      <c r="AL28" s="3931"/>
      <c r="AM28" s="3339"/>
      <c r="AN28" s="3397"/>
    </row>
    <row r="29" spans="1:40" ht="31.5" customHeight="1" x14ac:dyDescent="0.2">
      <c r="A29" s="830"/>
      <c r="B29" s="831"/>
      <c r="C29" s="379"/>
      <c r="D29" s="380"/>
      <c r="E29" s="379"/>
      <c r="F29" s="380"/>
      <c r="G29" s="3955"/>
      <c r="H29" s="3915"/>
      <c r="I29" s="3915"/>
      <c r="J29" s="3957"/>
      <c r="K29" s="3917"/>
      <c r="L29" s="3958"/>
      <c r="M29" s="3909"/>
      <c r="N29" s="3923"/>
      <c r="O29" s="3575"/>
      <c r="P29" s="3909"/>
      <c r="Q29" s="3397"/>
      <c r="R29" s="938" t="s">
        <v>2104</v>
      </c>
      <c r="S29" s="2519">
        <v>8000000</v>
      </c>
      <c r="T29" s="1833">
        <v>20</v>
      </c>
      <c r="U29" s="1118" t="s">
        <v>61</v>
      </c>
      <c r="V29" s="3911"/>
      <c r="W29" s="3891"/>
      <c r="X29" s="3891"/>
      <c r="Y29" s="3891"/>
      <c r="Z29" s="3891"/>
      <c r="AA29" s="3891"/>
      <c r="AB29" s="3891"/>
      <c r="AC29" s="3891"/>
      <c r="AD29" s="3891"/>
      <c r="AE29" s="3891"/>
      <c r="AF29" s="3891"/>
      <c r="AG29" s="3891"/>
      <c r="AH29" s="3891"/>
      <c r="AI29" s="3891"/>
      <c r="AJ29" s="3891"/>
      <c r="AK29" s="3567"/>
      <c r="AL29" s="3931"/>
      <c r="AM29" s="3338"/>
      <c r="AN29" s="3397"/>
    </row>
    <row r="30" spans="1:40" ht="28.5" customHeight="1" x14ac:dyDescent="0.2">
      <c r="A30" s="830"/>
      <c r="B30" s="831"/>
      <c r="C30" s="379"/>
      <c r="D30" s="380"/>
      <c r="E30" s="729">
        <v>59</v>
      </c>
      <c r="F30" s="839" t="s">
        <v>2105</v>
      </c>
      <c r="G30" s="851"/>
      <c r="H30" s="1084"/>
      <c r="I30" s="1084"/>
      <c r="J30" s="840"/>
      <c r="K30" s="840"/>
      <c r="L30" s="840"/>
      <c r="M30" s="841"/>
      <c r="N30" s="1903"/>
      <c r="O30" s="2517"/>
      <c r="P30" s="1084"/>
      <c r="Q30" s="1086"/>
      <c r="R30" s="1084" t="s">
        <v>2106</v>
      </c>
      <c r="S30" s="2520"/>
      <c r="T30" s="1117"/>
      <c r="U30" s="1116"/>
      <c r="V30" s="840"/>
      <c r="W30" s="840"/>
      <c r="X30" s="840"/>
      <c r="Y30" s="840"/>
      <c r="Z30" s="840"/>
      <c r="AA30" s="840"/>
      <c r="AB30" s="840"/>
      <c r="AC30" s="840"/>
      <c r="AD30" s="840"/>
      <c r="AE30" s="840"/>
      <c r="AF30" s="840"/>
      <c r="AG30" s="840"/>
      <c r="AH30" s="840"/>
      <c r="AI30" s="840"/>
      <c r="AJ30" s="840"/>
      <c r="AK30" s="840"/>
      <c r="AL30" s="840"/>
      <c r="AM30" s="840"/>
      <c r="AN30" s="843"/>
    </row>
    <row r="31" spans="1:40" ht="52.5" customHeight="1" x14ac:dyDescent="0.2">
      <c r="A31" s="830"/>
      <c r="B31" s="831"/>
      <c r="C31" s="379"/>
      <c r="D31" s="380"/>
      <c r="E31" s="379"/>
      <c r="F31" s="852"/>
      <c r="G31" s="3977">
        <v>184</v>
      </c>
      <c r="H31" s="3978" t="s">
        <v>2107</v>
      </c>
      <c r="I31" s="3402" t="s">
        <v>2108</v>
      </c>
      <c r="J31" s="3569">
        <v>1</v>
      </c>
      <c r="K31" s="3980" t="s">
        <v>2109</v>
      </c>
      <c r="L31" s="3971" t="s">
        <v>2110</v>
      </c>
      <c r="M31" s="3981" t="s">
        <v>2111</v>
      </c>
      <c r="N31" s="3941">
        <f>SUM(S31:S37)/O31</f>
        <v>0.84878821717366193</v>
      </c>
      <c r="O31" s="3973">
        <f>SUM(S31:S43)</f>
        <v>519400000</v>
      </c>
      <c r="P31" s="3982" t="s">
        <v>2112</v>
      </c>
      <c r="Q31" s="3413" t="s">
        <v>2113</v>
      </c>
      <c r="R31" s="853" t="s">
        <v>2114</v>
      </c>
      <c r="S31" s="2519">
        <f>12600000-6100000</f>
        <v>6500000</v>
      </c>
      <c r="T31" s="1833">
        <v>20</v>
      </c>
      <c r="U31" s="1398" t="s">
        <v>61</v>
      </c>
      <c r="V31" s="3983">
        <v>8575</v>
      </c>
      <c r="W31" s="3983">
        <v>8925</v>
      </c>
      <c r="X31" s="3907">
        <v>12000</v>
      </c>
      <c r="Y31" s="3984">
        <v>4000</v>
      </c>
      <c r="Z31" s="3984">
        <v>1500</v>
      </c>
      <c r="AA31" s="3907"/>
      <c r="AB31" s="3907"/>
      <c r="AC31" s="3907"/>
      <c r="AD31" s="3907"/>
      <c r="AE31" s="3907"/>
      <c r="AF31" s="3907"/>
      <c r="AG31" s="3907"/>
      <c r="AH31" s="3907"/>
      <c r="AI31" s="3907"/>
      <c r="AJ31" s="3907"/>
      <c r="AK31" s="3912">
        <f>SUM(V31:W41)</f>
        <v>17500</v>
      </c>
      <c r="AL31" s="3908">
        <v>43467</v>
      </c>
      <c r="AM31" s="3908">
        <v>43830</v>
      </c>
      <c r="AN31" s="3413" t="s">
        <v>2077</v>
      </c>
    </row>
    <row r="32" spans="1:40" ht="54.75" customHeight="1" x14ac:dyDescent="0.2">
      <c r="A32" s="830"/>
      <c r="B32" s="831"/>
      <c r="C32" s="379"/>
      <c r="D32" s="380"/>
      <c r="E32" s="379"/>
      <c r="F32" s="852"/>
      <c r="G32" s="3977"/>
      <c r="H32" s="3979"/>
      <c r="I32" s="3406"/>
      <c r="J32" s="3570"/>
      <c r="K32" s="3980"/>
      <c r="L32" s="3958"/>
      <c r="M32" s="3981"/>
      <c r="N32" s="3941"/>
      <c r="O32" s="3973"/>
      <c r="P32" s="3982"/>
      <c r="Q32" s="3413"/>
      <c r="R32" s="1809" t="s">
        <v>2115</v>
      </c>
      <c r="S32" s="2519">
        <f>12100000-5600000</f>
        <v>6500000</v>
      </c>
      <c r="T32" s="1833">
        <v>20</v>
      </c>
      <c r="U32" s="1398" t="s">
        <v>61</v>
      </c>
      <c r="V32" s="3983"/>
      <c r="W32" s="3983"/>
      <c r="X32" s="3907"/>
      <c r="Y32" s="3984"/>
      <c r="Z32" s="3984"/>
      <c r="AA32" s="3907"/>
      <c r="AB32" s="3907"/>
      <c r="AC32" s="3907"/>
      <c r="AD32" s="3907"/>
      <c r="AE32" s="3907"/>
      <c r="AF32" s="3907"/>
      <c r="AG32" s="3907"/>
      <c r="AH32" s="3907"/>
      <c r="AI32" s="3907"/>
      <c r="AJ32" s="3907"/>
      <c r="AK32" s="3912"/>
      <c r="AL32" s="3908"/>
      <c r="AM32" s="3908"/>
      <c r="AN32" s="3413"/>
    </row>
    <row r="33" spans="1:40" ht="60.75" customHeight="1" x14ac:dyDescent="0.2">
      <c r="A33" s="830"/>
      <c r="B33" s="831"/>
      <c r="C33" s="379"/>
      <c r="D33" s="380"/>
      <c r="E33" s="379"/>
      <c r="F33" s="852"/>
      <c r="G33" s="3977"/>
      <c r="H33" s="3979"/>
      <c r="I33" s="3406"/>
      <c r="J33" s="3570"/>
      <c r="K33" s="3980"/>
      <c r="L33" s="3958"/>
      <c r="M33" s="3981"/>
      <c r="N33" s="3941"/>
      <c r="O33" s="3973"/>
      <c r="P33" s="3982"/>
      <c r="Q33" s="3413"/>
      <c r="R33" s="1854" t="s">
        <v>2116</v>
      </c>
      <c r="S33" s="2518">
        <f>20000000+10170000+7000000+1460600</f>
        <v>38630600</v>
      </c>
      <c r="T33" s="1588">
        <v>20</v>
      </c>
      <c r="U33" s="1590" t="s">
        <v>61</v>
      </c>
      <c r="V33" s="3983"/>
      <c r="W33" s="3983"/>
      <c r="X33" s="3907"/>
      <c r="Y33" s="3984"/>
      <c r="Z33" s="3984"/>
      <c r="AA33" s="3907"/>
      <c r="AB33" s="3907"/>
      <c r="AC33" s="3907"/>
      <c r="AD33" s="3907"/>
      <c r="AE33" s="3907"/>
      <c r="AF33" s="3907"/>
      <c r="AG33" s="3907"/>
      <c r="AH33" s="3907"/>
      <c r="AI33" s="3907"/>
      <c r="AJ33" s="3907"/>
      <c r="AK33" s="3912"/>
      <c r="AL33" s="3908"/>
      <c r="AM33" s="3908"/>
      <c r="AN33" s="3413"/>
    </row>
    <row r="34" spans="1:40" ht="69" customHeight="1" x14ac:dyDescent="0.2">
      <c r="A34" s="830"/>
      <c r="B34" s="831"/>
      <c r="C34" s="379"/>
      <c r="D34" s="380"/>
      <c r="E34" s="379"/>
      <c r="F34" s="852"/>
      <c r="G34" s="3977"/>
      <c r="H34" s="3979"/>
      <c r="I34" s="3406"/>
      <c r="J34" s="3570"/>
      <c r="K34" s="3980"/>
      <c r="L34" s="3958"/>
      <c r="M34" s="3981"/>
      <c r="N34" s="3941"/>
      <c r="O34" s="3973"/>
      <c r="P34" s="3982"/>
      <c r="Q34" s="3413"/>
      <c r="R34" s="1854" t="s">
        <v>2117</v>
      </c>
      <c r="S34" s="2518">
        <v>29400000</v>
      </c>
      <c r="T34" s="1588">
        <v>20</v>
      </c>
      <c r="U34" s="1590" t="s">
        <v>61</v>
      </c>
      <c r="V34" s="3983"/>
      <c r="W34" s="3983"/>
      <c r="X34" s="3907"/>
      <c r="Y34" s="3984"/>
      <c r="Z34" s="3984"/>
      <c r="AA34" s="3907"/>
      <c r="AB34" s="3907"/>
      <c r="AC34" s="3907"/>
      <c r="AD34" s="3907"/>
      <c r="AE34" s="3907"/>
      <c r="AF34" s="3907"/>
      <c r="AG34" s="3907"/>
      <c r="AH34" s="3907"/>
      <c r="AI34" s="3907"/>
      <c r="AJ34" s="3907"/>
      <c r="AK34" s="3912"/>
      <c r="AL34" s="3908"/>
      <c r="AM34" s="3908"/>
      <c r="AN34" s="3413"/>
    </row>
    <row r="35" spans="1:40" ht="89.25" customHeight="1" x14ac:dyDescent="0.2">
      <c r="A35" s="830"/>
      <c r="B35" s="831"/>
      <c r="C35" s="379"/>
      <c r="D35" s="380"/>
      <c r="E35" s="379"/>
      <c r="F35" s="852"/>
      <c r="G35" s="3977"/>
      <c r="H35" s="3979"/>
      <c r="I35" s="3406"/>
      <c r="J35" s="3570"/>
      <c r="K35" s="3980"/>
      <c r="L35" s="3958"/>
      <c r="M35" s="3981"/>
      <c r="N35" s="3941"/>
      <c r="O35" s="3973"/>
      <c r="P35" s="3982"/>
      <c r="Q35" s="3413"/>
      <c r="R35" s="1854" t="s">
        <v>2118</v>
      </c>
      <c r="S35" s="2518">
        <f>11300000-9470000</f>
        <v>1830000</v>
      </c>
      <c r="T35" s="1588">
        <v>20</v>
      </c>
      <c r="U35" s="1590" t="s">
        <v>61</v>
      </c>
      <c r="V35" s="3983"/>
      <c r="W35" s="3983"/>
      <c r="X35" s="3907"/>
      <c r="Y35" s="3984"/>
      <c r="Z35" s="3984"/>
      <c r="AA35" s="3907"/>
      <c r="AB35" s="3907"/>
      <c r="AC35" s="3907"/>
      <c r="AD35" s="3907"/>
      <c r="AE35" s="3907"/>
      <c r="AF35" s="3907"/>
      <c r="AG35" s="3907"/>
      <c r="AH35" s="3907"/>
      <c r="AI35" s="3907"/>
      <c r="AJ35" s="3907"/>
      <c r="AK35" s="3912"/>
      <c r="AL35" s="3908"/>
      <c r="AM35" s="3908"/>
      <c r="AN35" s="3413"/>
    </row>
    <row r="36" spans="1:40" ht="65.25" customHeight="1" x14ac:dyDescent="0.2">
      <c r="A36" s="830"/>
      <c r="B36" s="831"/>
      <c r="C36" s="379"/>
      <c r="D36" s="380"/>
      <c r="E36" s="379"/>
      <c r="F36" s="852"/>
      <c r="G36" s="3977"/>
      <c r="H36" s="3979"/>
      <c r="I36" s="3406"/>
      <c r="J36" s="3570"/>
      <c r="K36" s="3980"/>
      <c r="L36" s="3958"/>
      <c r="M36" s="3981"/>
      <c r="N36" s="3941"/>
      <c r="O36" s="3973"/>
      <c r="P36" s="3982"/>
      <c r="Q36" s="3413"/>
      <c r="R36" s="1435" t="s">
        <v>2119</v>
      </c>
      <c r="S36" s="2518">
        <f>0+350000000</f>
        <v>350000000</v>
      </c>
      <c r="T36" s="1588">
        <v>20</v>
      </c>
      <c r="U36" s="1590" t="s">
        <v>61</v>
      </c>
      <c r="V36" s="3983"/>
      <c r="W36" s="3983"/>
      <c r="X36" s="3907"/>
      <c r="Y36" s="3984"/>
      <c r="Z36" s="3984"/>
      <c r="AA36" s="3907"/>
      <c r="AB36" s="3907"/>
      <c r="AC36" s="3907"/>
      <c r="AD36" s="3907"/>
      <c r="AE36" s="3907"/>
      <c r="AF36" s="3907"/>
      <c r="AG36" s="3907"/>
      <c r="AH36" s="3907"/>
      <c r="AI36" s="3907"/>
      <c r="AJ36" s="3907"/>
      <c r="AK36" s="3912"/>
      <c r="AL36" s="3908"/>
      <c r="AM36" s="3908"/>
      <c r="AN36" s="3413"/>
    </row>
    <row r="37" spans="1:40" ht="66.75" customHeight="1" x14ac:dyDescent="0.2">
      <c r="A37" s="830"/>
      <c r="B37" s="831"/>
      <c r="C37" s="379"/>
      <c r="D37" s="380"/>
      <c r="E37" s="379"/>
      <c r="F37" s="852"/>
      <c r="G37" s="3977"/>
      <c r="H37" s="3979"/>
      <c r="I37" s="3406"/>
      <c r="J37" s="3570"/>
      <c r="K37" s="3980"/>
      <c r="L37" s="3958"/>
      <c r="M37" s="3981"/>
      <c r="N37" s="3941"/>
      <c r="O37" s="3973"/>
      <c r="P37" s="3982"/>
      <c r="Q37" s="3413"/>
      <c r="R37" s="1435" t="s">
        <v>2120</v>
      </c>
      <c r="S37" s="2518">
        <f>4000000+11000000-7000000</f>
        <v>8000000</v>
      </c>
      <c r="T37" s="1588">
        <v>20</v>
      </c>
      <c r="U37" s="1590" t="s">
        <v>61</v>
      </c>
      <c r="V37" s="3983"/>
      <c r="W37" s="3983"/>
      <c r="X37" s="3907"/>
      <c r="Y37" s="3984"/>
      <c r="Z37" s="3984"/>
      <c r="AA37" s="3907"/>
      <c r="AB37" s="3907"/>
      <c r="AC37" s="3907"/>
      <c r="AD37" s="3907"/>
      <c r="AE37" s="3907"/>
      <c r="AF37" s="3907"/>
      <c r="AG37" s="3907"/>
      <c r="AH37" s="3907"/>
      <c r="AI37" s="3907"/>
      <c r="AJ37" s="3907"/>
      <c r="AK37" s="3912"/>
      <c r="AL37" s="3908"/>
      <c r="AM37" s="3908"/>
      <c r="AN37" s="3413"/>
    </row>
    <row r="38" spans="1:40" ht="49.5" customHeight="1" x14ac:dyDescent="0.2">
      <c r="A38" s="830"/>
      <c r="B38" s="831"/>
      <c r="C38" s="379"/>
      <c r="D38" s="380"/>
      <c r="E38" s="379"/>
      <c r="F38" s="380"/>
      <c r="G38" s="2784">
        <v>185</v>
      </c>
      <c r="H38" s="3914" t="s">
        <v>2121</v>
      </c>
      <c r="I38" s="3402" t="s">
        <v>2122</v>
      </c>
      <c r="J38" s="3569">
        <v>1</v>
      </c>
      <c r="K38" s="3980"/>
      <c r="L38" s="3958"/>
      <c r="M38" s="3981"/>
      <c r="N38" s="3941">
        <f>SUM(S38:S40)/O31</f>
        <v>7.4199845976126305E-2</v>
      </c>
      <c r="O38" s="3973"/>
      <c r="P38" s="3981"/>
      <c r="Q38" s="3987" t="s">
        <v>2123</v>
      </c>
      <c r="R38" s="1435" t="s">
        <v>2124</v>
      </c>
      <c r="S38" s="2518">
        <v>19000000</v>
      </c>
      <c r="T38" s="1588">
        <v>20</v>
      </c>
      <c r="U38" s="1590" t="s">
        <v>61</v>
      </c>
      <c r="V38" s="3983"/>
      <c r="W38" s="3983"/>
      <c r="X38" s="3907"/>
      <c r="Y38" s="3984"/>
      <c r="Z38" s="3984"/>
      <c r="AA38" s="3907"/>
      <c r="AB38" s="3907"/>
      <c r="AC38" s="3907"/>
      <c r="AD38" s="3907"/>
      <c r="AE38" s="3907"/>
      <c r="AF38" s="3907"/>
      <c r="AG38" s="3907"/>
      <c r="AH38" s="3907"/>
      <c r="AI38" s="3907"/>
      <c r="AJ38" s="3907"/>
      <c r="AK38" s="3912"/>
      <c r="AL38" s="3908"/>
      <c r="AM38" s="3908"/>
      <c r="AN38" s="3413"/>
    </row>
    <row r="39" spans="1:40" ht="36.75" customHeight="1" x14ac:dyDescent="0.2">
      <c r="A39" s="830"/>
      <c r="B39" s="831"/>
      <c r="C39" s="379"/>
      <c r="D39" s="380"/>
      <c r="E39" s="379"/>
      <c r="F39" s="380"/>
      <c r="G39" s="2784"/>
      <c r="H39" s="3915"/>
      <c r="I39" s="3406"/>
      <c r="J39" s="3570"/>
      <c r="K39" s="3980"/>
      <c r="L39" s="3958"/>
      <c r="M39" s="3981"/>
      <c r="N39" s="3941"/>
      <c r="O39" s="3973"/>
      <c r="P39" s="3981"/>
      <c r="Q39" s="3987"/>
      <c r="R39" s="853" t="s">
        <v>2125</v>
      </c>
      <c r="S39" s="2519">
        <f>18600000-1460600</f>
        <v>17139400</v>
      </c>
      <c r="T39" s="1833">
        <v>20</v>
      </c>
      <c r="U39" s="1398" t="s">
        <v>61</v>
      </c>
      <c r="V39" s="3983"/>
      <c r="W39" s="3983"/>
      <c r="X39" s="3907"/>
      <c r="Y39" s="3984"/>
      <c r="Z39" s="3984"/>
      <c r="AA39" s="3907"/>
      <c r="AB39" s="3907"/>
      <c r="AC39" s="3907"/>
      <c r="AD39" s="3907"/>
      <c r="AE39" s="3907"/>
      <c r="AF39" s="3907"/>
      <c r="AG39" s="3907"/>
      <c r="AH39" s="3907"/>
      <c r="AI39" s="3907"/>
      <c r="AJ39" s="3907"/>
      <c r="AK39" s="3912"/>
      <c r="AL39" s="3908"/>
      <c r="AM39" s="3908"/>
      <c r="AN39" s="3413"/>
    </row>
    <row r="40" spans="1:40" ht="52.5" customHeight="1" x14ac:dyDescent="0.2">
      <c r="A40" s="830"/>
      <c r="B40" s="831"/>
      <c r="C40" s="379"/>
      <c r="D40" s="380"/>
      <c r="E40" s="379"/>
      <c r="F40" s="380"/>
      <c r="G40" s="2790"/>
      <c r="H40" s="3944"/>
      <c r="I40" s="3403"/>
      <c r="J40" s="3571"/>
      <c r="K40" s="3980"/>
      <c r="L40" s="3958"/>
      <c r="M40" s="3981"/>
      <c r="N40" s="3941"/>
      <c r="O40" s="3973"/>
      <c r="P40" s="3981"/>
      <c r="Q40" s="3988"/>
      <c r="R40" s="853" t="s">
        <v>2126</v>
      </c>
      <c r="S40" s="2519">
        <v>2400000</v>
      </c>
      <c r="T40" s="1833">
        <v>20</v>
      </c>
      <c r="U40" s="1398" t="s">
        <v>61</v>
      </c>
      <c r="V40" s="3983"/>
      <c r="W40" s="3983"/>
      <c r="X40" s="3907"/>
      <c r="Y40" s="3984"/>
      <c r="Z40" s="3984"/>
      <c r="AA40" s="3907"/>
      <c r="AB40" s="3907"/>
      <c r="AC40" s="3907"/>
      <c r="AD40" s="3907"/>
      <c r="AE40" s="3907"/>
      <c r="AF40" s="3907"/>
      <c r="AG40" s="3907"/>
      <c r="AH40" s="3907"/>
      <c r="AI40" s="3907"/>
      <c r="AJ40" s="3907"/>
      <c r="AK40" s="3912"/>
      <c r="AL40" s="3908"/>
      <c r="AM40" s="3908"/>
      <c r="AN40" s="3413"/>
    </row>
    <row r="41" spans="1:40" ht="67.5" customHeight="1" x14ac:dyDescent="0.2">
      <c r="A41" s="830"/>
      <c r="B41" s="831"/>
      <c r="C41" s="379"/>
      <c r="D41" s="380"/>
      <c r="E41" s="379"/>
      <c r="F41" s="852"/>
      <c r="G41" s="3977">
        <v>186</v>
      </c>
      <c r="H41" s="3985" t="s">
        <v>2127</v>
      </c>
      <c r="I41" s="3427" t="s">
        <v>2128</v>
      </c>
      <c r="J41" s="3907">
        <v>1</v>
      </c>
      <c r="K41" s="3980"/>
      <c r="L41" s="3958"/>
      <c r="M41" s="3981"/>
      <c r="N41" s="3941">
        <f>SUM(S41:S43)/O31</f>
        <v>7.7011936850211779E-2</v>
      </c>
      <c r="O41" s="3973"/>
      <c r="P41" s="3981"/>
      <c r="Q41" s="3986" t="s">
        <v>2129</v>
      </c>
      <c r="R41" s="854" t="s">
        <v>2130</v>
      </c>
      <c r="S41" s="2519">
        <f>25000000+1451000</f>
        <v>26451000</v>
      </c>
      <c r="T41" s="1833">
        <v>20</v>
      </c>
      <c r="U41" s="1398" t="s">
        <v>61</v>
      </c>
      <c r="V41" s="3983"/>
      <c r="W41" s="3983"/>
      <c r="X41" s="3907"/>
      <c r="Y41" s="3984"/>
      <c r="Z41" s="3984"/>
      <c r="AA41" s="3907"/>
      <c r="AB41" s="3907"/>
      <c r="AC41" s="3907"/>
      <c r="AD41" s="3907"/>
      <c r="AE41" s="3907"/>
      <c r="AF41" s="3907"/>
      <c r="AG41" s="3907"/>
      <c r="AH41" s="3907"/>
      <c r="AI41" s="3907"/>
      <c r="AJ41" s="3907"/>
      <c r="AK41" s="3912"/>
      <c r="AL41" s="3908"/>
      <c r="AM41" s="3908"/>
      <c r="AN41" s="3413"/>
    </row>
    <row r="42" spans="1:40" ht="64.5" customHeight="1" x14ac:dyDescent="0.2">
      <c r="A42" s="830"/>
      <c r="B42" s="831"/>
      <c r="C42" s="379"/>
      <c r="D42" s="380"/>
      <c r="E42" s="379"/>
      <c r="F42" s="852"/>
      <c r="G42" s="3977"/>
      <c r="H42" s="3985"/>
      <c r="I42" s="3427"/>
      <c r="J42" s="3907"/>
      <c r="K42" s="3980"/>
      <c r="L42" s="3958"/>
      <c r="M42" s="3981"/>
      <c r="N42" s="3941"/>
      <c r="O42" s="3973"/>
      <c r="P42" s="3981"/>
      <c r="Q42" s="3987"/>
      <c r="R42" s="854" t="s">
        <v>2131</v>
      </c>
      <c r="S42" s="2519">
        <f>8500000-1451000</f>
        <v>7049000</v>
      </c>
      <c r="T42" s="1833">
        <v>20</v>
      </c>
      <c r="U42" s="1398" t="s">
        <v>61</v>
      </c>
      <c r="V42" s="3983"/>
      <c r="W42" s="3983"/>
      <c r="X42" s="3907"/>
      <c r="Y42" s="3984"/>
      <c r="Z42" s="3984"/>
      <c r="AA42" s="3907"/>
      <c r="AB42" s="3907"/>
      <c r="AC42" s="3907"/>
      <c r="AD42" s="3907"/>
      <c r="AE42" s="3907"/>
      <c r="AF42" s="3907"/>
      <c r="AG42" s="3907"/>
      <c r="AH42" s="3907"/>
      <c r="AI42" s="3907"/>
      <c r="AJ42" s="3907"/>
      <c r="AK42" s="3912"/>
      <c r="AL42" s="3908"/>
      <c r="AM42" s="3908"/>
      <c r="AN42" s="3413"/>
    </row>
    <row r="43" spans="1:40" ht="42.75" x14ac:dyDescent="0.2">
      <c r="A43" s="830"/>
      <c r="B43" s="831"/>
      <c r="C43" s="379"/>
      <c r="D43" s="380"/>
      <c r="E43" s="379"/>
      <c r="F43" s="852"/>
      <c r="G43" s="3977"/>
      <c r="H43" s="3985"/>
      <c r="I43" s="3427"/>
      <c r="J43" s="3907"/>
      <c r="K43" s="3980"/>
      <c r="L43" s="3972"/>
      <c r="M43" s="3981"/>
      <c r="N43" s="3941"/>
      <c r="O43" s="3973"/>
      <c r="P43" s="3981"/>
      <c r="Q43" s="3988"/>
      <c r="R43" s="855" t="s">
        <v>2132</v>
      </c>
      <c r="S43" s="2519">
        <v>6500000</v>
      </c>
      <c r="T43" s="1833">
        <v>20</v>
      </c>
      <c r="U43" s="1398" t="s">
        <v>61</v>
      </c>
      <c r="V43" s="3983"/>
      <c r="W43" s="3983"/>
      <c r="X43" s="3907"/>
      <c r="Y43" s="3984"/>
      <c r="Z43" s="3984"/>
      <c r="AA43" s="3907"/>
      <c r="AB43" s="3907"/>
      <c r="AC43" s="3907"/>
      <c r="AD43" s="3907"/>
      <c r="AE43" s="3907"/>
      <c r="AF43" s="3907"/>
      <c r="AG43" s="3907"/>
      <c r="AH43" s="3907"/>
      <c r="AI43" s="3907"/>
      <c r="AJ43" s="3907"/>
      <c r="AK43" s="3912"/>
      <c r="AL43" s="3908"/>
      <c r="AM43" s="3908"/>
      <c r="AN43" s="3413"/>
    </row>
    <row r="44" spans="1:40" ht="15" x14ac:dyDescent="0.2">
      <c r="A44" s="830"/>
      <c r="B44" s="831"/>
      <c r="C44" s="379"/>
      <c r="D44" s="380"/>
      <c r="E44" s="856">
        <v>60</v>
      </c>
      <c r="F44" s="839" t="s">
        <v>2133</v>
      </c>
      <c r="G44" s="840"/>
      <c r="H44" s="1084"/>
      <c r="I44" s="1084"/>
      <c r="J44" s="840"/>
      <c r="K44" s="840"/>
      <c r="L44" s="840"/>
      <c r="M44" s="841"/>
      <c r="N44" s="1903"/>
      <c r="O44" s="2517"/>
      <c r="P44" s="1084"/>
      <c r="Q44" s="1084"/>
      <c r="R44" s="1084"/>
      <c r="S44" s="2520"/>
      <c r="T44" s="1117"/>
      <c r="U44" s="841"/>
      <c r="V44" s="840"/>
      <c r="W44" s="840"/>
      <c r="X44" s="840"/>
      <c r="Y44" s="840"/>
      <c r="Z44" s="840"/>
      <c r="AA44" s="840"/>
      <c r="AB44" s="840"/>
      <c r="AC44" s="840"/>
      <c r="AD44" s="840"/>
      <c r="AE44" s="840"/>
      <c r="AF44" s="840"/>
      <c r="AG44" s="840"/>
      <c r="AH44" s="840"/>
      <c r="AI44" s="840"/>
      <c r="AJ44" s="840"/>
      <c r="AK44" s="840"/>
      <c r="AL44" s="840"/>
      <c r="AM44" s="840"/>
      <c r="AN44" s="843"/>
    </row>
    <row r="45" spans="1:40" ht="52.5" customHeight="1" x14ac:dyDescent="0.2">
      <c r="A45" s="830"/>
      <c r="B45" s="831"/>
      <c r="C45" s="379"/>
      <c r="D45" s="380"/>
      <c r="E45" s="370"/>
      <c r="F45" s="372"/>
      <c r="G45" s="2789">
        <v>187</v>
      </c>
      <c r="H45" s="3914" t="s">
        <v>2134</v>
      </c>
      <c r="I45" s="2899" t="s">
        <v>2135</v>
      </c>
      <c r="J45" s="3566">
        <v>1</v>
      </c>
      <c r="K45" s="3916" t="s">
        <v>2136</v>
      </c>
      <c r="L45" s="3919" t="s">
        <v>2137</v>
      </c>
      <c r="M45" s="3909" t="s">
        <v>2138</v>
      </c>
      <c r="N45" s="3941">
        <f>SUM(S45:S50)/O45</f>
        <v>0.26666666666666666</v>
      </c>
      <c r="O45" s="3577">
        <f>SUM(S45:S56)</f>
        <v>120000000</v>
      </c>
      <c r="P45" s="3909" t="s">
        <v>2139</v>
      </c>
      <c r="Q45" s="3427" t="s">
        <v>2140</v>
      </c>
      <c r="R45" s="1435" t="s">
        <v>2141</v>
      </c>
      <c r="S45" s="2518">
        <v>10000000</v>
      </c>
      <c r="T45" s="1588">
        <v>20</v>
      </c>
      <c r="U45" s="1590" t="s">
        <v>61</v>
      </c>
      <c r="V45" s="3990">
        <v>2500</v>
      </c>
      <c r="W45" s="3992">
        <v>1500</v>
      </c>
      <c r="X45" s="3569"/>
      <c r="Y45" s="3569">
        <v>2500</v>
      </c>
      <c r="Z45" s="3569">
        <v>1500</v>
      </c>
      <c r="AA45" s="3569"/>
      <c r="AB45" s="3994"/>
      <c r="AC45" s="3569"/>
      <c r="AD45" s="3566"/>
      <c r="AE45" s="3566"/>
      <c r="AF45" s="3566"/>
      <c r="AG45" s="3566"/>
      <c r="AH45" s="3566"/>
      <c r="AI45" s="3566"/>
      <c r="AJ45" s="3566"/>
      <c r="AK45" s="3566">
        <f>SUM(V45:W56)</f>
        <v>4000</v>
      </c>
      <c r="AL45" s="3989">
        <v>43467</v>
      </c>
      <c r="AM45" s="3339">
        <v>43830</v>
      </c>
      <c r="AN45" s="2900" t="s">
        <v>2077</v>
      </c>
    </row>
    <row r="46" spans="1:40" ht="45" customHeight="1" x14ac:dyDescent="0.2">
      <c r="A46" s="830"/>
      <c r="B46" s="831"/>
      <c r="C46" s="379"/>
      <c r="D46" s="380"/>
      <c r="E46" s="379"/>
      <c r="F46" s="380"/>
      <c r="G46" s="2784"/>
      <c r="H46" s="3915"/>
      <c r="I46" s="3397"/>
      <c r="J46" s="3567"/>
      <c r="K46" s="3917"/>
      <c r="L46" s="3919"/>
      <c r="M46" s="3909"/>
      <c r="N46" s="3941"/>
      <c r="O46" s="3577"/>
      <c r="P46" s="3909"/>
      <c r="Q46" s="3427"/>
      <c r="R46" s="1435" t="s">
        <v>2142</v>
      </c>
      <c r="S46" s="2518">
        <f>8000000-8000000</f>
        <v>0</v>
      </c>
      <c r="T46" s="1588">
        <v>20</v>
      </c>
      <c r="U46" s="1590" t="s">
        <v>61</v>
      </c>
      <c r="V46" s="3991"/>
      <c r="W46" s="3993"/>
      <c r="X46" s="3570"/>
      <c r="Y46" s="3570"/>
      <c r="Z46" s="3570"/>
      <c r="AA46" s="3570"/>
      <c r="AB46" s="3995"/>
      <c r="AC46" s="3570"/>
      <c r="AD46" s="3567"/>
      <c r="AE46" s="3567"/>
      <c r="AF46" s="3567"/>
      <c r="AG46" s="3567"/>
      <c r="AH46" s="3567"/>
      <c r="AI46" s="3567"/>
      <c r="AJ46" s="3567"/>
      <c r="AK46" s="3567"/>
      <c r="AL46" s="3989"/>
      <c r="AM46" s="3339"/>
      <c r="AN46" s="2900"/>
    </row>
    <row r="47" spans="1:40" ht="51" customHeight="1" x14ac:dyDescent="0.2">
      <c r="A47" s="830"/>
      <c r="B47" s="831"/>
      <c r="C47" s="379"/>
      <c r="D47" s="380"/>
      <c r="E47" s="379"/>
      <c r="F47" s="380"/>
      <c r="G47" s="2784"/>
      <c r="H47" s="3915"/>
      <c r="I47" s="3397"/>
      <c r="J47" s="3567"/>
      <c r="K47" s="3917"/>
      <c r="L47" s="3919"/>
      <c r="M47" s="3909"/>
      <c r="N47" s="3941"/>
      <c r="O47" s="3577"/>
      <c r="P47" s="3909"/>
      <c r="Q47" s="3427"/>
      <c r="R47" s="1435" t="s">
        <v>2143</v>
      </c>
      <c r="S47" s="2518">
        <v>8000000</v>
      </c>
      <c r="T47" s="1588">
        <v>20</v>
      </c>
      <c r="U47" s="1590" t="s">
        <v>1526</v>
      </c>
      <c r="V47" s="3991"/>
      <c r="W47" s="3993"/>
      <c r="X47" s="3570"/>
      <c r="Y47" s="3570"/>
      <c r="Z47" s="3570"/>
      <c r="AA47" s="3570"/>
      <c r="AB47" s="3995"/>
      <c r="AC47" s="3570"/>
      <c r="AD47" s="3567"/>
      <c r="AE47" s="3567"/>
      <c r="AF47" s="3567"/>
      <c r="AG47" s="3567"/>
      <c r="AH47" s="3567"/>
      <c r="AI47" s="3567"/>
      <c r="AJ47" s="3567"/>
      <c r="AK47" s="3567"/>
      <c r="AL47" s="3989"/>
      <c r="AM47" s="3339"/>
      <c r="AN47" s="2900"/>
    </row>
    <row r="48" spans="1:40" ht="63.75" customHeight="1" x14ac:dyDescent="0.2">
      <c r="A48" s="830"/>
      <c r="B48" s="831"/>
      <c r="C48" s="379"/>
      <c r="D48" s="380"/>
      <c r="E48" s="379"/>
      <c r="F48" s="380"/>
      <c r="G48" s="2784"/>
      <c r="H48" s="3915"/>
      <c r="I48" s="3397"/>
      <c r="J48" s="3567"/>
      <c r="K48" s="3917"/>
      <c r="L48" s="3919"/>
      <c r="M48" s="3909"/>
      <c r="N48" s="3941"/>
      <c r="O48" s="3577"/>
      <c r="P48" s="3909"/>
      <c r="Q48" s="3427"/>
      <c r="R48" s="1435" t="s">
        <v>2144</v>
      </c>
      <c r="S48" s="2518">
        <v>4000000</v>
      </c>
      <c r="T48" s="1588">
        <v>20</v>
      </c>
      <c r="U48" s="1590" t="s">
        <v>61</v>
      </c>
      <c r="V48" s="3991"/>
      <c r="W48" s="3993"/>
      <c r="X48" s="3570"/>
      <c r="Y48" s="3570"/>
      <c r="Z48" s="3570"/>
      <c r="AA48" s="3570"/>
      <c r="AB48" s="3995"/>
      <c r="AC48" s="3570"/>
      <c r="AD48" s="3567"/>
      <c r="AE48" s="3567"/>
      <c r="AF48" s="3567"/>
      <c r="AG48" s="3567"/>
      <c r="AH48" s="3567"/>
      <c r="AI48" s="3567"/>
      <c r="AJ48" s="3567"/>
      <c r="AK48" s="3567"/>
      <c r="AL48" s="3989"/>
      <c r="AM48" s="3339"/>
      <c r="AN48" s="2900"/>
    </row>
    <row r="49" spans="1:40" ht="46.5" customHeight="1" x14ac:dyDescent="0.2">
      <c r="A49" s="830"/>
      <c r="B49" s="831"/>
      <c r="C49" s="379"/>
      <c r="D49" s="380"/>
      <c r="E49" s="379"/>
      <c r="F49" s="380"/>
      <c r="G49" s="2784"/>
      <c r="H49" s="3915"/>
      <c r="I49" s="3397"/>
      <c r="J49" s="3567"/>
      <c r="K49" s="3917"/>
      <c r="L49" s="3919"/>
      <c r="M49" s="3909"/>
      <c r="N49" s="3941"/>
      <c r="O49" s="3577"/>
      <c r="P49" s="3909"/>
      <c r="Q49" s="3427"/>
      <c r="R49" s="1435" t="s">
        <v>2145</v>
      </c>
      <c r="S49" s="2518">
        <v>9000000</v>
      </c>
      <c r="T49" s="1588">
        <v>20</v>
      </c>
      <c r="U49" s="1590" t="s">
        <v>61</v>
      </c>
      <c r="V49" s="3991"/>
      <c r="W49" s="3993"/>
      <c r="X49" s="3570"/>
      <c r="Y49" s="3570"/>
      <c r="Z49" s="3570"/>
      <c r="AA49" s="3570"/>
      <c r="AB49" s="3995"/>
      <c r="AC49" s="3570"/>
      <c r="AD49" s="3567"/>
      <c r="AE49" s="3567"/>
      <c r="AF49" s="3567"/>
      <c r="AG49" s="3567"/>
      <c r="AH49" s="3567"/>
      <c r="AI49" s="3567"/>
      <c r="AJ49" s="3567"/>
      <c r="AK49" s="3567"/>
      <c r="AL49" s="3989"/>
      <c r="AM49" s="3339"/>
      <c r="AN49" s="2900"/>
    </row>
    <row r="50" spans="1:40" ht="35.25" customHeight="1" x14ac:dyDescent="0.2">
      <c r="A50" s="830"/>
      <c r="B50" s="831"/>
      <c r="C50" s="379"/>
      <c r="D50" s="380"/>
      <c r="E50" s="379"/>
      <c r="F50" s="380"/>
      <c r="G50" s="2790"/>
      <c r="H50" s="3944"/>
      <c r="I50" s="2900"/>
      <c r="J50" s="3568"/>
      <c r="K50" s="3917"/>
      <c r="L50" s="3919"/>
      <c r="M50" s="3909"/>
      <c r="N50" s="3941"/>
      <c r="O50" s="3577"/>
      <c r="P50" s="3909"/>
      <c r="Q50" s="3427"/>
      <c r="R50" s="1435" t="s">
        <v>2146</v>
      </c>
      <c r="S50" s="2518">
        <v>1000000</v>
      </c>
      <c r="T50" s="1588">
        <v>20</v>
      </c>
      <c r="U50" s="1590" t="s">
        <v>61</v>
      </c>
      <c r="V50" s="3991"/>
      <c r="W50" s="3993"/>
      <c r="X50" s="3570"/>
      <c r="Y50" s="3570"/>
      <c r="Z50" s="3570"/>
      <c r="AA50" s="3570"/>
      <c r="AB50" s="3995"/>
      <c r="AC50" s="3570"/>
      <c r="AD50" s="3567"/>
      <c r="AE50" s="3567"/>
      <c r="AF50" s="3567"/>
      <c r="AG50" s="3567"/>
      <c r="AH50" s="3567"/>
      <c r="AI50" s="3567"/>
      <c r="AJ50" s="3567"/>
      <c r="AK50" s="3567"/>
      <c r="AL50" s="3989"/>
      <c r="AM50" s="3339"/>
      <c r="AN50" s="2900"/>
    </row>
    <row r="51" spans="1:40" ht="89.25" customHeight="1" x14ac:dyDescent="0.2">
      <c r="A51" s="830"/>
      <c r="B51" s="831"/>
      <c r="C51" s="379"/>
      <c r="D51" s="380"/>
      <c r="E51" s="379"/>
      <c r="F51" s="380"/>
      <c r="G51" s="2789">
        <v>188</v>
      </c>
      <c r="H51" s="3914" t="s">
        <v>2147</v>
      </c>
      <c r="I51" s="2899" t="s">
        <v>2148</v>
      </c>
      <c r="J51" s="3566">
        <v>2</v>
      </c>
      <c r="K51" s="3917"/>
      <c r="L51" s="3919"/>
      <c r="M51" s="3909"/>
      <c r="N51" s="3941">
        <f>SUM(S51:S53)/O45</f>
        <v>0.4</v>
      </c>
      <c r="O51" s="3577"/>
      <c r="P51" s="3909"/>
      <c r="Q51" s="2899" t="s">
        <v>2147</v>
      </c>
      <c r="R51" s="1854" t="s">
        <v>2149</v>
      </c>
      <c r="S51" s="2518">
        <v>30000000</v>
      </c>
      <c r="T51" s="1588">
        <v>20</v>
      </c>
      <c r="U51" s="1590" t="s">
        <v>61</v>
      </c>
      <c r="V51" s="3991"/>
      <c r="W51" s="3993"/>
      <c r="X51" s="3570"/>
      <c r="Y51" s="3570"/>
      <c r="Z51" s="3570"/>
      <c r="AA51" s="3570"/>
      <c r="AB51" s="3995"/>
      <c r="AC51" s="3570"/>
      <c r="AD51" s="3567"/>
      <c r="AE51" s="3567"/>
      <c r="AF51" s="3567"/>
      <c r="AG51" s="3567"/>
      <c r="AH51" s="3567"/>
      <c r="AI51" s="3567"/>
      <c r="AJ51" s="3567"/>
      <c r="AK51" s="3567"/>
      <c r="AL51" s="3989"/>
      <c r="AM51" s="3339"/>
      <c r="AN51" s="2900"/>
    </row>
    <row r="52" spans="1:40" ht="52.5" customHeight="1" x14ac:dyDescent="0.2">
      <c r="A52" s="830"/>
      <c r="B52" s="831"/>
      <c r="C52" s="379"/>
      <c r="D52" s="380"/>
      <c r="E52" s="379"/>
      <c r="F52" s="380"/>
      <c r="G52" s="2784"/>
      <c r="H52" s="3915"/>
      <c r="I52" s="3397"/>
      <c r="J52" s="3567"/>
      <c r="K52" s="3917"/>
      <c r="L52" s="3919"/>
      <c r="M52" s="3909"/>
      <c r="N52" s="3941"/>
      <c r="O52" s="3577"/>
      <c r="P52" s="3909"/>
      <c r="Q52" s="3397"/>
      <c r="R52" s="1854" t="s">
        <v>2150</v>
      </c>
      <c r="S52" s="2518">
        <f>7000000+8000000</f>
        <v>15000000</v>
      </c>
      <c r="T52" s="1588">
        <v>20</v>
      </c>
      <c r="U52" s="1590" t="s">
        <v>61</v>
      </c>
      <c r="V52" s="3991"/>
      <c r="W52" s="3993"/>
      <c r="X52" s="3570"/>
      <c r="Y52" s="3570"/>
      <c r="Z52" s="3570"/>
      <c r="AA52" s="3570"/>
      <c r="AB52" s="3995"/>
      <c r="AC52" s="3570"/>
      <c r="AD52" s="3567"/>
      <c r="AE52" s="3567"/>
      <c r="AF52" s="3567"/>
      <c r="AG52" s="3567"/>
      <c r="AH52" s="3567"/>
      <c r="AI52" s="3567"/>
      <c r="AJ52" s="3567"/>
      <c r="AK52" s="3567"/>
      <c r="AL52" s="3989"/>
      <c r="AM52" s="3339"/>
      <c r="AN52" s="2900"/>
    </row>
    <row r="53" spans="1:40" ht="45" customHeight="1" x14ac:dyDescent="0.2">
      <c r="A53" s="830"/>
      <c r="B53" s="831"/>
      <c r="C53" s="379"/>
      <c r="D53" s="380"/>
      <c r="E53" s="379"/>
      <c r="F53" s="380"/>
      <c r="G53" s="2790"/>
      <c r="H53" s="3944"/>
      <c r="I53" s="2900"/>
      <c r="J53" s="3568"/>
      <c r="K53" s="3917"/>
      <c r="L53" s="3919"/>
      <c r="M53" s="3909"/>
      <c r="N53" s="3941"/>
      <c r="O53" s="3973"/>
      <c r="P53" s="3909"/>
      <c r="Q53" s="2900"/>
      <c r="R53" s="1854" t="s">
        <v>2151</v>
      </c>
      <c r="S53" s="2518">
        <v>3000000</v>
      </c>
      <c r="T53" s="1588">
        <v>20</v>
      </c>
      <c r="U53" s="1590" t="s">
        <v>1526</v>
      </c>
      <c r="V53" s="3991"/>
      <c r="W53" s="3993"/>
      <c r="X53" s="3570"/>
      <c r="Y53" s="3570"/>
      <c r="Z53" s="3570"/>
      <c r="AA53" s="3570"/>
      <c r="AB53" s="3995"/>
      <c r="AC53" s="3570"/>
      <c r="AD53" s="3567"/>
      <c r="AE53" s="3567"/>
      <c r="AF53" s="3567"/>
      <c r="AG53" s="3567"/>
      <c r="AH53" s="3567"/>
      <c r="AI53" s="3567"/>
      <c r="AJ53" s="3567"/>
      <c r="AK53" s="3567"/>
      <c r="AL53" s="3907"/>
      <c r="AM53" s="3594"/>
      <c r="AN53" s="3413"/>
    </row>
    <row r="54" spans="1:40" ht="50.25" customHeight="1" x14ac:dyDescent="0.2">
      <c r="A54" s="830"/>
      <c r="B54" s="831"/>
      <c r="C54" s="379"/>
      <c r="D54" s="380"/>
      <c r="E54" s="379"/>
      <c r="F54" s="380"/>
      <c r="G54" s="2789">
        <v>189</v>
      </c>
      <c r="H54" s="3914" t="s">
        <v>2152</v>
      </c>
      <c r="I54" s="3402" t="s">
        <v>2153</v>
      </c>
      <c r="J54" s="3569">
        <v>1</v>
      </c>
      <c r="K54" s="3917"/>
      <c r="L54" s="3919"/>
      <c r="M54" s="3909"/>
      <c r="N54" s="3941">
        <f>SUM(S54:S56)/O45</f>
        <v>0.33333333333333331</v>
      </c>
      <c r="O54" s="3973"/>
      <c r="P54" s="3909"/>
      <c r="Q54" s="3402" t="s">
        <v>2154</v>
      </c>
      <c r="R54" s="1855" t="s">
        <v>2155</v>
      </c>
      <c r="S54" s="2518">
        <v>32000000</v>
      </c>
      <c r="T54" s="1588">
        <v>20</v>
      </c>
      <c r="U54" s="1590" t="s">
        <v>61</v>
      </c>
      <c r="V54" s="3991"/>
      <c r="W54" s="3993"/>
      <c r="X54" s="3570"/>
      <c r="Y54" s="3570"/>
      <c r="Z54" s="3570"/>
      <c r="AA54" s="3570"/>
      <c r="AB54" s="3995"/>
      <c r="AC54" s="3570"/>
      <c r="AD54" s="3567"/>
      <c r="AE54" s="3567"/>
      <c r="AF54" s="3567"/>
      <c r="AG54" s="3567"/>
      <c r="AH54" s="3567"/>
      <c r="AI54" s="3567"/>
      <c r="AJ54" s="3567"/>
      <c r="AK54" s="3567"/>
      <c r="AL54" s="3907"/>
      <c r="AM54" s="3594"/>
      <c r="AN54" s="3413"/>
    </row>
    <row r="55" spans="1:40" ht="54" customHeight="1" x14ac:dyDescent="0.2">
      <c r="A55" s="830"/>
      <c r="B55" s="831"/>
      <c r="C55" s="379"/>
      <c r="D55" s="380"/>
      <c r="E55" s="379"/>
      <c r="F55" s="380"/>
      <c r="G55" s="2784"/>
      <c r="H55" s="3915"/>
      <c r="I55" s="3406"/>
      <c r="J55" s="3570"/>
      <c r="K55" s="3917"/>
      <c r="L55" s="3919"/>
      <c r="M55" s="3909"/>
      <c r="N55" s="3941"/>
      <c r="O55" s="3973"/>
      <c r="P55" s="3909"/>
      <c r="Q55" s="3406"/>
      <c r="R55" s="1855" t="s">
        <v>2156</v>
      </c>
      <c r="S55" s="2518">
        <v>4000000</v>
      </c>
      <c r="T55" s="1588">
        <v>20</v>
      </c>
      <c r="U55" s="1590" t="s">
        <v>61</v>
      </c>
      <c r="V55" s="3991"/>
      <c r="W55" s="3993"/>
      <c r="X55" s="3570"/>
      <c r="Y55" s="3570"/>
      <c r="Z55" s="3570"/>
      <c r="AA55" s="3570"/>
      <c r="AB55" s="3995"/>
      <c r="AC55" s="3570"/>
      <c r="AD55" s="3567"/>
      <c r="AE55" s="3567"/>
      <c r="AF55" s="3567"/>
      <c r="AG55" s="3567"/>
      <c r="AH55" s="3567"/>
      <c r="AI55" s="3567"/>
      <c r="AJ55" s="3567"/>
      <c r="AK55" s="3567"/>
      <c r="AL55" s="3907"/>
      <c r="AM55" s="3594"/>
      <c r="AN55" s="3413"/>
    </row>
    <row r="56" spans="1:40" ht="48.75" customHeight="1" x14ac:dyDescent="0.2">
      <c r="A56" s="830"/>
      <c r="B56" s="831"/>
      <c r="C56" s="379"/>
      <c r="D56" s="380"/>
      <c r="E56" s="379"/>
      <c r="F56" s="380"/>
      <c r="G56" s="2784"/>
      <c r="H56" s="3915"/>
      <c r="I56" s="3406"/>
      <c r="J56" s="3570"/>
      <c r="K56" s="3917"/>
      <c r="L56" s="3919"/>
      <c r="M56" s="3909"/>
      <c r="N56" s="3941"/>
      <c r="O56" s="3973"/>
      <c r="P56" s="3909"/>
      <c r="Q56" s="3406"/>
      <c r="R56" s="1855" t="s">
        <v>2157</v>
      </c>
      <c r="S56" s="2518">
        <v>4000000</v>
      </c>
      <c r="T56" s="1588">
        <v>20</v>
      </c>
      <c r="U56" s="1590" t="s">
        <v>61</v>
      </c>
      <c r="V56" s="3991"/>
      <c r="W56" s="3993"/>
      <c r="X56" s="3570"/>
      <c r="Y56" s="3570"/>
      <c r="Z56" s="3570"/>
      <c r="AA56" s="3570"/>
      <c r="AB56" s="3995"/>
      <c r="AC56" s="3570"/>
      <c r="AD56" s="3567"/>
      <c r="AE56" s="3567"/>
      <c r="AF56" s="3567"/>
      <c r="AG56" s="3567"/>
      <c r="AH56" s="3567"/>
      <c r="AI56" s="3567"/>
      <c r="AJ56" s="3567"/>
      <c r="AK56" s="3567"/>
      <c r="AL56" s="3907"/>
      <c r="AM56" s="3594"/>
      <c r="AN56" s="3413"/>
    </row>
    <row r="57" spans="1:40" ht="15" x14ac:dyDescent="0.2">
      <c r="A57" s="830"/>
      <c r="B57" s="831"/>
      <c r="C57" s="379"/>
      <c r="D57" s="380"/>
      <c r="E57" s="729">
        <v>61</v>
      </c>
      <c r="F57" s="839" t="s">
        <v>2158</v>
      </c>
      <c r="G57" s="840"/>
      <c r="H57" s="1084"/>
      <c r="I57" s="1084"/>
      <c r="J57" s="840"/>
      <c r="K57" s="840"/>
      <c r="L57" s="840"/>
      <c r="M57" s="841"/>
      <c r="N57" s="1903"/>
      <c r="O57" s="2517"/>
      <c r="P57" s="1084"/>
      <c r="Q57" s="1084"/>
      <c r="R57" s="1084"/>
      <c r="S57" s="2520"/>
      <c r="T57" s="1117"/>
      <c r="U57" s="841"/>
      <c r="V57" s="840"/>
      <c r="W57" s="840"/>
      <c r="X57" s="840"/>
      <c r="Y57" s="840"/>
      <c r="Z57" s="840"/>
      <c r="AA57" s="840"/>
      <c r="AB57" s="840"/>
      <c r="AC57" s="840"/>
      <c r="AD57" s="840"/>
      <c r="AE57" s="840"/>
      <c r="AF57" s="840"/>
      <c r="AG57" s="840"/>
      <c r="AH57" s="840"/>
      <c r="AI57" s="840"/>
      <c r="AJ57" s="840"/>
      <c r="AK57" s="840"/>
      <c r="AL57" s="840"/>
      <c r="AM57" s="840"/>
      <c r="AN57" s="843"/>
    </row>
    <row r="58" spans="1:40" ht="42.75" x14ac:dyDescent="0.2">
      <c r="A58" s="830"/>
      <c r="B58" s="831"/>
      <c r="C58" s="379"/>
      <c r="D58" s="380"/>
      <c r="E58" s="370"/>
      <c r="F58" s="380"/>
      <c r="G58" s="2789">
        <v>190</v>
      </c>
      <c r="H58" s="3914" t="s">
        <v>2159</v>
      </c>
      <c r="I58" s="3914" t="s">
        <v>2160</v>
      </c>
      <c r="J58" s="3398">
        <v>1</v>
      </c>
      <c r="K58" s="3916" t="s">
        <v>2161</v>
      </c>
      <c r="L58" s="3918" t="s">
        <v>2162</v>
      </c>
      <c r="M58" s="3922" t="s">
        <v>2163</v>
      </c>
      <c r="N58" s="3923">
        <f>SUM(S58:S74)/O58</f>
        <v>1</v>
      </c>
      <c r="O58" s="3575">
        <f>SUM(S58:S74)</f>
        <v>190000000</v>
      </c>
      <c r="P58" s="3924" t="s">
        <v>2164</v>
      </c>
      <c r="Q58" s="3413" t="s">
        <v>2165</v>
      </c>
      <c r="R58" s="1440" t="s">
        <v>2166</v>
      </c>
      <c r="S58" s="2518">
        <v>5280000</v>
      </c>
      <c r="T58" s="1588">
        <v>20</v>
      </c>
      <c r="U58" s="1911" t="s">
        <v>61</v>
      </c>
      <c r="V58" s="3150">
        <v>1500</v>
      </c>
      <c r="W58" s="3150">
        <v>1500</v>
      </c>
      <c r="X58" s="3150">
        <v>480</v>
      </c>
      <c r="Y58" s="3150">
        <v>480</v>
      </c>
      <c r="Z58" s="3150">
        <v>1000</v>
      </c>
      <c r="AA58" s="3150">
        <v>1000</v>
      </c>
      <c r="AB58" s="3150">
        <v>20</v>
      </c>
      <c r="AC58" s="3150">
        <v>20</v>
      </c>
      <c r="AD58" s="3150"/>
      <c r="AE58" s="3150"/>
      <c r="AF58" s="3150"/>
      <c r="AG58" s="3150"/>
      <c r="AH58" s="3150">
        <v>3000</v>
      </c>
      <c r="AI58" s="3594"/>
      <c r="AJ58" s="3594"/>
      <c r="AK58" s="3594">
        <f>SUM(V58:W74)</f>
        <v>3000</v>
      </c>
      <c r="AL58" s="3908">
        <v>43467</v>
      </c>
      <c r="AM58" s="3996">
        <v>43830</v>
      </c>
      <c r="AN58" s="3413" t="s">
        <v>2077</v>
      </c>
    </row>
    <row r="59" spans="1:40" ht="28.5" x14ac:dyDescent="0.2">
      <c r="A59" s="830"/>
      <c r="B59" s="831"/>
      <c r="C59" s="379"/>
      <c r="D59" s="380"/>
      <c r="E59" s="379"/>
      <c r="F59" s="380"/>
      <c r="G59" s="2784"/>
      <c r="H59" s="3915"/>
      <c r="I59" s="3915"/>
      <c r="J59" s="3399"/>
      <c r="K59" s="3917"/>
      <c r="L59" s="3919"/>
      <c r="M59" s="3909"/>
      <c r="N59" s="3923"/>
      <c r="O59" s="3576"/>
      <c r="P59" s="3925"/>
      <c r="Q59" s="3413"/>
      <c r="R59" s="1440" t="s">
        <v>2167</v>
      </c>
      <c r="S59" s="2518">
        <f>13080000-13080000</f>
        <v>0</v>
      </c>
      <c r="T59" s="1588">
        <v>20</v>
      </c>
      <c r="U59" s="1911" t="s">
        <v>61</v>
      </c>
      <c r="V59" s="3150"/>
      <c r="W59" s="3150"/>
      <c r="X59" s="3150"/>
      <c r="Y59" s="3150"/>
      <c r="Z59" s="3150"/>
      <c r="AA59" s="3150"/>
      <c r="AB59" s="3150"/>
      <c r="AC59" s="3150"/>
      <c r="AD59" s="3150"/>
      <c r="AE59" s="3150"/>
      <c r="AF59" s="3150"/>
      <c r="AG59" s="3150"/>
      <c r="AH59" s="3150"/>
      <c r="AI59" s="3594"/>
      <c r="AJ59" s="3594"/>
      <c r="AK59" s="3594"/>
      <c r="AL59" s="3908"/>
      <c r="AM59" s="3997"/>
      <c r="AN59" s="3413"/>
    </row>
    <row r="60" spans="1:40" ht="42.75" x14ac:dyDescent="0.2">
      <c r="A60" s="830"/>
      <c r="B60" s="831"/>
      <c r="C60" s="379"/>
      <c r="D60" s="380"/>
      <c r="E60" s="379"/>
      <c r="F60" s="380"/>
      <c r="G60" s="2784"/>
      <c r="H60" s="3915"/>
      <c r="I60" s="3915"/>
      <c r="J60" s="3399"/>
      <c r="K60" s="3917"/>
      <c r="L60" s="3919"/>
      <c r="M60" s="3909"/>
      <c r="N60" s="3923"/>
      <c r="O60" s="3576"/>
      <c r="P60" s="3925"/>
      <c r="Q60" s="3413"/>
      <c r="R60" s="1440" t="s">
        <v>2168</v>
      </c>
      <c r="S60" s="2518">
        <v>5000000</v>
      </c>
      <c r="T60" s="1588">
        <v>20</v>
      </c>
      <c r="U60" s="1911" t="s">
        <v>61</v>
      </c>
      <c r="V60" s="3150"/>
      <c r="W60" s="3150"/>
      <c r="X60" s="3150"/>
      <c r="Y60" s="3150"/>
      <c r="Z60" s="3150"/>
      <c r="AA60" s="3150"/>
      <c r="AB60" s="3150"/>
      <c r="AC60" s="3150"/>
      <c r="AD60" s="3150"/>
      <c r="AE60" s="3150"/>
      <c r="AF60" s="3150"/>
      <c r="AG60" s="3150"/>
      <c r="AH60" s="3150"/>
      <c r="AI60" s="3594"/>
      <c r="AJ60" s="3594"/>
      <c r="AK60" s="3594"/>
      <c r="AL60" s="3908"/>
      <c r="AM60" s="3997"/>
      <c r="AN60" s="3413"/>
    </row>
    <row r="61" spans="1:40" ht="68.25" customHeight="1" x14ac:dyDescent="0.2">
      <c r="A61" s="830"/>
      <c r="B61" s="831"/>
      <c r="C61" s="379"/>
      <c r="D61" s="380"/>
      <c r="E61" s="379"/>
      <c r="F61" s="380"/>
      <c r="G61" s="2784"/>
      <c r="H61" s="3915"/>
      <c r="I61" s="3915"/>
      <c r="J61" s="3399"/>
      <c r="K61" s="3917"/>
      <c r="L61" s="3919"/>
      <c r="M61" s="3909"/>
      <c r="N61" s="3923"/>
      <c r="O61" s="3576"/>
      <c r="P61" s="3925"/>
      <c r="Q61" s="3413"/>
      <c r="R61" s="1440" t="s">
        <v>2169</v>
      </c>
      <c r="S61" s="2518">
        <v>4000000</v>
      </c>
      <c r="T61" s="1588">
        <v>20</v>
      </c>
      <c r="U61" s="1911" t="s">
        <v>61</v>
      </c>
      <c r="V61" s="3150"/>
      <c r="W61" s="3150"/>
      <c r="X61" s="3150"/>
      <c r="Y61" s="3150"/>
      <c r="Z61" s="3150"/>
      <c r="AA61" s="3150"/>
      <c r="AB61" s="3150"/>
      <c r="AC61" s="3150"/>
      <c r="AD61" s="3150"/>
      <c r="AE61" s="3150"/>
      <c r="AF61" s="3150"/>
      <c r="AG61" s="3150"/>
      <c r="AH61" s="3150"/>
      <c r="AI61" s="3594"/>
      <c r="AJ61" s="3594"/>
      <c r="AK61" s="3594"/>
      <c r="AL61" s="3908"/>
      <c r="AM61" s="3997"/>
      <c r="AN61" s="3413"/>
    </row>
    <row r="62" spans="1:40" ht="110.25" customHeight="1" x14ac:dyDescent="0.2">
      <c r="A62" s="830"/>
      <c r="B62" s="831"/>
      <c r="C62" s="379"/>
      <c r="D62" s="380"/>
      <c r="E62" s="379"/>
      <c r="F62" s="380"/>
      <c r="G62" s="2784"/>
      <c r="H62" s="3915"/>
      <c r="I62" s="3915"/>
      <c r="J62" s="3399"/>
      <c r="K62" s="3917"/>
      <c r="L62" s="3919"/>
      <c r="M62" s="3909"/>
      <c r="N62" s="3923"/>
      <c r="O62" s="3576"/>
      <c r="P62" s="3925"/>
      <c r="Q62" s="3413" t="s">
        <v>2170</v>
      </c>
      <c r="R62" s="1440" t="s">
        <v>2171</v>
      </c>
      <c r="S62" s="2518">
        <f>22000000-2299000</f>
        <v>19701000</v>
      </c>
      <c r="T62" s="1588">
        <v>20</v>
      </c>
      <c r="U62" s="1911" t="s">
        <v>61</v>
      </c>
      <c r="V62" s="3150"/>
      <c r="W62" s="3150"/>
      <c r="X62" s="3150"/>
      <c r="Y62" s="3150"/>
      <c r="Z62" s="3150"/>
      <c r="AA62" s="3150"/>
      <c r="AB62" s="3150"/>
      <c r="AC62" s="3150"/>
      <c r="AD62" s="3150"/>
      <c r="AE62" s="3150"/>
      <c r="AF62" s="3150"/>
      <c r="AG62" s="3150"/>
      <c r="AH62" s="3150"/>
      <c r="AI62" s="3594"/>
      <c r="AJ62" s="3594"/>
      <c r="AK62" s="3594"/>
      <c r="AL62" s="3908"/>
      <c r="AM62" s="3997"/>
      <c r="AN62" s="3413"/>
    </row>
    <row r="63" spans="1:40" ht="55.5" customHeight="1" x14ac:dyDescent="0.2">
      <c r="A63" s="830"/>
      <c r="B63" s="831"/>
      <c r="C63" s="379"/>
      <c r="D63" s="380"/>
      <c r="E63" s="379"/>
      <c r="F63" s="380"/>
      <c r="G63" s="2784"/>
      <c r="H63" s="3915"/>
      <c r="I63" s="3915"/>
      <c r="J63" s="3399"/>
      <c r="K63" s="3917"/>
      <c r="L63" s="3919"/>
      <c r="M63" s="3909"/>
      <c r="N63" s="3923"/>
      <c r="O63" s="3576"/>
      <c r="P63" s="3925"/>
      <c r="Q63" s="3413"/>
      <c r="R63" s="1440" t="s">
        <v>2172</v>
      </c>
      <c r="S63" s="2518">
        <f>13010000-5000000</f>
        <v>8010000</v>
      </c>
      <c r="T63" s="1588">
        <v>20</v>
      </c>
      <c r="U63" s="1911" t="s">
        <v>1526</v>
      </c>
      <c r="V63" s="3150"/>
      <c r="W63" s="3150"/>
      <c r="X63" s="3150"/>
      <c r="Y63" s="3150"/>
      <c r="Z63" s="3150"/>
      <c r="AA63" s="3150"/>
      <c r="AB63" s="3150"/>
      <c r="AC63" s="3150"/>
      <c r="AD63" s="3150"/>
      <c r="AE63" s="3150"/>
      <c r="AF63" s="3150"/>
      <c r="AG63" s="3150"/>
      <c r="AH63" s="3150"/>
      <c r="AI63" s="3594"/>
      <c r="AJ63" s="3594"/>
      <c r="AK63" s="3594"/>
      <c r="AL63" s="3908"/>
      <c r="AM63" s="3997"/>
      <c r="AN63" s="3413"/>
    </row>
    <row r="64" spans="1:40" ht="102.75" customHeight="1" x14ac:dyDescent="0.2">
      <c r="A64" s="830"/>
      <c r="B64" s="831"/>
      <c r="C64" s="379"/>
      <c r="D64" s="380"/>
      <c r="E64" s="379"/>
      <c r="F64" s="380"/>
      <c r="G64" s="2784"/>
      <c r="H64" s="3915"/>
      <c r="I64" s="3915"/>
      <c r="J64" s="3399"/>
      <c r="K64" s="3917"/>
      <c r="L64" s="3919"/>
      <c r="M64" s="3909"/>
      <c r="N64" s="3923"/>
      <c r="O64" s="3576"/>
      <c r="P64" s="3925"/>
      <c r="Q64" s="3413"/>
      <c r="R64" s="1440" t="s">
        <v>2173</v>
      </c>
      <c r="S64" s="2518">
        <v>6000000</v>
      </c>
      <c r="T64" s="1588">
        <v>20</v>
      </c>
      <c r="U64" s="1911" t="s">
        <v>1526</v>
      </c>
      <c r="V64" s="3150"/>
      <c r="W64" s="3150"/>
      <c r="X64" s="3150"/>
      <c r="Y64" s="3150"/>
      <c r="Z64" s="3150"/>
      <c r="AA64" s="3150"/>
      <c r="AB64" s="3150"/>
      <c r="AC64" s="3150"/>
      <c r="AD64" s="3150"/>
      <c r="AE64" s="3150"/>
      <c r="AF64" s="3150"/>
      <c r="AG64" s="3150"/>
      <c r="AH64" s="3150"/>
      <c r="AI64" s="3594"/>
      <c r="AJ64" s="3594"/>
      <c r="AK64" s="3594"/>
      <c r="AL64" s="3908"/>
      <c r="AM64" s="3997"/>
      <c r="AN64" s="3413"/>
    </row>
    <row r="65" spans="1:254" ht="63.75" customHeight="1" x14ac:dyDescent="0.2">
      <c r="A65" s="830"/>
      <c r="B65" s="831"/>
      <c r="C65" s="379"/>
      <c r="D65" s="380"/>
      <c r="E65" s="379"/>
      <c r="F65" s="380"/>
      <c r="G65" s="2784"/>
      <c r="H65" s="3915"/>
      <c r="I65" s="3915"/>
      <c r="J65" s="3399"/>
      <c r="K65" s="3917"/>
      <c r="L65" s="3919"/>
      <c r="M65" s="3909"/>
      <c r="N65" s="3923"/>
      <c r="O65" s="3576"/>
      <c r="P65" s="3925"/>
      <c r="Q65" s="3413"/>
      <c r="R65" s="1440" t="s">
        <v>2174</v>
      </c>
      <c r="S65" s="2518">
        <f>12580000-2580000</f>
        <v>10000000</v>
      </c>
      <c r="T65" s="1588">
        <v>20</v>
      </c>
      <c r="U65" s="1911" t="s">
        <v>61</v>
      </c>
      <c r="V65" s="3150"/>
      <c r="W65" s="3150"/>
      <c r="X65" s="3150"/>
      <c r="Y65" s="3150"/>
      <c r="Z65" s="3150"/>
      <c r="AA65" s="3150"/>
      <c r="AB65" s="3150"/>
      <c r="AC65" s="3150"/>
      <c r="AD65" s="3150"/>
      <c r="AE65" s="3150"/>
      <c r="AF65" s="3150"/>
      <c r="AG65" s="3150"/>
      <c r="AH65" s="3150"/>
      <c r="AI65" s="3594"/>
      <c r="AJ65" s="3594"/>
      <c r="AK65" s="3594"/>
      <c r="AL65" s="3908"/>
      <c r="AM65" s="3997"/>
      <c r="AN65" s="3413"/>
    </row>
    <row r="66" spans="1:254" ht="60" customHeight="1" x14ac:dyDescent="0.2">
      <c r="A66" s="830"/>
      <c r="B66" s="831"/>
      <c r="C66" s="379"/>
      <c r="D66" s="380"/>
      <c r="E66" s="379"/>
      <c r="F66" s="380"/>
      <c r="G66" s="2784"/>
      <c r="H66" s="3915"/>
      <c r="I66" s="3915"/>
      <c r="J66" s="3399"/>
      <c r="K66" s="3917"/>
      <c r="L66" s="3919"/>
      <c r="M66" s="3909"/>
      <c r="N66" s="3923"/>
      <c r="O66" s="3576"/>
      <c r="P66" s="3925"/>
      <c r="Q66" s="3413"/>
      <c r="R66" s="1440" t="s">
        <v>2175</v>
      </c>
      <c r="S66" s="2518">
        <f>5000000+25959000</f>
        <v>30959000</v>
      </c>
      <c r="T66" s="1588">
        <v>20</v>
      </c>
      <c r="U66" s="1911" t="s">
        <v>61</v>
      </c>
      <c r="V66" s="3150"/>
      <c r="W66" s="3150"/>
      <c r="X66" s="3150"/>
      <c r="Y66" s="3150"/>
      <c r="Z66" s="3150"/>
      <c r="AA66" s="3150"/>
      <c r="AB66" s="3150"/>
      <c r="AC66" s="3150"/>
      <c r="AD66" s="3150"/>
      <c r="AE66" s="3150"/>
      <c r="AF66" s="3150"/>
      <c r="AG66" s="3150"/>
      <c r="AH66" s="3150"/>
      <c r="AI66" s="3594"/>
      <c r="AJ66" s="3594"/>
      <c r="AK66" s="3594"/>
      <c r="AL66" s="3908"/>
      <c r="AM66" s="3997"/>
      <c r="AN66" s="3413"/>
    </row>
    <row r="67" spans="1:254" ht="57" x14ac:dyDescent="0.2">
      <c r="A67" s="830"/>
      <c r="B67" s="831"/>
      <c r="C67" s="379"/>
      <c r="D67" s="380"/>
      <c r="E67" s="379"/>
      <c r="F67" s="380"/>
      <c r="G67" s="2784"/>
      <c r="H67" s="3915"/>
      <c r="I67" s="3915"/>
      <c r="J67" s="3399"/>
      <c r="K67" s="3917"/>
      <c r="L67" s="3919"/>
      <c r="M67" s="3909"/>
      <c r="N67" s="3923"/>
      <c r="O67" s="3576"/>
      <c r="P67" s="3925"/>
      <c r="Q67" s="3413"/>
      <c r="R67" s="1440" t="s">
        <v>2176</v>
      </c>
      <c r="S67" s="2518">
        <v>7920000</v>
      </c>
      <c r="T67" s="1588">
        <v>20</v>
      </c>
      <c r="U67" s="1911" t="s">
        <v>61</v>
      </c>
      <c r="V67" s="3150"/>
      <c r="W67" s="3150"/>
      <c r="X67" s="3150"/>
      <c r="Y67" s="3150"/>
      <c r="Z67" s="3150"/>
      <c r="AA67" s="3150"/>
      <c r="AB67" s="3150"/>
      <c r="AC67" s="3150"/>
      <c r="AD67" s="3150"/>
      <c r="AE67" s="3150"/>
      <c r="AF67" s="3150"/>
      <c r="AG67" s="3150"/>
      <c r="AH67" s="3150"/>
      <c r="AI67" s="3594"/>
      <c r="AJ67" s="3594"/>
      <c r="AK67" s="3594"/>
      <c r="AL67" s="3908"/>
      <c r="AM67" s="3997"/>
      <c r="AN67" s="3413"/>
    </row>
    <row r="68" spans="1:254" ht="42.75" x14ac:dyDescent="0.2">
      <c r="A68" s="830"/>
      <c r="B68" s="831"/>
      <c r="C68" s="379"/>
      <c r="D68" s="380"/>
      <c r="E68" s="379"/>
      <c r="F68" s="380"/>
      <c r="G68" s="2784"/>
      <c r="H68" s="3915"/>
      <c r="I68" s="3915"/>
      <c r="J68" s="3399"/>
      <c r="K68" s="3917"/>
      <c r="L68" s="3919"/>
      <c r="M68" s="3909"/>
      <c r="N68" s="3923"/>
      <c r="O68" s="3576"/>
      <c r="P68" s="3925"/>
      <c r="Q68" s="3413"/>
      <c r="R68" s="1440" t="s">
        <v>2177</v>
      </c>
      <c r="S68" s="2518">
        <v>8320000</v>
      </c>
      <c r="T68" s="1588">
        <v>20</v>
      </c>
      <c r="U68" s="1911" t="s">
        <v>61</v>
      </c>
      <c r="V68" s="3150"/>
      <c r="W68" s="3150"/>
      <c r="X68" s="3150"/>
      <c r="Y68" s="3150"/>
      <c r="Z68" s="3150"/>
      <c r="AA68" s="3150"/>
      <c r="AB68" s="3150"/>
      <c r="AC68" s="3150"/>
      <c r="AD68" s="3150"/>
      <c r="AE68" s="3150"/>
      <c r="AF68" s="3150"/>
      <c r="AG68" s="3150"/>
      <c r="AH68" s="3150"/>
      <c r="AI68" s="3594"/>
      <c r="AJ68" s="3594"/>
      <c r="AK68" s="3594"/>
      <c r="AL68" s="3908"/>
      <c r="AM68" s="3997"/>
      <c r="AN68" s="3413"/>
    </row>
    <row r="69" spans="1:254" ht="52.5" customHeight="1" x14ac:dyDescent="0.2">
      <c r="A69" s="830"/>
      <c r="B69" s="831"/>
      <c r="C69" s="379"/>
      <c r="D69" s="380"/>
      <c r="E69" s="379"/>
      <c r="F69" s="380"/>
      <c r="G69" s="2784"/>
      <c r="H69" s="3915"/>
      <c r="I69" s="3915"/>
      <c r="J69" s="3399"/>
      <c r="K69" s="3917"/>
      <c r="L69" s="3919"/>
      <c r="M69" s="3909"/>
      <c r="N69" s="3923"/>
      <c r="O69" s="3576"/>
      <c r="P69" s="3925"/>
      <c r="Q69" s="3413"/>
      <c r="R69" s="1435" t="s">
        <v>2178</v>
      </c>
      <c r="S69" s="2518">
        <v>10280000</v>
      </c>
      <c r="T69" s="1588">
        <v>20</v>
      </c>
      <c r="U69" s="1911" t="s">
        <v>61</v>
      </c>
      <c r="V69" s="3150"/>
      <c r="W69" s="3150"/>
      <c r="X69" s="3150"/>
      <c r="Y69" s="3150"/>
      <c r="Z69" s="3150"/>
      <c r="AA69" s="3150"/>
      <c r="AB69" s="3150"/>
      <c r="AC69" s="3150"/>
      <c r="AD69" s="3150"/>
      <c r="AE69" s="3150"/>
      <c r="AF69" s="3150"/>
      <c r="AG69" s="3150"/>
      <c r="AH69" s="3150"/>
      <c r="AI69" s="3594"/>
      <c r="AJ69" s="3594"/>
      <c r="AK69" s="3594"/>
      <c r="AL69" s="3908"/>
      <c r="AM69" s="3997"/>
      <c r="AN69" s="3413"/>
    </row>
    <row r="70" spans="1:254" ht="56.25" customHeight="1" x14ac:dyDescent="0.2">
      <c r="A70" s="830"/>
      <c r="B70" s="831"/>
      <c r="C70" s="379"/>
      <c r="D70" s="380"/>
      <c r="E70" s="379"/>
      <c r="F70" s="380"/>
      <c r="G70" s="2784"/>
      <c r="H70" s="3915"/>
      <c r="I70" s="3915"/>
      <c r="J70" s="3399"/>
      <c r="K70" s="3917"/>
      <c r="L70" s="3919"/>
      <c r="M70" s="3909"/>
      <c r="N70" s="3923"/>
      <c r="O70" s="3576"/>
      <c r="P70" s="3925"/>
      <c r="Q70" s="3413"/>
      <c r="R70" s="1435" t="s">
        <v>2179</v>
      </c>
      <c r="S70" s="2518">
        <v>2450000</v>
      </c>
      <c r="T70" s="1588">
        <v>20</v>
      </c>
      <c r="U70" s="1911" t="s">
        <v>61</v>
      </c>
      <c r="V70" s="3150"/>
      <c r="W70" s="3150"/>
      <c r="X70" s="3150"/>
      <c r="Y70" s="3150"/>
      <c r="Z70" s="3150"/>
      <c r="AA70" s="3150"/>
      <c r="AB70" s="3150"/>
      <c r="AC70" s="3150"/>
      <c r="AD70" s="3150"/>
      <c r="AE70" s="3150"/>
      <c r="AF70" s="3150"/>
      <c r="AG70" s="3150"/>
      <c r="AH70" s="3150"/>
      <c r="AI70" s="3594"/>
      <c r="AJ70" s="3594"/>
      <c r="AK70" s="3594"/>
      <c r="AL70" s="3908"/>
      <c r="AM70" s="3997"/>
      <c r="AN70" s="3413"/>
    </row>
    <row r="71" spans="1:254" ht="51" customHeight="1" x14ac:dyDescent="0.2">
      <c r="A71" s="830"/>
      <c r="B71" s="831"/>
      <c r="C71" s="379"/>
      <c r="D71" s="380"/>
      <c r="E71" s="379"/>
      <c r="F71" s="380"/>
      <c r="G71" s="2784"/>
      <c r="H71" s="3915"/>
      <c r="I71" s="3915"/>
      <c r="J71" s="3399"/>
      <c r="K71" s="3917"/>
      <c r="L71" s="3919"/>
      <c r="M71" s="3909"/>
      <c r="N71" s="3923"/>
      <c r="O71" s="3576"/>
      <c r="P71" s="3925"/>
      <c r="Q71" s="3413"/>
      <c r="R71" s="1435" t="s">
        <v>2180</v>
      </c>
      <c r="S71" s="2518">
        <v>14800000</v>
      </c>
      <c r="T71" s="1588">
        <v>20</v>
      </c>
      <c r="U71" s="1911" t="s">
        <v>61</v>
      </c>
      <c r="V71" s="3150"/>
      <c r="W71" s="3150"/>
      <c r="X71" s="3150"/>
      <c r="Y71" s="3150"/>
      <c r="Z71" s="3150"/>
      <c r="AA71" s="3150"/>
      <c r="AB71" s="3150"/>
      <c r="AC71" s="3150"/>
      <c r="AD71" s="3150"/>
      <c r="AE71" s="3150"/>
      <c r="AF71" s="3150"/>
      <c r="AG71" s="3150"/>
      <c r="AH71" s="3150"/>
      <c r="AI71" s="3594"/>
      <c r="AJ71" s="3594"/>
      <c r="AK71" s="3594"/>
      <c r="AL71" s="3908"/>
      <c r="AM71" s="3997"/>
      <c r="AN71" s="3413"/>
    </row>
    <row r="72" spans="1:254" ht="43.5" customHeight="1" x14ac:dyDescent="0.2">
      <c r="A72" s="830"/>
      <c r="B72" s="831"/>
      <c r="C72" s="379"/>
      <c r="D72" s="380"/>
      <c r="E72" s="379"/>
      <c r="F72" s="380"/>
      <c r="G72" s="2784"/>
      <c r="H72" s="3915"/>
      <c r="I72" s="3915"/>
      <c r="J72" s="3399"/>
      <c r="K72" s="3917"/>
      <c r="L72" s="3919"/>
      <c r="M72" s="3909"/>
      <c r="N72" s="3923"/>
      <c r="O72" s="3576"/>
      <c r="P72" s="3925"/>
      <c r="Q72" s="3413"/>
      <c r="R72" s="1440" t="s">
        <v>2181</v>
      </c>
      <c r="S72" s="2518">
        <v>5280000</v>
      </c>
      <c r="T72" s="1588">
        <v>20</v>
      </c>
      <c r="U72" s="1912" t="s">
        <v>61</v>
      </c>
      <c r="V72" s="3150"/>
      <c r="W72" s="3150"/>
      <c r="X72" s="3150"/>
      <c r="Y72" s="3150"/>
      <c r="Z72" s="3150"/>
      <c r="AA72" s="3150"/>
      <c r="AB72" s="3150"/>
      <c r="AC72" s="3150"/>
      <c r="AD72" s="3150"/>
      <c r="AE72" s="3150"/>
      <c r="AF72" s="3150"/>
      <c r="AG72" s="3150"/>
      <c r="AH72" s="3150"/>
      <c r="AI72" s="3594"/>
      <c r="AJ72" s="3594"/>
      <c r="AK72" s="3594"/>
      <c r="AL72" s="3908"/>
      <c r="AM72" s="3997"/>
      <c r="AN72" s="3413"/>
    </row>
    <row r="73" spans="1:254" ht="43.5" customHeight="1" x14ac:dyDescent="0.2">
      <c r="A73" s="830"/>
      <c r="B73" s="831"/>
      <c r="C73" s="379"/>
      <c r="D73" s="380"/>
      <c r="E73" s="379"/>
      <c r="F73" s="380"/>
      <c r="G73" s="2784"/>
      <c r="H73" s="3915"/>
      <c r="I73" s="3915"/>
      <c r="J73" s="3399"/>
      <c r="K73" s="3917"/>
      <c r="L73" s="3919"/>
      <c r="M73" s="3909"/>
      <c r="N73" s="3923"/>
      <c r="O73" s="3576"/>
      <c r="P73" s="3925"/>
      <c r="Q73" s="3413"/>
      <c r="R73" s="1440" t="s">
        <v>2182</v>
      </c>
      <c r="S73" s="2518">
        <v>35000000</v>
      </c>
      <c r="T73" s="1588">
        <v>20</v>
      </c>
      <c r="U73" s="1912" t="s">
        <v>61</v>
      </c>
      <c r="V73" s="3150"/>
      <c r="W73" s="3150"/>
      <c r="X73" s="3150"/>
      <c r="Y73" s="3150"/>
      <c r="Z73" s="3150"/>
      <c r="AA73" s="3150"/>
      <c r="AB73" s="3150"/>
      <c r="AC73" s="3150"/>
      <c r="AD73" s="3150"/>
      <c r="AE73" s="3150"/>
      <c r="AF73" s="3150"/>
      <c r="AG73" s="3150"/>
      <c r="AH73" s="3150"/>
      <c r="AI73" s="3594"/>
      <c r="AJ73" s="3594"/>
      <c r="AK73" s="3594"/>
      <c r="AL73" s="3908"/>
      <c r="AM73" s="3997"/>
      <c r="AN73" s="3413"/>
    </row>
    <row r="74" spans="1:254" ht="43.5" customHeight="1" x14ac:dyDescent="0.2">
      <c r="A74" s="830"/>
      <c r="B74" s="831"/>
      <c r="C74" s="379"/>
      <c r="D74" s="380"/>
      <c r="E74" s="379"/>
      <c r="F74" s="380"/>
      <c r="G74" s="2784"/>
      <c r="H74" s="3915"/>
      <c r="I74" s="3915"/>
      <c r="J74" s="3399"/>
      <c r="K74" s="3917"/>
      <c r="L74" s="3919"/>
      <c r="M74" s="3909"/>
      <c r="N74" s="3923"/>
      <c r="O74" s="3576"/>
      <c r="P74" s="3925"/>
      <c r="Q74" s="2899"/>
      <c r="R74" s="1440" t="s">
        <v>2183</v>
      </c>
      <c r="S74" s="2518">
        <f>20000000-3000000</f>
        <v>17000000</v>
      </c>
      <c r="T74" s="1588">
        <v>20</v>
      </c>
      <c r="U74" s="1912" t="s">
        <v>61</v>
      </c>
      <c r="V74" s="3150"/>
      <c r="W74" s="3150"/>
      <c r="X74" s="3150"/>
      <c r="Y74" s="3150"/>
      <c r="Z74" s="3150"/>
      <c r="AA74" s="3150"/>
      <c r="AB74" s="3150"/>
      <c r="AC74" s="3150"/>
      <c r="AD74" s="3150"/>
      <c r="AE74" s="3150"/>
      <c r="AF74" s="3150"/>
      <c r="AG74" s="3150"/>
      <c r="AH74" s="3150"/>
      <c r="AI74" s="3566"/>
      <c r="AJ74" s="3566"/>
      <c r="AK74" s="3566"/>
      <c r="AL74" s="3338"/>
      <c r="AM74" s="3997"/>
      <c r="AN74" s="2899"/>
    </row>
    <row r="75" spans="1:254" ht="15" x14ac:dyDescent="0.25">
      <c r="A75" s="830"/>
      <c r="B75" s="831"/>
      <c r="C75" s="832">
        <v>18</v>
      </c>
      <c r="D75" s="833" t="s">
        <v>2184</v>
      </c>
      <c r="E75" s="857"/>
      <c r="F75" s="857"/>
      <c r="G75" s="857"/>
      <c r="H75" s="1083"/>
      <c r="I75" s="1083"/>
      <c r="J75" s="857"/>
      <c r="K75" s="857"/>
      <c r="L75" s="857"/>
      <c r="M75" s="848"/>
      <c r="N75" s="1905"/>
      <c r="O75" s="2529"/>
      <c r="P75" s="1083"/>
      <c r="Q75" s="1083"/>
      <c r="R75" s="1083"/>
      <c r="S75" s="2521"/>
      <c r="T75" s="1647"/>
      <c r="U75" s="848"/>
      <c r="V75" s="857"/>
      <c r="W75" s="857"/>
      <c r="X75" s="857"/>
      <c r="Y75" s="857"/>
      <c r="Z75" s="857"/>
      <c r="AA75" s="857"/>
      <c r="AB75" s="857"/>
      <c r="AC75" s="857"/>
      <c r="AD75" s="857"/>
      <c r="AE75" s="857"/>
      <c r="AF75" s="857"/>
      <c r="AG75" s="857"/>
      <c r="AH75" s="857"/>
      <c r="AI75" s="857"/>
      <c r="AJ75" s="857"/>
      <c r="AK75" s="857"/>
      <c r="AL75" s="857"/>
      <c r="AM75" s="857"/>
      <c r="AN75" s="769"/>
      <c r="AO75" s="858"/>
      <c r="AP75" s="858"/>
      <c r="AQ75" s="858"/>
      <c r="AR75" s="692"/>
      <c r="AS75" s="692"/>
      <c r="AT75" s="692"/>
      <c r="AU75" s="692"/>
      <c r="AV75" s="692"/>
      <c r="AW75" s="692"/>
      <c r="AX75" s="692"/>
      <c r="AY75" s="692"/>
      <c r="AZ75" s="692"/>
      <c r="BA75" s="692"/>
      <c r="BB75" s="692"/>
      <c r="BC75" s="692"/>
      <c r="BD75" s="692"/>
      <c r="BE75" s="692"/>
      <c r="BF75" s="692"/>
      <c r="BG75" s="692"/>
      <c r="BH75" s="692"/>
      <c r="BI75" s="692"/>
      <c r="BJ75" s="692"/>
      <c r="BK75" s="692"/>
      <c r="BL75" s="692"/>
      <c r="BM75" s="692"/>
      <c r="BN75" s="692"/>
      <c r="BO75" s="692"/>
      <c r="BP75" s="692"/>
      <c r="BQ75" s="692"/>
      <c r="BR75" s="692"/>
      <c r="BS75" s="692"/>
      <c r="BT75" s="692"/>
      <c r="BU75" s="692"/>
      <c r="BV75" s="692"/>
      <c r="BW75" s="692"/>
      <c r="BX75" s="692"/>
      <c r="BY75" s="692"/>
      <c r="BZ75" s="692"/>
      <c r="CA75" s="692"/>
      <c r="CB75" s="692"/>
      <c r="CC75" s="692"/>
      <c r="CD75" s="692"/>
      <c r="CE75" s="692"/>
      <c r="CF75" s="692"/>
      <c r="CG75" s="692"/>
      <c r="CH75" s="692"/>
      <c r="CI75" s="692"/>
      <c r="CJ75" s="692"/>
      <c r="CK75" s="692"/>
      <c r="CL75" s="692"/>
      <c r="CM75" s="692"/>
      <c r="CN75" s="692"/>
      <c r="CO75" s="692"/>
      <c r="CP75" s="692"/>
      <c r="CQ75" s="692"/>
      <c r="CR75" s="692"/>
      <c r="CS75" s="692"/>
      <c r="CT75" s="692"/>
      <c r="CU75" s="692"/>
      <c r="CV75" s="692"/>
      <c r="CW75" s="692"/>
      <c r="CX75" s="692"/>
      <c r="CY75" s="692"/>
      <c r="CZ75" s="692"/>
      <c r="DA75" s="692"/>
      <c r="DB75" s="692"/>
      <c r="DC75" s="692"/>
      <c r="DD75" s="692"/>
      <c r="DE75" s="692"/>
      <c r="DF75" s="692"/>
      <c r="DG75" s="692"/>
      <c r="DH75" s="692"/>
      <c r="DI75" s="692"/>
      <c r="DJ75" s="692"/>
      <c r="DK75" s="692"/>
      <c r="DL75" s="692"/>
      <c r="DM75" s="692"/>
      <c r="DN75" s="692"/>
      <c r="DO75" s="692"/>
      <c r="DP75" s="692"/>
      <c r="DQ75" s="692"/>
      <c r="DR75" s="692"/>
      <c r="DS75" s="692"/>
      <c r="DT75" s="692"/>
      <c r="DU75" s="692"/>
      <c r="DV75" s="692"/>
      <c r="DW75" s="692"/>
      <c r="DX75" s="692"/>
      <c r="DY75" s="692"/>
      <c r="DZ75" s="692"/>
      <c r="EA75" s="692"/>
      <c r="EB75" s="692"/>
      <c r="EC75" s="692"/>
      <c r="ED75" s="692"/>
      <c r="EE75" s="692"/>
      <c r="EF75" s="692"/>
      <c r="EG75" s="692"/>
      <c r="EH75" s="692"/>
      <c r="EI75" s="692"/>
      <c r="EJ75" s="692"/>
      <c r="EK75" s="692"/>
      <c r="EL75" s="692"/>
      <c r="EM75" s="692"/>
      <c r="EN75" s="692"/>
      <c r="EO75" s="692"/>
      <c r="EP75" s="692"/>
      <c r="EQ75" s="692"/>
      <c r="ER75" s="692"/>
      <c r="ES75" s="692"/>
      <c r="ET75" s="692"/>
      <c r="EU75" s="692"/>
      <c r="EV75" s="692"/>
      <c r="EW75" s="692"/>
      <c r="EX75" s="692"/>
      <c r="EY75" s="692"/>
      <c r="EZ75" s="692"/>
      <c r="FA75" s="692"/>
      <c r="FB75" s="692"/>
      <c r="FC75" s="692"/>
      <c r="FD75" s="692"/>
      <c r="FE75" s="692"/>
      <c r="FF75" s="692"/>
      <c r="FG75" s="692"/>
      <c r="FH75" s="692"/>
      <c r="FI75" s="692"/>
      <c r="FJ75" s="692"/>
      <c r="FK75" s="692"/>
      <c r="FL75" s="692"/>
      <c r="FM75" s="692"/>
      <c r="FN75" s="692"/>
      <c r="FO75" s="692"/>
      <c r="FP75" s="692"/>
      <c r="FQ75" s="692"/>
      <c r="FR75" s="692"/>
      <c r="FS75" s="692"/>
      <c r="FT75" s="692"/>
      <c r="FU75" s="692"/>
      <c r="FV75" s="692"/>
      <c r="FW75" s="692"/>
      <c r="FX75" s="692"/>
      <c r="FY75" s="692"/>
      <c r="FZ75" s="692"/>
      <c r="GA75" s="692"/>
      <c r="GB75" s="692"/>
      <c r="GC75" s="692"/>
      <c r="GD75" s="692"/>
      <c r="GE75" s="692"/>
      <c r="GF75" s="692"/>
      <c r="GG75" s="692"/>
      <c r="GH75" s="692"/>
      <c r="GI75" s="692"/>
      <c r="GJ75" s="692"/>
      <c r="GK75" s="692"/>
      <c r="GL75" s="692"/>
      <c r="GM75" s="692"/>
      <c r="GN75" s="692"/>
      <c r="GO75" s="692"/>
      <c r="GP75" s="692"/>
      <c r="GQ75" s="692"/>
      <c r="GR75" s="692"/>
      <c r="GS75" s="692"/>
      <c r="GT75" s="692"/>
      <c r="GU75" s="692"/>
      <c r="GV75" s="692"/>
      <c r="GW75" s="692"/>
      <c r="GX75" s="692"/>
      <c r="GY75" s="692"/>
      <c r="GZ75" s="692"/>
      <c r="HA75" s="692"/>
      <c r="HB75" s="692"/>
      <c r="HC75" s="692"/>
      <c r="HD75" s="692"/>
      <c r="HE75" s="692"/>
      <c r="HF75" s="692"/>
      <c r="HG75" s="692"/>
      <c r="HH75" s="692"/>
      <c r="HI75" s="692"/>
      <c r="HJ75" s="692"/>
      <c r="HK75" s="692"/>
      <c r="HL75" s="692"/>
      <c r="HM75" s="692"/>
      <c r="HN75" s="692"/>
      <c r="HO75" s="692"/>
      <c r="HP75" s="692"/>
      <c r="HQ75" s="692"/>
      <c r="HR75" s="692"/>
      <c r="HS75" s="692"/>
      <c r="HT75" s="692"/>
      <c r="HU75" s="692"/>
      <c r="HV75" s="692"/>
      <c r="HW75" s="692"/>
      <c r="HX75" s="692"/>
      <c r="HY75" s="692"/>
      <c r="HZ75" s="692"/>
      <c r="IA75" s="692"/>
      <c r="IB75" s="692"/>
      <c r="IC75" s="692"/>
      <c r="ID75" s="692"/>
      <c r="IE75" s="692"/>
      <c r="IF75" s="692"/>
      <c r="IG75" s="692"/>
      <c r="IH75" s="692"/>
      <c r="II75" s="692"/>
      <c r="IJ75" s="692"/>
      <c r="IK75" s="692"/>
      <c r="IL75" s="692"/>
      <c r="IM75" s="692"/>
      <c r="IN75" s="692"/>
      <c r="IO75" s="692"/>
      <c r="IP75" s="692"/>
      <c r="IQ75" s="692"/>
      <c r="IR75" s="692"/>
      <c r="IS75" s="692"/>
      <c r="IT75" s="692"/>
    </row>
    <row r="76" spans="1:254" ht="15" x14ac:dyDescent="0.2">
      <c r="A76" s="830"/>
      <c r="B76" s="831"/>
      <c r="C76" s="379"/>
      <c r="D76" s="380"/>
      <c r="E76" s="729">
        <v>62</v>
      </c>
      <c r="F76" s="839" t="s">
        <v>2185</v>
      </c>
      <c r="G76" s="840"/>
      <c r="H76" s="1084"/>
      <c r="I76" s="1084"/>
      <c r="J76" s="840"/>
      <c r="K76" s="840"/>
      <c r="L76" s="840"/>
      <c r="M76" s="841"/>
      <c r="N76" s="1903"/>
      <c r="O76" s="2517"/>
      <c r="P76" s="1084"/>
      <c r="Q76" s="1084"/>
      <c r="R76" s="1084"/>
      <c r="S76" s="2520"/>
      <c r="T76" s="1117"/>
      <c r="U76" s="850"/>
      <c r="V76" s="851"/>
      <c r="W76" s="851"/>
      <c r="X76" s="840"/>
      <c r="Y76" s="840"/>
      <c r="Z76" s="840"/>
      <c r="AA76" s="840"/>
      <c r="AB76" s="840"/>
      <c r="AC76" s="840"/>
      <c r="AD76" s="840"/>
      <c r="AE76" s="840"/>
      <c r="AF76" s="840"/>
      <c r="AG76" s="840"/>
      <c r="AH76" s="840"/>
      <c r="AI76" s="840"/>
      <c r="AJ76" s="840"/>
      <c r="AK76" s="840"/>
      <c r="AL76" s="840"/>
      <c r="AM76" s="840"/>
      <c r="AN76" s="843"/>
    </row>
    <row r="77" spans="1:254" ht="42" customHeight="1" x14ac:dyDescent="0.2">
      <c r="A77" s="830"/>
      <c r="B77" s="831"/>
      <c r="C77" s="379"/>
      <c r="D77" s="380"/>
      <c r="E77" s="370"/>
      <c r="F77" s="372"/>
      <c r="G77" s="3942">
        <v>191</v>
      </c>
      <c r="H77" s="3981" t="s">
        <v>2186</v>
      </c>
      <c r="I77" s="3427" t="s">
        <v>2187</v>
      </c>
      <c r="J77" s="4000">
        <v>1</v>
      </c>
      <c r="K77" s="3916" t="s">
        <v>2188</v>
      </c>
      <c r="L77" s="3919" t="s">
        <v>2189</v>
      </c>
      <c r="M77" s="3943" t="s">
        <v>2190</v>
      </c>
      <c r="N77" s="3941">
        <v>1</v>
      </c>
      <c r="O77" s="4001">
        <f>SUM(S77:S93)</f>
        <v>1008600000</v>
      </c>
      <c r="P77" s="3909" t="s">
        <v>2191</v>
      </c>
      <c r="Q77" s="2899" t="s">
        <v>2192</v>
      </c>
      <c r="R77" s="1644" t="s">
        <v>2193</v>
      </c>
      <c r="S77" s="2295">
        <v>50000000</v>
      </c>
      <c r="T77" s="1589">
        <v>20</v>
      </c>
      <c r="U77" s="1590" t="s">
        <v>61</v>
      </c>
      <c r="V77" s="4008">
        <v>5000</v>
      </c>
      <c r="W77" s="4009"/>
      <c r="X77" s="3998"/>
      <c r="Y77" s="3920"/>
      <c r="Z77" s="3920"/>
      <c r="AA77" s="3920"/>
      <c r="AB77" s="3920"/>
      <c r="AC77" s="3920"/>
      <c r="AD77" s="3920"/>
      <c r="AE77" s="3920"/>
      <c r="AF77" s="3920"/>
      <c r="AG77" s="3920"/>
      <c r="AH77" s="3920"/>
      <c r="AI77" s="3920"/>
      <c r="AJ77" s="3920"/>
      <c r="AK77" s="3566">
        <f>SUM(V77:AJ93)</f>
        <v>5000</v>
      </c>
      <c r="AL77" s="3339">
        <v>43467</v>
      </c>
      <c r="AM77" s="3339">
        <v>43830</v>
      </c>
      <c r="AN77" s="2900" t="s">
        <v>2194</v>
      </c>
    </row>
    <row r="78" spans="1:254" ht="60" customHeight="1" x14ac:dyDescent="0.2">
      <c r="A78" s="830"/>
      <c r="B78" s="831"/>
      <c r="C78" s="379"/>
      <c r="D78" s="380"/>
      <c r="E78" s="379"/>
      <c r="F78" s="380"/>
      <c r="G78" s="3942"/>
      <c r="H78" s="3981"/>
      <c r="I78" s="3427"/>
      <c r="J78" s="4000"/>
      <c r="K78" s="3917"/>
      <c r="L78" s="3919"/>
      <c r="M78" s="3943"/>
      <c r="N78" s="3941"/>
      <c r="O78" s="4001"/>
      <c r="P78" s="3909"/>
      <c r="Q78" s="3397"/>
      <c r="R78" s="1644" t="s">
        <v>2195</v>
      </c>
      <c r="S78" s="2295">
        <v>20000000</v>
      </c>
      <c r="T78" s="1589">
        <v>20</v>
      </c>
      <c r="U78" s="1590" t="s">
        <v>61</v>
      </c>
      <c r="V78" s="4010"/>
      <c r="W78" s="4011"/>
      <c r="X78" s="3999"/>
      <c r="Y78" s="3921"/>
      <c r="Z78" s="3921"/>
      <c r="AA78" s="3921"/>
      <c r="AB78" s="3921"/>
      <c r="AC78" s="3921"/>
      <c r="AD78" s="3921"/>
      <c r="AE78" s="3921"/>
      <c r="AF78" s="3921"/>
      <c r="AG78" s="3921"/>
      <c r="AH78" s="3921"/>
      <c r="AI78" s="3921"/>
      <c r="AJ78" s="3921"/>
      <c r="AK78" s="3567"/>
      <c r="AL78" s="3339"/>
      <c r="AM78" s="3339"/>
      <c r="AN78" s="2900"/>
    </row>
    <row r="79" spans="1:254" ht="56.25" customHeight="1" x14ac:dyDescent="0.2">
      <c r="A79" s="830"/>
      <c r="B79" s="831"/>
      <c r="C79" s="379"/>
      <c r="D79" s="380"/>
      <c r="E79" s="379"/>
      <c r="F79" s="380"/>
      <c r="G79" s="3942"/>
      <c r="H79" s="3981"/>
      <c r="I79" s="3427"/>
      <c r="J79" s="4000"/>
      <c r="K79" s="3917"/>
      <c r="L79" s="3919"/>
      <c r="M79" s="3943"/>
      <c r="N79" s="3941"/>
      <c r="O79" s="4001"/>
      <c r="P79" s="3909"/>
      <c r="Q79" s="3397"/>
      <c r="R79" s="1644" t="s">
        <v>2196</v>
      </c>
      <c r="S79" s="2295">
        <f>50000000-50000000</f>
        <v>0</v>
      </c>
      <c r="T79" s="1589">
        <v>20</v>
      </c>
      <c r="U79" s="1590" t="s">
        <v>61</v>
      </c>
      <c r="V79" s="4010"/>
      <c r="W79" s="4011"/>
      <c r="X79" s="3999"/>
      <c r="Y79" s="3921"/>
      <c r="Z79" s="3921"/>
      <c r="AA79" s="3921"/>
      <c r="AB79" s="3921"/>
      <c r="AC79" s="3921"/>
      <c r="AD79" s="3921"/>
      <c r="AE79" s="3921"/>
      <c r="AF79" s="3921"/>
      <c r="AG79" s="3921"/>
      <c r="AH79" s="3921"/>
      <c r="AI79" s="3921"/>
      <c r="AJ79" s="3921"/>
      <c r="AK79" s="3567"/>
      <c r="AL79" s="3339"/>
      <c r="AM79" s="3339"/>
      <c r="AN79" s="2900"/>
    </row>
    <row r="80" spans="1:254" ht="59.25" customHeight="1" x14ac:dyDescent="0.2">
      <c r="A80" s="830"/>
      <c r="B80" s="831"/>
      <c r="C80" s="379"/>
      <c r="D80" s="380"/>
      <c r="E80" s="379"/>
      <c r="F80" s="380"/>
      <c r="G80" s="3942"/>
      <c r="H80" s="3981"/>
      <c r="I80" s="3427"/>
      <c r="J80" s="4000"/>
      <c r="K80" s="3917"/>
      <c r="L80" s="3919"/>
      <c r="M80" s="3943"/>
      <c r="N80" s="3941"/>
      <c r="O80" s="4001"/>
      <c r="P80" s="3909"/>
      <c r="Q80" s="3397"/>
      <c r="R80" s="1644" t="s">
        <v>2197</v>
      </c>
      <c r="S80" s="2295">
        <f>50000000-39175600</f>
        <v>10824400</v>
      </c>
      <c r="T80" s="1589">
        <v>20</v>
      </c>
      <c r="U80" s="1590" t="s">
        <v>61</v>
      </c>
      <c r="V80" s="4010"/>
      <c r="W80" s="4011"/>
      <c r="X80" s="3999"/>
      <c r="Y80" s="3921"/>
      <c r="Z80" s="3921"/>
      <c r="AA80" s="3921"/>
      <c r="AB80" s="3921"/>
      <c r="AC80" s="3921"/>
      <c r="AD80" s="3921"/>
      <c r="AE80" s="3921"/>
      <c r="AF80" s="3921"/>
      <c r="AG80" s="3921"/>
      <c r="AH80" s="3921"/>
      <c r="AI80" s="3921"/>
      <c r="AJ80" s="3921"/>
      <c r="AK80" s="3567"/>
      <c r="AL80" s="3339"/>
      <c r="AM80" s="3339"/>
      <c r="AN80" s="2900"/>
    </row>
    <row r="81" spans="1:40" ht="105" customHeight="1" x14ac:dyDescent="0.2">
      <c r="A81" s="830"/>
      <c r="B81" s="831"/>
      <c r="C81" s="379"/>
      <c r="D81" s="380"/>
      <c r="E81" s="379"/>
      <c r="F81" s="380"/>
      <c r="G81" s="3942"/>
      <c r="H81" s="3981"/>
      <c r="I81" s="3427"/>
      <c r="J81" s="4000"/>
      <c r="K81" s="3917"/>
      <c r="L81" s="3919"/>
      <c r="M81" s="3943"/>
      <c r="N81" s="3941"/>
      <c r="O81" s="4001"/>
      <c r="P81" s="3909"/>
      <c r="Q81" s="3397"/>
      <c r="R81" s="1644" t="s">
        <v>2198</v>
      </c>
      <c r="S81" s="2295">
        <f>200000000+100000000-30000000</f>
        <v>270000000</v>
      </c>
      <c r="T81" s="1589">
        <v>20</v>
      </c>
      <c r="U81" s="1590" t="s">
        <v>61</v>
      </c>
      <c r="V81" s="4010"/>
      <c r="W81" s="4011"/>
      <c r="X81" s="3999"/>
      <c r="Y81" s="3921"/>
      <c r="Z81" s="3921"/>
      <c r="AA81" s="3921"/>
      <c r="AB81" s="3921"/>
      <c r="AC81" s="3921"/>
      <c r="AD81" s="3921"/>
      <c r="AE81" s="3921"/>
      <c r="AF81" s="3921"/>
      <c r="AG81" s="3921"/>
      <c r="AH81" s="3921"/>
      <c r="AI81" s="3921"/>
      <c r="AJ81" s="3921"/>
      <c r="AK81" s="3567"/>
      <c r="AL81" s="3339"/>
      <c r="AM81" s="3339"/>
      <c r="AN81" s="2900"/>
    </row>
    <row r="82" spans="1:40" ht="84.75" customHeight="1" x14ac:dyDescent="0.2">
      <c r="A82" s="830"/>
      <c r="B82" s="831"/>
      <c r="C82" s="379"/>
      <c r="D82" s="380"/>
      <c r="E82" s="379"/>
      <c r="F82" s="380"/>
      <c r="G82" s="3942"/>
      <c r="H82" s="3981"/>
      <c r="I82" s="3427"/>
      <c r="J82" s="4000"/>
      <c r="K82" s="3917"/>
      <c r="L82" s="3919"/>
      <c r="M82" s="3943"/>
      <c r="N82" s="3941"/>
      <c r="O82" s="4001"/>
      <c r="P82" s="3909"/>
      <c r="Q82" s="3397"/>
      <c r="R82" s="1644" t="s">
        <v>2199</v>
      </c>
      <c r="S82" s="2295">
        <v>29040000</v>
      </c>
      <c r="T82" s="1589">
        <v>20</v>
      </c>
      <c r="U82" s="1590" t="s">
        <v>61</v>
      </c>
      <c r="V82" s="4010"/>
      <c r="W82" s="4011"/>
      <c r="X82" s="3999"/>
      <c r="Y82" s="3921"/>
      <c r="Z82" s="3921"/>
      <c r="AA82" s="3921"/>
      <c r="AB82" s="3921"/>
      <c r="AC82" s="3921"/>
      <c r="AD82" s="3921"/>
      <c r="AE82" s="3921"/>
      <c r="AF82" s="3921"/>
      <c r="AG82" s="3921"/>
      <c r="AH82" s="3921"/>
      <c r="AI82" s="3921"/>
      <c r="AJ82" s="3921"/>
      <c r="AK82" s="3567"/>
      <c r="AL82" s="3339"/>
      <c r="AM82" s="3339"/>
      <c r="AN82" s="2900"/>
    </row>
    <row r="83" spans="1:40" ht="66" customHeight="1" x14ac:dyDescent="0.2">
      <c r="A83" s="830"/>
      <c r="B83" s="831"/>
      <c r="C83" s="379"/>
      <c r="D83" s="380"/>
      <c r="E83" s="379"/>
      <c r="F83" s="380"/>
      <c r="G83" s="3942"/>
      <c r="H83" s="3981"/>
      <c r="I83" s="3427"/>
      <c r="J83" s="4000"/>
      <c r="K83" s="3917"/>
      <c r="L83" s="3919"/>
      <c r="M83" s="3943"/>
      <c r="N83" s="3941"/>
      <c r="O83" s="4001"/>
      <c r="P83" s="3909"/>
      <c r="Q83" s="3397"/>
      <c r="R83" s="1644" t="s">
        <v>2200</v>
      </c>
      <c r="S83" s="2295">
        <v>24360000</v>
      </c>
      <c r="T83" s="1589">
        <v>20</v>
      </c>
      <c r="U83" s="1590" t="s">
        <v>61</v>
      </c>
      <c r="V83" s="4010"/>
      <c r="W83" s="4011"/>
      <c r="X83" s="3999"/>
      <c r="Y83" s="3921"/>
      <c r="Z83" s="3921"/>
      <c r="AA83" s="3921"/>
      <c r="AB83" s="3921"/>
      <c r="AC83" s="3921"/>
      <c r="AD83" s="3921"/>
      <c r="AE83" s="3921"/>
      <c r="AF83" s="3921"/>
      <c r="AG83" s="3921"/>
      <c r="AH83" s="3921"/>
      <c r="AI83" s="3921"/>
      <c r="AJ83" s="3921"/>
      <c r="AK83" s="3567"/>
      <c r="AL83" s="3339"/>
      <c r="AM83" s="3339"/>
      <c r="AN83" s="2900"/>
    </row>
    <row r="84" spans="1:40" ht="49.5" customHeight="1" x14ac:dyDescent="0.2">
      <c r="A84" s="830"/>
      <c r="B84" s="831"/>
      <c r="C84" s="379"/>
      <c r="D84" s="380"/>
      <c r="E84" s="379"/>
      <c r="F84" s="380"/>
      <c r="G84" s="3942"/>
      <c r="H84" s="3981"/>
      <c r="I84" s="3427"/>
      <c r="J84" s="4000"/>
      <c r="K84" s="3917"/>
      <c r="L84" s="3919"/>
      <c r="M84" s="3943"/>
      <c r="N84" s="3941"/>
      <c r="O84" s="4001"/>
      <c r="P84" s="3909"/>
      <c r="Q84" s="3397"/>
      <c r="R84" s="1644" t="s">
        <v>2201</v>
      </c>
      <c r="S84" s="2295">
        <v>21610000</v>
      </c>
      <c r="T84" s="1589">
        <v>20</v>
      </c>
      <c r="U84" s="1590" t="s">
        <v>61</v>
      </c>
      <c r="V84" s="4010"/>
      <c r="W84" s="4011"/>
      <c r="X84" s="3999"/>
      <c r="Y84" s="3921"/>
      <c r="Z84" s="3921"/>
      <c r="AA84" s="3921"/>
      <c r="AB84" s="3921"/>
      <c r="AC84" s="3921"/>
      <c r="AD84" s="3921"/>
      <c r="AE84" s="3921"/>
      <c r="AF84" s="3921"/>
      <c r="AG84" s="3921"/>
      <c r="AH84" s="3921"/>
      <c r="AI84" s="3921"/>
      <c r="AJ84" s="3921"/>
      <c r="AK84" s="3567"/>
      <c r="AL84" s="3339"/>
      <c r="AM84" s="3339"/>
      <c r="AN84" s="2900"/>
    </row>
    <row r="85" spans="1:40" ht="55.5" customHeight="1" x14ac:dyDescent="0.2">
      <c r="A85" s="830"/>
      <c r="B85" s="831"/>
      <c r="C85" s="379"/>
      <c r="D85" s="380"/>
      <c r="E85" s="379"/>
      <c r="F85" s="380"/>
      <c r="G85" s="3942"/>
      <c r="H85" s="3981"/>
      <c r="I85" s="3427"/>
      <c r="J85" s="4000"/>
      <c r="K85" s="3917"/>
      <c r="L85" s="3919"/>
      <c r="M85" s="3943"/>
      <c r="N85" s="3941"/>
      <c r="O85" s="4001"/>
      <c r="P85" s="3909"/>
      <c r="Q85" s="3397"/>
      <c r="R85" s="1644" t="s">
        <v>2202</v>
      </c>
      <c r="S85" s="2295">
        <v>18590000</v>
      </c>
      <c r="T85" s="1589">
        <v>20</v>
      </c>
      <c r="U85" s="1590" t="s">
        <v>61</v>
      </c>
      <c r="V85" s="4010"/>
      <c r="W85" s="4011"/>
      <c r="X85" s="3999"/>
      <c r="Y85" s="3921"/>
      <c r="Z85" s="3921"/>
      <c r="AA85" s="3921"/>
      <c r="AB85" s="3921"/>
      <c r="AC85" s="3921"/>
      <c r="AD85" s="3921"/>
      <c r="AE85" s="3921"/>
      <c r="AF85" s="3921"/>
      <c r="AG85" s="3921"/>
      <c r="AH85" s="3921"/>
      <c r="AI85" s="3921"/>
      <c r="AJ85" s="3921"/>
      <c r="AK85" s="3567"/>
      <c r="AL85" s="3339"/>
      <c r="AM85" s="3339"/>
      <c r="AN85" s="2900"/>
    </row>
    <row r="86" spans="1:40" ht="124.5" customHeight="1" x14ac:dyDescent="0.2">
      <c r="A86" s="830"/>
      <c r="B86" s="831"/>
      <c r="C86" s="379"/>
      <c r="D86" s="380"/>
      <c r="E86" s="379"/>
      <c r="F86" s="380"/>
      <c r="G86" s="3942"/>
      <c r="H86" s="3981"/>
      <c r="I86" s="3427"/>
      <c r="J86" s="4000"/>
      <c r="K86" s="3917"/>
      <c r="L86" s="3919"/>
      <c r="M86" s="3943"/>
      <c r="N86" s="3941"/>
      <c r="O86" s="4001"/>
      <c r="P86" s="3909"/>
      <c r="Q86" s="3397"/>
      <c r="R86" s="1644" t="s">
        <v>2203</v>
      </c>
      <c r="S86" s="2295">
        <v>30000000</v>
      </c>
      <c r="T86" s="1589">
        <v>20</v>
      </c>
      <c r="U86" s="1590" t="s">
        <v>61</v>
      </c>
      <c r="V86" s="4010"/>
      <c r="W86" s="4011"/>
      <c r="X86" s="3999"/>
      <c r="Y86" s="3921"/>
      <c r="Z86" s="3921"/>
      <c r="AA86" s="3921"/>
      <c r="AB86" s="3921"/>
      <c r="AC86" s="3921"/>
      <c r="AD86" s="3921"/>
      <c r="AE86" s="3921"/>
      <c r="AF86" s="3921"/>
      <c r="AG86" s="3921"/>
      <c r="AH86" s="3921"/>
      <c r="AI86" s="3921"/>
      <c r="AJ86" s="3921"/>
      <c r="AK86" s="3567"/>
      <c r="AL86" s="3339"/>
      <c r="AM86" s="3339"/>
      <c r="AN86" s="2900"/>
    </row>
    <row r="87" spans="1:40" ht="67.5" customHeight="1" x14ac:dyDescent="0.2">
      <c r="A87" s="830"/>
      <c r="B87" s="831"/>
      <c r="C87" s="379"/>
      <c r="D87" s="380"/>
      <c r="E87" s="379"/>
      <c r="F87" s="380"/>
      <c r="G87" s="3942"/>
      <c r="H87" s="3981"/>
      <c r="I87" s="3427"/>
      <c r="J87" s="4000"/>
      <c r="K87" s="3917"/>
      <c r="L87" s="3919"/>
      <c r="M87" s="3943"/>
      <c r="N87" s="3941"/>
      <c r="O87" s="4001"/>
      <c r="P87" s="3909"/>
      <c r="Q87" s="2900"/>
      <c r="R87" s="1644" t="s">
        <v>2204</v>
      </c>
      <c r="S87" s="2295">
        <v>15000000</v>
      </c>
      <c r="T87" s="1589">
        <v>20</v>
      </c>
      <c r="U87" s="1590" t="s">
        <v>61</v>
      </c>
      <c r="V87" s="4010"/>
      <c r="W87" s="4011"/>
      <c r="X87" s="3999"/>
      <c r="Y87" s="3921"/>
      <c r="Z87" s="3921"/>
      <c r="AA87" s="3921"/>
      <c r="AB87" s="3921"/>
      <c r="AC87" s="3921"/>
      <c r="AD87" s="3921"/>
      <c r="AE87" s="3921"/>
      <c r="AF87" s="3921"/>
      <c r="AG87" s="3921"/>
      <c r="AH87" s="3921"/>
      <c r="AI87" s="3921"/>
      <c r="AJ87" s="3921"/>
      <c r="AK87" s="3567"/>
      <c r="AL87" s="3339"/>
      <c r="AM87" s="3339"/>
      <c r="AN87" s="2900"/>
    </row>
    <row r="88" spans="1:40" ht="81.75" customHeight="1" x14ac:dyDescent="0.2">
      <c r="A88" s="830"/>
      <c r="B88" s="831"/>
      <c r="C88" s="379"/>
      <c r="D88" s="380"/>
      <c r="E88" s="379"/>
      <c r="F88" s="380"/>
      <c r="G88" s="3942"/>
      <c r="H88" s="3981"/>
      <c r="I88" s="3427"/>
      <c r="J88" s="4000"/>
      <c r="K88" s="3917"/>
      <c r="L88" s="3919"/>
      <c r="M88" s="3943"/>
      <c r="N88" s="3941"/>
      <c r="O88" s="4001"/>
      <c r="P88" s="3909"/>
      <c r="Q88" s="3413" t="s">
        <v>2205</v>
      </c>
      <c r="R88" s="1644" t="s">
        <v>2206</v>
      </c>
      <c r="S88" s="2295">
        <f>200000000-100000000+25000000</f>
        <v>125000000</v>
      </c>
      <c r="T88" s="1589">
        <v>20</v>
      </c>
      <c r="U88" s="1590" t="s">
        <v>61</v>
      </c>
      <c r="V88" s="4010"/>
      <c r="W88" s="4011"/>
      <c r="X88" s="3999"/>
      <c r="Y88" s="3921"/>
      <c r="Z88" s="3921"/>
      <c r="AA88" s="3921"/>
      <c r="AB88" s="3921"/>
      <c r="AC88" s="3921"/>
      <c r="AD88" s="3921"/>
      <c r="AE88" s="3921"/>
      <c r="AF88" s="3921"/>
      <c r="AG88" s="3921"/>
      <c r="AH88" s="3921"/>
      <c r="AI88" s="3921"/>
      <c r="AJ88" s="3921"/>
      <c r="AK88" s="3567"/>
      <c r="AL88" s="3339"/>
      <c r="AM88" s="3339"/>
      <c r="AN88" s="2900"/>
    </row>
    <row r="89" spans="1:40" ht="57" x14ac:dyDescent="0.2">
      <c r="A89" s="830"/>
      <c r="B89" s="831"/>
      <c r="C89" s="379"/>
      <c r="D89" s="380"/>
      <c r="E89" s="379"/>
      <c r="F89" s="380"/>
      <c r="G89" s="3942"/>
      <c r="H89" s="3981"/>
      <c r="I89" s="3427"/>
      <c r="J89" s="4000"/>
      <c r="K89" s="3917"/>
      <c r="L89" s="3919"/>
      <c r="M89" s="3943"/>
      <c r="N89" s="3941"/>
      <c r="O89" s="4001"/>
      <c r="P89" s="3909"/>
      <c r="Q89" s="3413"/>
      <c r="R89" s="1644" t="s">
        <v>2207</v>
      </c>
      <c r="S89" s="2295">
        <v>50000000</v>
      </c>
      <c r="T89" s="1589">
        <v>20</v>
      </c>
      <c r="U89" s="1590" t="s">
        <v>61</v>
      </c>
      <c r="V89" s="4010"/>
      <c r="W89" s="4011"/>
      <c r="X89" s="3999"/>
      <c r="Y89" s="3921"/>
      <c r="Z89" s="3921"/>
      <c r="AA89" s="3921"/>
      <c r="AB89" s="3921"/>
      <c r="AC89" s="3921"/>
      <c r="AD89" s="3921"/>
      <c r="AE89" s="3921"/>
      <c r="AF89" s="3921"/>
      <c r="AG89" s="3921"/>
      <c r="AH89" s="3921"/>
      <c r="AI89" s="3921"/>
      <c r="AJ89" s="3921"/>
      <c r="AK89" s="3567"/>
      <c r="AL89" s="3339"/>
      <c r="AM89" s="3339"/>
      <c r="AN89" s="2900"/>
    </row>
    <row r="90" spans="1:40" ht="78.75" customHeight="1" x14ac:dyDescent="0.2">
      <c r="A90" s="830"/>
      <c r="B90" s="831"/>
      <c r="C90" s="379"/>
      <c r="D90" s="380"/>
      <c r="E90" s="379"/>
      <c r="F90" s="380"/>
      <c r="G90" s="3942"/>
      <c r="H90" s="3981"/>
      <c r="I90" s="3427"/>
      <c r="J90" s="4000"/>
      <c r="K90" s="3917"/>
      <c r="L90" s="3919"/>
      <c r="M90" s="3981"/>
      <c r="N90" s="3941"/>
      <c r="O90" s="4002"/>
      <c r="P90" s="3909"/>
      <c r="Q90" s="3413"/>
      <c r="R90" s="1644" t="s">
        <v>2208</v>
      </c>
      <c r="S90" s="2295">
        <f>150000000-25000000+89175600</f>
        <v>214175600</v>
      </c>
      <c r="T90" s="1589">
        <v>20</v>
      </c>
      <c r="U90" s="1590" t="s">
        <v>61</v>
      </c>
      <c r="V90" s="4010"/>
      <c r="W90" s="4011"/>
      <c r="X90" s="3999"/>
      <c r="Y90" s="3921"/>
      <c r="Z90" s="3921"/>
      <c r="AA90" s="3921"/>
      <c r="AB90" s="3921"/>
      <c r="AC90" s="3921"/>
      <c r="AD90" s="3921"/>
      <c r="AE90" s="3921"/>
      <c r="AF90" s="3921"/>
      <c r="AG90" s="3921"/>
      <c r="AH90" s="3921"/>
      <c r="AI90" s="3921"/>
      <c r="AJ90" s="3921"/>
      <c r="AK90" s="3567"/>
      <c r="AL90" s="3594"/>
      <c r="AM90" s="3594"/>
      <c r="AN90" s="3413"/>
    </row>
    <row r="91" spans="1:40" ht="60" customHeight="1" x14ac:dyDescent="0.2">
      <c r="A91" s="830"/>
      <c r="B91" s="831"/>
      <c r="C91" s="379"/>
      <c r="D91" s="380"/>
      <c r="E91" s="379"/>
      <c r="F91" s="380"/>
      <c r="G91" s="3942"/>
      <c r="H91" s="3981"/>
      <c r="I91" s="3427"/>
      <c r="J91" s="4000"/>
      <c r="K91" s="3917"/>
      <c r="L91" s="3919"/>
      <c r="M91" s="3981"/>
      <c r="N91" s="3941"/>
      <c r="O91" s="4002"/>
      <c r="P91" s="3909"/>
      <c r="Q91" s="3413"/>
      <c r="R91" s="1644" t="s">
        <v>2209</v>
      </c>
      <c r="S91" s="2295">
        <v>50000000</v>
      </c>
      <c r="T91" s="1589">
        <v>20</v>
      </c>
      <c r="U91" s="1590" t="s">
        <v>61</v>
      </c>
      <c r="V91" s="4010"/>
      <c r="W91" s="4011"/>
      <c r="X91" s="3999"/>
      <c r="Y91" s="3921"/>
      <c r="Z91" s="3921"/>
      <c r="AA91" s="3921"/>
      <c r="AB91" s="3921"/>
      <c r="AC91" s="3921"/>
      <c r="AD91" s="3921"/>
      <c r="AE91" s="3921"/>
      <c r="AF91" s="3921"/>
      <c r="AG91" s="3921"/>
      <c r="AH91" s="3921"/>
      <c r="AI91" s="3921"/>
      <c r="AJ91" s="3921"/>
      <c r="AK91" s="3567"/>
      <c r="AL91" s="3594"/>
      <c r="AM91" s="3594"/>
      <c r="AN91" s="3413"/>
    </row>
    <row r="92" spans="1:40" ht="38.25" customHeight="1" x14ac:dyDescent="0.2">
      <c r="A92" s="830"/>
      <c r="B92" s="831"/>
      <c r="C92" s="379"/>
      <c r="D92" s="380"/>
      <c r="E92" s="379"/>
      <c r="F92" s="380"/>
      <c r="G92" s="3942"/>
      <c r="H92" s="3981"/>
      <c r="I92" s="3427"/>
      <c r="J92" s="4000"/>
      <c r="K92" s="3917"/>
      <c r="L92" s="3919"/>
      <c r="M92" s="3981"/>
      <c r="N92" s="3941"/>
      <c r="O92" s="4002"/>
      <c r="P92" s="3909"/>
      <c r="Q92" s="3413"/>
      <c r="R92" s="1644" t="s">
        <v>2210</v>
      </c>
      <c r="S92" s="2295">
        <f>30000000+30000000</f>
        <v>60000000</v>
      </c>
      <c r="T92" s="1589">
        <v>20</v>
      </c>
      <c r="U92" s="1590" t="s">
        <v>61</v>
      </c>
      <c r="V92" s="4010"/>
      <c r="W92" s="4011"/>
      <c r="X92" s="3999"/>
      <c r="Y92" s="3921"/>
      <c r="Z92" s="3921"/>
      <c r="AA92" s="3921"/>
      <c r="AB92" s="3921"/>
      <c r="AC92" s="3921"/>
      <c r="AD92" s="3921"/>
      <c r="AE92" s="3921"/>
      <c r="AF92" s="3921"/>
      <c r="AG92" s="3921"/>
      <c r="AH92" s="3921"/>
      <c r="AI92" s="3921"/>
      <c r="AJ92" s="3921"/>
      <c r="AK92" s="3567"/>
      <c r="AL92" s="3594"/>
      <c r="AM92" s="3594"/>
      <c r="AN92" s="3413"/>
    </row>
    <row r="93" spans="1:40" ht="51" customHeight="1" x14ac:dyDescent="0.2">
      <c r="A93" s="830"/>
      <c r="B93" s="831"/>
      <c r="C93" s="379"/>
      <c r="D93" s="380"/>
      <c r="E93" s="379"/>
      <c r="F93" s="380"/>
      <c r="G93" s="3942"/>
      <c r="H93" s="3981"/>
      <c r="I93" s="3427"/>
      <c r="J93" s="4000"/>
      <c r="K93" s="3917"/>
      <c r="L93" s="3919"/>
      <c r="M93" s="3981"/>
      <c r="N93" s="3941"/>
      <c r="O93" s="4002"/>
      <c r="P93" s="3909"/>
      <c r="Q93" s="3413"/>
      <c r="R93" s="1644" t="s">
        <v>2211</v>
      </c>
      <c r="S93" s="2295">
        <v>20000000</v>
      </c>
      <c r="T93" s="1589">
        <v>20</v>
      </c>
      <c r="U93" s="1590" t="s">
        <v>61</v>
      </c>
      <c r="V93" s="4012"/>
      <c r="W93" s="4013"/>
      <c r="X93" s="3999"/>
      <c r="Y93" s="3921"/>
      <c r="Z93" s="3921"/>
      <c r="AA93" s="3921"/>
      <c r="AB93" s="3921"/>
      <c r="AC93" s="3921"/>
      <c r="AD93" s="3921"/>
      <c r="AE93" s="3921"/>
      <c r="AF93" s="3921"/>
      <c r="AG93" s="3921"/>
      <c r="AH93" s="3921"/>
      <c r="AI93" s="3921"/>
      <c r="AJ93" s="3921"/>
      <c r="AK93" s="3567"/>
      <c r="AL93" s="3594"/>
      <c r="AM93" s="3594"/>
      <c r="AN93" s="3413"/>
    </row>
    <row r="94" spans="1:40" ht="66" customHeight="1" x14ac:dyDescent="0.2">
      <c r="A94" s="830"/>
      <c r="B94" s="831"/>
      <c r="C94" s="379"/>
      <c r="D94" s="380"/>
      <c r="E94" s="379"/>
      <c r="F94" s="380"/>
      <c r="G94" s="3942">
        <v>192</v>
      </c>
      <c r="H94" s="3922" t="s">
        <v>2212</v>
      </c>
      <c r="I94" s="3914" t="s">
        <v>2213</v>
      </c>
      <c r="J94" s="3945">
        <v>1</v>
      </c>
      <c r="K94" s="3916" t="s">
        <v>2214</v>
      </c>
      <c r="L94" s="3918" t="s">
        <v>2215</v>
      </c>
      <c r="M94" s="3922" t="s">
        <v>2216</v>
      </c>
      <c r="N94" s="3941">
        <f>SUM(S94:S97)/O94</f>
        <v>1</v>
      </c>
      <c r="O94" s="3973">
        <f>SUM(S94:S97)</f>
        <v>79500000</v>
      </c>
      <c r="P94" s="3981" t="s">
        <v>2217</v>
      </c>
      <c r="Q94" s="2899" t="s">
        <v>2218</v>
      </c>
      <c r="R94" s="1645" t="s">
        <v>2219</v>
      </c>
      <c r="S94" s="2519">
        <v>44500000</v>
      </c>
      <c r="T94" s="1118">
        <v>20</v>
      </c>
      <c r="U94" s="1398" t="s">
        <v>61</v>
      </c>
      <c r="V94" s="4003">
        <v>701</v>
      </c>
      <c r="W94" s="4005">
        <v>877</v>
      </c>
      <c r="X94" s="3920"/>
      <c r="Y94" s="3920"/>
      <c r="Z94" s="3920"/>
      <c r="AA94" s="3920"/>
      <c r="AB94" s="3920"/>
      <c r="AC94" s="3920"/>
      <c r="AD94" s="3920"/>
      <c r="AE94" s="3920"/>
      <c r="AF94" s="3920"/>
      <c r="AG94" s="3920"/>
      <c r="AH94" s="3920"/>
      <c r="AI94" s="3920"/>
      <c r="AJ94" s="3920"/>
      <c r="AK94" s="3926">
        <f>SUM(V94:AJ97)</f>
        <v>1578</v>
      </c>
      <c r="AL94" s="3908">
        <v>43467</v>
      </c>
      <c r="AM94" s="3908">
        <v>43830</v>
      </c>
      <c r="AN94" s="3397" t="s">
        <v>2077</v>
      </c>
    </row>
    <row r="95" spans="1:40" ht="52.5" customHeight="1" x14ac:dyDescent="0.2">
      <c r="A95" s="830"/>
      <c r="B95" s="831"/>
      <c r="C95" s="379"/>
      <c r="D95" s="380"/>
      <c r="E95" s="379"/>
      <c r="F95" s="380"/>
      <c r="G95" s="3942"/>
      <c r="H95" s="3909"/>
      <c r="I95" s="3915"/>
      <c r="J95" s="3945"/>
      <c r="K95" s="3917"/>
      <c r="L95" s="3919"/>
      <c r="M95" s="3909"/>
      <c r="N95" s="3941"/>
      <c r="O95" s="3973"/>
      <c r="P95" s="3981"/>
      <c r="Q95" s="3397"/>
      <c r="R95" s="1645" t="s">
        <v>2220</v>
      </c>
      <c r="S95" s="2519">
        <v>0</v>
      </c>
      <c r="T95" s="1118">
        <v>20</v>
      </c>
      <c r="U95" s="1398" t="s">
        <v>61</v>
      </c>
      <c r="V95" s="4003"/>
      <c r="W95" s="4006"/>
      <c r="X95" s="3921"/>
      <c r="Y95" s="3921"/>
      <c r="Z95" s="3921"/>
      <c r="AA95" s="3921"/>
      <c r="AB95" s="3921"/>
      <c r="AC95" s="3921"/>
      <c r="AD95" s="3921"/>
      <c r="AE95" s="3921"/>
      <c r="AF95" s="3921"/>
      <c r="AG95" s="3921"/>
      <c r="AH95" s="3921"/>
      <c r="AI95" s="3921"/>
      <c r="AJ95" s="3921"/>
      <c r="AK95" s="3927"/>
      <c r="AL95" s="3908"/>
      <c r="AM95" s="3908"/>
      <c r="AN95" s="3397"/>
    </row>
    <row r="96" spans="1:40" ht="43.5" customHeight="1" x14ac:dyDescent="0.2">
      <c r="A96" s="830"/>
      <c r="B96" s="831"/>
      <c r="C96" s="379"/>
      <c r="D96" s="380"/>
      <c r="E96" s="379"/>
      <c r="F96" s="380"/>
      <c r="G96" s="3942"/>
      <c r="H96" s="3909"/>
      <c r="I96" s="3915"/>
      <c r="J96" s="3945"/>
      <c r="K96" s="3917"/>
      <c r="L96" s="3919"/>
      <c r="M96" s="3909"/>
      <c r="N96" s="3941"/>
      <c r="O96" s="3973"/>
      <c r="P96" s="3981"/>
      <c r="Q96" s="3397"/>
      <c r="R96" s="1646" t="s">
        <v>2221</v>
      </c>
      <c r="S96" s="2519">
        <v>0</v>
      </c>
      <c r="T96" s="1118">
        <v>20</v>
      </c>
      <c r="U96" s="1398" t="s">
        <v>61</v>
      </c>
      <c r="V96" s="4003"/>
      <c r="W96" s="4006"/>
      <c r="X96" s="3921"/>
      <c r="Y96" s="3921"/>
      <c r="Z96" s="3921"/>
      <c r="AA96" s="3921"/>
      <c r="AB96" s="3921"/>
      <c r="AC96" s="3921"/>
      <c r="AD96" s="3921"/>
      <c r="AE96" s="3921"/>
      <c r="AF96" s="3921"/>
      <c r="AG96" s="3921"/>
      <c r="AH96" s="3921"/>
      <c r="AI96" s="3921"/>
      <c r="AJ96" s="3921"/>
      <c r="AK96" s="3927"/>
      <c r="AL96" s="3908"/>
      <c r="AM96" s="3908"/>
      <c r="AN96" s="3397"/>
    </row>
    <row r="97" spans="1:40" ht="49.5" customHeight="1" x14ac:dyDescent="0.2">
      <c r="A97" s="830"/>
      <c r="B97" s="831"/>
      <c r="C97" s="379"/>
      <c r="D97" s="380"/>
      <c r="E97" s="387"/>
      <c r="F97" s="380"/>
      <c r="G97" s="3942"/>
      <c r="H97" s="3943"/>
      <c r="I97" s="3944"/>
      <c r="J97" s="3945"/>
      <c r="K97" s="3946"/>
      <c r="L97" s="3947"/>
      <c r="M97" s="3943"/>
      <c r="N97" s="3941"/>
      <c r="O97" s="3973"/>
      <c r="P97" s="3981"/>
      <c r="Q97" s="2900"/>
      <c r="R97" s="855" t="s">
        <v>2222</v>
      </c>
      <c r="S97" s="2519">
        <v>35000000</v>
      </c>
      <c r="T97" s="1118">
        <v>20</v>
      </c>
      <c r="U97" s="1398" t="s">
        <v>61</v>
      </c>
      <c r="V97" s="4004"/>
      <c r="W97" s="4007"/>
      <c r="X97" s="3921"/>
      <c r="Y97" s="3921"/>
      <c r="Z97" s="3921"/>
      <c r="AA97" s="3921"/>
      <c r="AB97" s="3921"/>
      <c r="AC97" s="3921"/>
      <c r="AD97" s="3921"/>
      <c r="AE97" s="3921"/>
      <c r="AF97" s="3921"/>
      <c r="AG97" s="3921"/>
      <c r="AH97" s="3921"/>
      <c r="AI97" s="3921"/>
      <c r="AJ97" s="3921"/>
      <c r="AK97" s="3567"/>
      <c r="AL97" s="3594"/>
      <c r="AM97" s="3594"/>
      <c r="AN97" s="3397"/>
    </row>
    <row r="98" spans="1:40" ht="15" x14ac:dyDescent="0.2">
      <c r="A98" s="830"/>
      <c r="B98" s="831"/>
      <c r="C98" s="379"/>
      <c r="D98" s="380"/>
      <c r="E98" s="860">
        <v>63</v>
      </c>
      <c r="F98" s="861" t="s">
        <v>2223</v>
      </c>
      <c r="G98" s="862"/>
      <c r="H98" s="1085"/>
      <c r="I98" s="1085"/>
      <c r="J98" s="862"/>
      <c r="K98" s="862"/>
      <c r="L98" s="862"/>
      <c r="M98" s="863"/>
      <c r="N98" s="1906"/>
      <c r="O98" s="2527"/>
      <c r="P98" s="1085"/>
      <c r="Q98" s="1085"/>
      <c r="R98" s="1085"/>
      <c r="S98" s="2522"/>
      <c r="T98" s="1643"/>
      <c r="U98" s="863"/>
      <c r="V98" s="862"/>
      <c r="W98" s="862"/>
      <c r="X98" s="862"/>
      <c r="Y98" s="862"/>
      <c r="Z98" s="862"/>
      <c r="AA98" s="862"/>
      <c r="AB98" s="862"/>
      <c r="AC98" s="862"/>
      <c r="AD98" s="862"/>
      <c r="AE98" s="862"/>
      <c r="AF98" s="862"/>
      <c r="AG98" s="862"/>
      <c r="AH98" s="862"/>
      <c r="AI98" s="862"/>
      <c r="AJ98" s="862"/>
      <c r="AK98" s="862"/>
      <c r="AL98" s="862"/>
      <c r="AM98" s="862"/>
      <c r="AN98" s="865"/>
    </row>
    <row r="99" spans="1:40" ht="72" customHeight="1" x14ac:dyDescent="0.2">
      <c r="A99" s="830"/>
      <c r="B99" s="831"/>
      <c r="C99" s="379"/>
      <c r="D99" s="380"/>
      <c r="E99" s="370"/>
      <c r="F99" s="380"/>
      <c r="G99" s="4014">
        <v>193</v>
      </c>
      <c r="H99" s="3915" t="s">
        <v>2224</v>
      </c>
      <c r="I99" s="3915" t="s">
        <v>2225</v>
      </c>
      <c r="J99" s="4016">
        <v>1</v>
      </c>
      <c r="K99" s="3916" t="s">
        <v>2226</v>
      </c>
      <c r="L99" s="3919" t="s">
        <v>2227</v>
      </c>
      <c r="M99" s="3561" t="s">
        <v>2228</v>
      </c>
      <c r="N99" s="3941">
        <f>SUM(S99:S101)/O99</f>
        <v>1</v>
      </c>
      <c r="O99" s="3577">
        <f>SUM(S99:S101)</f>
        <v>29800000</v>
      </c>
      <c r="P99" s="3981" t="s">
        <v>2229</v>
      </c>
      <c r="Q99" s="2899" t="s">
        <v>2230</v>
      </c>
      <c r="R99" s="1646" t="s">
        <v>2231</v>
      </c>
      <c r="S99" s="2519">
        <v>7450000</v>
      </c>
      <c r="T99" s="1833">
        <v>20</v>
      </c>
      <c r="U99" s="1398" t="s">
        <v>61</v>
      </c>
      <c r="V99" s="3675">
        <v>32</v>
      </c>
      <c r="W99" s="3676"/>
      <c r="X99" s="4019"/>
      <c r="Y99" s="4019"/>
      <c r="Z99" s="4019"/>
      <c r="AA99" s="4019"/>
      <c r="AB99" s="4005">
        <v>32</v>
      </c>
      <c r="AC99" s="4019"/>
      <c r="AD99" s="3936"/>
      <c r="AE99" s="3936"/>
      <c r="AF99" s="3936"/>
      <c r="AG99" s="3936"/>
      <c r="AH99" s="3920"/>
      <c r="AI99" s="3920"/>
      <c r="AJ99" s="3920"/>
      <c r="AK99" s="3926">
        <f>SUM(X99:AH101)</f>
        <v>32</v>
      </c>
      <c r="AL99" s="3338">
        <v>43467</v>
      </c>
      <c r="AM99" s="3338" t="s">
        <v>2232</v>
      </c>
      <c r="AN99" s="3397" t="s">
        <v>2077</v>
      </c>
    </row>
    <row r="100" spans="1:40" ht="72" customHeight="1" x14ac:dyDescent="0.2">
      <c r="A100" s="830"/>
      <c r="B100" s="831"/>
      <c r="C100" s="379"/>
      <c r="D100" s="380"/>
      <c r="E100" s="379"/>
      <c r="F100" s="380"/>
      <c r="G100" s="4014"/>
      <c r="H100" s="3915"/>
      <c r="I100" s="3915"/>
      <c r="J100" s="4016"/>
      <c r="K100" s="3917"/>
      <c r="L100" s="3919"/>
      <c r="M100" s="3561"/>
      <c r="N100" s="3941"/>
      <c r="O100" s="3577"/>
      <c r="P100" s="3981"/>
      <c r="Q100" s="2900"/>
      <c r="R100" s="1646" t="s">
        <v>2233</v>
      </c>
      <c r="S100" s="2519">
        <v>7450000</v>
      </c>
      <c r="T100" s="1833">
        <v>20</v>
      </c>
      <c r="U100" s="1398" t="s">
        <v>61</v>
      </c>
      <c r="V100" s="4017"/>
      <c r="W100" s="4018"/>
      <c r="X100" s="4020"/>
      <c r="Y100" s="4020"/>
      <c r="Z100" s="4020"/>
      <c r="AA100" s="4020"/>
      <c r="AB100" s="4006"/>
      <c r="AC100" s="4020"/>
      <c r="AD100" s="3937"/>
      <c r="AE100" s="3937"/>
      <c r="AF100" s="3937"/>
      <c r="AG100" s="3937"/>
      <c r="AH100" s="3921"/>
      <c r="AI100" s="3921"/>
      <c r="AJ100" s="3921"/>
      <c r="AK100" s="3927"/>
      <c r="AL100" s="3931"/>
      <c r="AM100" s="3931"/>
      <c r="AN100" s="3397"/>
    </row>
    <row r="101" spans="1:40" ht="63.75" customHeight="1" x14ac:dyDescent="0.2">
      <c r="A101" s="830"/>
      <c r="B101" s="831"/>
      <c r="C101" s="379"/>
      <c r="D101" s="380"/>
      <c r="E101" s="379"/>
      <c r="F101" s="380"/>
      <c r="G101" s="4015"/>
      <c r="H101" s="3944"/>
      <c r="I101" s="3944"/>
      <c r="J101" s="4000"/>
      <c r="K101" s="3946"/>
      <c r="L101" s="3947"/>
      <c r="M101" s="3562"/>
      <c r="N101" s="3941"/>
      <c r="O101" s="3973"/>
      <c r="P101" s="3981"/>
      <c r="Q101" s="1808" t="s">
        <v>2234</v>
      </c>
      <c r="R101" s="1646" t="s">
        <v>2235</v>
      </c>
      <c r="S101" s="2519">
        <v>14900000</v>
      </c>
      <c r="T101" s="1833">
        <v>20</v>
      </c>
      <c r="U101" s="1398" t="s">
        <v>61</v>
      </c>
      <c r="V101" s="3677"/>
      <c r="W101" s="3678"/>
      <c r="X101" s="4021"/>
      <c r="Y101" s="4021"/>
      <c r="Z101" s="4021"/>
      <c r="AA101" s="4021"/>
      <c r="AB101" s="4007"/>
      <c r="AC101" s="4021"/>
      <c r="AD101" s="3938"/>
      <c r="AE101" s="3938"/>
      <c r="AF101" s="3938"/>
      <c r="AG101" s="3938"/>
      <c r="AH101" s="3921"/>
      <c r="AI101" s="3921"/>
      <c r="AJ101" s="3921"/>
      <c r="AK101" s="3567"/>
      <c r="AL101" s="3339"/>
      <c r="AM101" s="3339"/>
      <c r="AN101" s="3397"/>
    </row>
    <row r="102" spans="1:40" ht="60" customHeight="1" x14ac:dyDescent="0.2">
      <c r="A102" s="830"/>
      <c r="B102" s="831"/>
      <c r="C102" s="379"/>
      <c r="D102" s="380"/>
      <c r="E102" s="379"/>
      <c r="F102" s="380"/>
      <c r="G102" s="4022">
        <v>194</v>
      </c>
      <c r="H102" s="3914" t="s">
        <v>2236</v>
      </c>
      <c r="I102" s="4023" t="s">
        <v>2237</v>
      </c>
      <c r="J102" s="4000">
        <v>1</v>
      </c>
      <c r="K102" s="3916" t="s">
        <v>2238</v>
      </c>
      <c r="L102" s="3918" t="s">
        <v>2239</v>
      </c>
      <c r="M102" s="3922" t="s">
        <v>2240</v>
      </c>
      <c r="N102" s="3941">
        <f>SUM(S102:S103)/O102</f>
        <v>1</v>
      </c>
      <c r="O102" s="3973">
        <f>SUM(S102:S103)</f>
        <v>69560000</v>
      </c>
      <c r="P102" s="3922" t="s">
        <v>2241</v>
      </c>
      <c r="Q102" s="1808" t="s">
        <v>2242</v>
      </c>
      <c r="R102" s="1646" t="s">
        <v>2243</v>
      </c>
      <c r="S102" s="2523">
        <v>64560000</v>
      </c>
      <c r="T102" s="1833">
        <v>20</v>
      </c>
      <c r="U102" s="1398" t="s">
        <v>61</v>
      </c>
      <c r="V102" s="3675">
        <v>909</v>
      </c>
      <c r="W102" s="3676"/>
      <c r="X102" s="3920"/>
      <c r="Y102" s="3920"/>
      <c r="Z102" s="3920"/>
      <c r="AA102" s="3920"/>
      <c r="AB102" s="3566">
        <v>909</v>
      </c>
      <c r="AC102" s="3920"/>
      <c r="AD102" s="3920"/>
      <c r="AE102" s="3920"/>
      <c r="AF102" s="3920"/>
      <c r="AG102" s="3920"/>
      <c r="AH102" s="3920"/>
      <c r="AI102" s="3920"/>
      <c r="AJ102" s="3920"/>
      <c r="AK102" s="3566">
        <f>SUM(AB102:AJ103)</f>
        <v>909</v>
      </c>
      <c r="AL102" s="3338">
        <v>43467</v>
      </c>
      <c r="AM102" s="3338">
        <v>43830</v>
      </c>
      <c r="AN102" s="3413" t="s">
        <v>2077</v>
      </c>
    </row>
    <row r="103" spans="1:40" ht="52.5" customHeight="1" x14ac:dyDescent="0.2">
      <c r="A103" s="830"/>
      <c r="B103" s="831"/>
      <c r="C103" s="379"/>
      <c r="D103" s="380"/>
      <c r="E103" s="379"/>
      <c r="F103" s="380"/>
      <c r="G103" s="4014"/>
      <c r="H103" s="3915"/>
      <c r="I103" s="4023"/>
      <c r="J103" s="4000"/>
      <c r="K103" s="3946"/>
      <c r="L103" s="3919"/>
      <c r="M103" s="3909"/>
      <c r="N103" s="3941"/>
      <c r="O103" s="3973"/>
      <c r="P103" s="3943"/>
      <c r="Q103" s="1807" t="s">
        <v>2244</v>
      </c>
      <c r="R103" s="1646" t="s">
        <v>2245</v>
      </c>
      <c r="S103" s="2519">
        <v>5000000</v>
      </c>
      <c r="T103" s="1833">
        <v>20</v>
      </c>
      <c r="U103" s="1398" t="s">
        <v>61</v>
      </c>
      <c r="V103" s="3677"/>
      <c r="W103" s="3678"/>
      <c r="X103" s="3921"/>
      <c r="Y103" s="3921"/>
      <c r="Z103" s="3921"/>
      <c r="AA103" s="3921"/>
      <c r="AB103" s="3567"/>
      <c r="AC103" s="3921"/>
      <c r="AD103" s="3921"/>
      <c r="AE103" s="3921"/>
      <c r="AF103" s="3921"/>
      <c r="AG103" s="3921"/>
      <c r="AH103" s="3921"/>
      <c r="AI103" s="3921"/>
      <c r="AJ103" s="3921"/>
      <c r="AK103" s="3567"/>
      <c r="AL103" s="3931"/>
      <c r="AM103" s="3931"/>
      <c r="AN103" s="3413"/>
    </row>
    <row r="104" spans="1:40" ht="15" x14ac:dyDescent="0.2">
      <c r="A104" s="830"/>
      <c r="B104" s="831"/>
      <c r="C104" s="379"/>
      <c r="D104" s="380"/>
      <c r="E104" s="729">
        <v>64</v>
      </c>
      <c r="F104" s="866" t="s">
        <v>2246</v>
      </c>
      <c r="G104" s="867"/>
      <c r="H104" s="1085"/>
      <c r="I104" s="1085"/>
      <c r="J104" s="867"/>
      <c r="K104" s="867"/>
      <c r="L104" s="867"/>
      <c r="M104" s="863"/>
      <c r="N104" s="1907"/>
      <c r="O104" s="2530"/>
      <c r="P104" s="1085"/>
      <c r="Q104" s="1085"/>
      <c r="R104" s="1085"/>
      <c r="S104" s="2524"/>
      <c r="T104" s="1643"/>
      <c r="U104" s="863"/>
      <c r="V104" s="867"/>
      <c r="W104" s="867"/>
      <c r="X104" s="867"/>
      <c r="Y104" s="867"/>
      <c r="Z104" s="867"/>
      <c r="AA104" s="867"/>
      <c r="AB104" s="867"/>
      <c r="AC104" s="867"/>
      <c r="AD104" s="867"/>
      <c r="AE104" s="867"/>
      <c r="AF104" s="867"/>
      <c r="AG104" s="867"/>
      <c r="AH104" s="867"/>
      <c r="AI104" s="867"/>
      <c r="AJ104" s="867"/>
      <c r="AK104" s="867"/>
      <c r="AL104" s="867"/>
      <c r="AM104" s="867"/>
      <c r="AN104" s="865"/>
    </row>
    <row r="105" spans="1:40" ht="39" customHeight="1" x14ac:dyDescent="0.2">
      <c r="A105" s="830"/>
      <c r="B105" s="831"/>
      <c r="C105" s="379"/>
      <c r="D105" s="380"/>
      <c r="E105" s="838"/>
      <c r="F105" s="831"/>
      <c r="G105" s="4022">
        <v>195</v>
      </c>
      <c r="H105" s="3914" t="s">
        <v>2247</v>
      </c>
      <c r="I105" s="4024" t="s">
        <v>2248</v>
      </c>
      <c r="J105" s="3429">
        <v>1</v>
      </c>
      <c r="K105" s="3916" t="s">
        <v>2249</v>
      </c>
      <c r="L105" s="3918" t="s">
        <v>2250</v>
      </c>
      <c r="M105" s="3560" t="s">
        <v>2251</v>
      </c>
      <c r="N105" s="3923">
        <f>SUM(S105:S107)/O105</f>
        <v>1</v>
      </c>
      <c r="O105" s="3973">
        <f>SUM(S105:S107)</f>
        <v>100000000</v>
      </c>
      <c r="P105" s="3922" t="s">
        <v>2252</v>
      </c>
      <c r="Q105" s="3413" t="s">
        <v>2253</v>
      </c>
      <c r="R105" s="1809" t="s">
        <v>2254</v>
      </c>
      <c r="S105" s="2519">
        <v>40000000</v>
      </c>
      <c r="T105" s="1833">
        <v>20</v>
      </c>
      <c r="U105" s="1398" t="s">
        <v>61</v>
      </c>
      <c r="V105" s="3675">
        <v>7250</v>
      </c>
      <c r="W105" s="3676"/>
      <c r="X105" s="3920"/>
      <c r="Y105" s="3920"/>
      <c r="Z105" s="3920"/>
      <c r="AA105" s="3920"/>
      <c r="AB105" s="3920"/>
      <c r="AC105" s="3566">
        <v>7250</v>
      </c>
      <c r="AD105" s="3920"/>
      <c r="AE105" s="3920"/>
      <c r="AF105" s="3920"/>
      <c r="AG105" s="3920"/>
      <c r="AH105" s="3920"/>
      <c r="AI105" s="3920"/>
      <c r="AJ105" s="3920"/>
      <c r="AK105" s="3566">
        <f>SUM(AC105:AJ107)</f>
        <v>7250</v>
      </c>
      <c r="AL105" s="3928">
        <v>43467</v>
      </c>
      <c r="AM105" s="3338">
        <v>43830</v>
      </c>
      <c r="AN105" s="3413" t="s">
        <v>2077</v>
      </c>
    </row>
    <row r="106" spans="1:40" ht="63.75" customHeight="1" x14ac:dyDescent="0.2">
      <c r="A106" s="830"/>
      <c r="B106" s="831"/>
      <c r="C106" s="379"/>
      <c r="D106" s="380"/>
      <c r="E106" s="838"/>
      <c r="F106" s="831"/>
      <c r="G106" s="4014"/>
      <c r="H106" s="3915"/>
      <c r="I106" s="4025"/>
      <c r="J106" s="3429"/>
      <c r="K106" s="3917"/>
      <c r="L106" s="3919"/>
      <c r="M106" s="3561"/>
      <c r="N106" s="3923"/>
      <c r="O106" s="3973"/>
      <c r="P106" s="3909"/>
      <c r="Q106" s="3413"/>
      <c r="R106" s="1809" t="s">
        <v>2255</v>
      </c>
      <c r="S106" s="2519">
        <v>55000000</v>
      </c>
      <c r="T106" s="1833">
        <v>20</v>
      </c>
      <c r="U106" s="1398" t="s">
        <v>61</v>
      </c>
      <c r="V106" s="4017"/>
      <c r="W106" s="4018"/>
      <c r="X106" s="3921"/>
      <c r="Y106" s="3921"/>
      <c r="Z106" s="3921"/>
      <c r="AA106" s="3921"/>
      <c r="AB106" s="3921"/>
      <c r="AC106" s="3567"/>
      <c r="AD106" s="3921"/>
      <c r="AE106" s="3921"/>
      <c r="AF106" s="3921"/>
      <c r="AG106" s="3921"/>
      <c r="AH106" s="3921"/>
      <c r="AI106" s="3921"/>
      <c r="AJ106" s="3921"/>
      <c r="AK106" s="3567"/>
      <c r="AL106" s="3929"/>
      <c r="AM106" s="3931"/>
      <c r="AN106" s="3413"/>
    </row>
    <row r="107" spans="1:40" ht="74.25" customHeight="1" x14ac:dyDescent="0.2">
      <c r="A107" s="830"/>
      <c r="B107" s="831"/>
      <c r="C107" s="379"/>
      <c r="D107" s="380"/>
      <c r="E107" s="844"/>
      <c r="F107" s="845"/>
      <c r="G107" s="4015"/>
      <c r="H107" s="3944"/>
      <c r="I107" s="4026"/>
      <c r="J107" s="3429"/>
      <c r="K107" s="3946"/>
      <c r="L107" s="3947"/>
      <c r="M107" s="3562"/>
      <c r="N107" s="3923"/>
      <c r="O107" s="3973"/>
      <c r="P107" s="3943"/>
      <c r="Q107" s="1807" t="s">
        <v>2256</v>
      </c>
      <c r="R107" s="1809" t="s">
        <v>2257</v>
      </c>
      <c r="S107" s="2519">
        <v>5000000</v>
      </c>
      <c r="T107" s="1833">
        <v>20</v>
      </c>
      <c r="U107" s="1398" t="s">
        <v>61</v>
      </c>
      <c r="V107" s="3677"/>
      <c r="W107" s="3678"/>
      <c r="X107" s="3921"/>
      <c r="Y107" s="3921"/>
      <c r="Z107" s="3921"/>
      <c r="AA107" s="3921"/>
      <c r="AB107" s="3921"/>
      <c r="AC107" s="3567"/>
      <c r="AD107" s="3921"/>
      <c r="AE107" s="3921"/>
      <c r="AF107" s="3921"/>
      <c r="AG107" s="3921"/>
      <c r="AH107" s="3921"/>
      <c r="AI107" s="3921"/>
      <c r="AJ107" s="3921"/>
      <c r="AK107" s="3567"/>
      <c r="AL107" s="3930"/>
      <c r="AM107" s="3339"/>
      <c r="AN107" s="3413"/>
    </row>
    <row r="108" spans="1:40" ht="15" x14ac:dyDescent="0.2">
      <c r="A108" s="830"/>
      <c r="B108" s="831"/>
      <c r="C108" s="379"/>
      <c r="D108" s="380"/>
      <c r="E108" s="856">
        <v>65</v>
      </c>
      <c r="F108" s="861" t="s">
        <v>2258</v>
      </c>
      <c r="G108" s="862"/>
      <c r="H108" s="1085"/>
      <c r="I108" s="1085"/>
      <c r="J108" s="862"/>
      <c r="K108" s="862"/>
      <c r="L108" s="862"/>
      <c r="M108" s="863"/>
      <c r="N108" s="1906"/>
      <c r="O108" s="2527"/>
      <c r="P108" s="1085"/>
      <c r="Q108" s="1085"/>
      <c r="R108" s="1085"/>
      <c r="S108" s="2522"/>
      <c r="T108" s="1643"/>
      <c r="U108" s="863"/>
      <c r="V108" s="862"/>
      <c r="W108" s="862"/>
      <c r="X108" s="862"/>
      <c r="Y108" s="862"/>
      <c r="Z108" s="862"/>
      <c r="AA108" s="862"/>
      <c r="AB108" s="862"/>
      <c r="AC108" s="862"/>
      <c r="AD108" s="862"/>
      <c r="AE108" s="862"/>
      <c r="AF108" s="862"/>
      <c r="AG108" s="862"/>
      <c r="AH108" s="862"/>
      <c r="AI108" s="862"/>
      <c r="AJ108" s="862"/>
      <c r="AK108" s="862"/>
      <c r="AL108" s="862"/>
      <c r="AM108" s="862"/>
      <c r="AN108" s="865"/>
    </row>
    <row r="109" spans="1:40" ht="43.5" customHeight="1" x14ac:dyDescent="0.2">
      <c r="A109" s="830"/>
      <c r="B109" s="831"/>
      <c r="C109" s="379"/>
      <c r="D109" s="380"/>
      <c r="E109" s="370"/>
      <c r="F109" s="372"/>
      <c r="G109" s="4022">
        <v>196</v>
      </c>
      <c r="H109" s="3914" t="s">
        <v>2259</v>
      </c>
      <c r="I109" s="3914" t="s">
        <v>2260</v>
      </c>
      <c r="J109" s="4027">
        <v>1</v>
      </c>
      <c r="K109" s="3916" t="s">
        <v>2261</v>
      </c>
      <c r="L109" s="3918" t="s">
        <v>2262</v>
      </c>
      <c r="M109" s="3922" t="s">
        <v>2263</v>
      </c>
      <c r="N109" s="3923">
        <f>SUM(S109:S112)/O109</f>
        <v>1</v>
      </c>
      <c r="O109" s="3973">
        <f>SUM(S109:S112)</f>
        <v>30000000</v>
      </c>
      <c r="P109" s="3922" t="s">
        <v>2264</v>
      </c>
      <c r="Q109" s="3413" t="s">
        <v>2265</v>
      </c>
      <c r="R109" s="853" t="s">
        <v>2266</v>
      </c>
      <c r="S109" s="2525">
        <v>12000000</v>
      </c>
      <c r="T109" s="1833">
        <v>20</v>
      </c>
      <c r="U109" s="1398" t="s">
        <v>61</v>
      </c>
      <c r="V109" s="4028">
        <v>900</v>
      </c>
      <c r="W109" s="4028">
        <v>1480</v>
      </c>
      <c r="X109" s="4028">
        <v>0</v>
      </c>
      <c r="Y109" s="4028">
        <v>755</v>
      </c>
      <c r="Z109" s="4028">
        <v>1500</v>
      </c>
      <c r="AA109" s="4028">
        <v>95</v>
      </c>
      <c r="AB109" s="4031">
        <v>10</v>
      </c>
      <c r="AC109" s="4031">
        <v>20</v>
      </c>
      <c r="AD109" s="3932"/>
      <c r="AE109" s="3932"/>
      <c r="AF109" s="3932"/>
      <c r="AG109" s="3932"/>
      <c r="AH109" s="3328"/>
      <c r="AI109" s="3328"/>
      <c r="AJ109" s="3926"/>
      <c r="AK109" s="3926">
        <f>SUM(Y109:AH112)</f>
        <v>2380</v>
      </c>
      <c r="AL109" s="3338">
        <v>43467</v>
      </c>
      <c r="AM109" s="3338">
        <v>43830</v>
      </c>
      <c r="AN109" s="3397" t="s">
        <v>2077</v>
      </c>
    </row>
    <row r="110" spans="1:40" ht="43.5" customHeight="1" x14ac:dyDescent="0.2">
      <c r="A110" s="830"/>
      <c r="B110" s="831"/>
      <c r="C110" s="379"/>
      <c r="D110" s="380"/>
      <c r="E110" s="379"/>
      <c r="F110" s="380"/>
      <c r="G110" s="4014"/>
      <c r="H110" s="3915"/>
      <c r="I110" s="3915"/>
      <c r="J110" s="4027"/>
      <c r="K110" s="3917"/>
      <c r="L110" s="3919"/>
      <c r="M110" s="3909"/>
      <c r="N110" s="3923"/>
      <c r="O110" s="3973"/>
      <c r="P110" s="3909"/>
      <c r="Q110" s="3413"/>
      <c r="R110" s="853" t="s">
        <v>2267</v>
      </c>
      <c r="S110" s="2525">
        <v>10000000</v>
      </c>
      <c r="T110" s="1833">
        <v>20</v>
      </c>
      <c r="U110" s="1398" t="s">
        <v>61</v>
      </c>
      <c r="V110" s="4029"/>
      <c r="W110" s="4029"/>
      <c r="X110" s="4029"/>
      <c r="Y110" s="4029"/>
      <c r="Z110" s="4029"/>
      <c r="AA110" s="4029"/>
      <c r="AB110" s="4032"/>
      <c r="AC110" s="4032"/>
      <c r="AD110" s="3933"/>
      <c r="AE110" s="3933"/>
      <c r="AF110" s="3933"/>
      <c r="AG110" s="3933"/>
      <c r="AH110" s="3329"/>
      <c r="AI110" s="3329"/>
      <c r="AJ110" s="3927"/>
      <c r="AK110" s="3927"/>
      <c r="AL110" s="3931"/>
      <c r="AM110" s="3931"/>
      <c r="AN110" s="3397"/>
    </row>
    <row r="111" spans="1:40" ht="36.75" customHeight="1" x14ac:dyDescent="0.2">
      <c r="A111" s="830"/>
      <c r="B111" s="831"/>
      <c r="C111" s="379"/>
      <c r="D111" s="380"/>
      <c r="E111" s="379"/>
      <c r="F111" s="380"/>
      <c r="G111" s="4014"/>
      <c r="H111" s="3915"/>
      <c r="I111" s="3915"/>
      <c r="J111" s="4027"/>
      <c r="K111" s="3917"/>
      <c r="L111" s="3919"/>
      <c r="M111" s="3909"/>
      <c r="N111" s="3923"/>
      <c r="O111" s="3973"/>
      <c r="P111" s="3909"/>
      <c r="Q111" s="3397" t="s">
        <v>2268</v>
      </c>
      <c r="R111" s="853" t="s">
        <v>2269</v>
      </c>
      <c r="S111" s="2526">
        <v>3000000</v>
      </c>
      <c r="T111" s="1833">
        <v>20</v>
      </c>
      <c r="U111" s="1398" t="s">
        <v>61</v>
      </c>
      <c r="V111" s="4029"/>
      <c r="W111" s="4029"/>
      <c r="X111" s="4029"/>
      <c r="Y111" s="4029"/>
      <c r="Z111" s="4029"/>
      <c r="AA111" s="4029"/>
      <c r="AB111" s="4032"/>
      <c r="AC111" s="4032"/>
      <c r="AD111" s="3933"/>
      <c r="AE111" s="3933"/>
      <c r="AF111" s="3933"/>
      <c r="AG111" s="3933"/>
      <c r="AH111" s="3329"/>
      <c r="AI111" s="3329"/>
      <c r="AJ111" s="3927"/>
      <c r="AK111" s="3927"/>
      <c r="AL111" s="3931"/>
      <c r="AM111" s="3931"/>
      <c r="AN111" s="3397"/>
    </row>
    <row r="112" spans="1:40" ht="50.25" customHeight="1" x14ac:dyDescent="0.2">
      <c r="A112" s="830"/>
      <c r="B112" s="831"/>
      <c r="C112" s="379"/>
      <c r="D112" s="380"/>
      <c r="E112" s="379"/>
      <c r="F112" s="380"/>
      <c r="G112" s="4014"/>
      <c r="H112" s="3915"/>
      <c r="I112" s="3915"/>
      <c r="J112" s="4027"/>
      <c r="K112" s="3946"/>
      <c r="L112" s="3919"/>
      <c r="M112" s="3909"/>
      <c r="N112" s="3923"/>
      <c r="O112" s="3973"/>
      <c r="P112" s="3909"/>
      <c r="Q112" s="2900"/>
      <c r="R112" s="853" t="s">
        <v>2270</v>
      </c>
      <c r="S112" s="2526">
        <v>5000000</v>
      </c>
      <c r="T112" s="1833">
        <v>20</v>
      </c>
      <c r="U112" s="1398" t="s">
        <v>61</v>
      </c>
      <c r="V112" s="4030"/>
      <c r="W112" s="4030"/>
      <c r="X112" s="4030"/>
      <c r="Y112" s="4030"/>
      <c r="Z112" s="4030"/>
      <c r="AA112" s="4030"/>
      <c r="AB112" s="4033"/>
      <c r="AC112" s="4033"/>
      <c r="AD112" s="3934"/>
      <c r="AE112" s="3934"/>
      <c r="AF112" s="3934"/>
      <c r="AG112" s="3934"/>
      <c r="AH112" s="3337"/>
      <c r="AI112" s="3337"/>
      <c r="AJ112" s="3935"/>
      <c r="AK112" s="3567"/>
      <c r="AL112" s="3339"/>
      <c r="AM112" s="3339"/>
      <c r="AN112" s="3397"/>
    </row>
    <row r="113" spans="1:40" ht="15" x14ac:dyDescent="0.2">
      <c r="A113" s="830"/>
      <c r="B113" s="831"/>
      <c r="C113" s="379"/>
      <c r="D113" s="380"/>
      <c r="E113" s="665">
        <v>66</v>
      </c>
      <c r="F113" s="861" t="s">
        <v>2271</v>
      </c>
      <c r="G113" s="862"/>
      <c r="H113" s="1085"/>
      <c r="I113" s="1085"/>
      <c r="J113" s="862"/>
      <c r="K113" s="862"/>
      <c r="L113" s="862"/>
      <c r="M113" s="863"/>
      <c r="N113" s="1906"/>
      <c r="O113" s="2527"/>
      <c r="P113" s="1085"/>
      <c r="Q113" s="1085"/>
      <c r="R113" s="1085"/>
      <c r="S113" s="2527"/>
      <c r="T113" s="864"/>
      <c r="U113" s="863"/>
      <c r="V113" s="862"/>
      <c r="W113" s="862"/>
      <c r="X113" s="862"/>
      <c r="Y113" s="862"/>
      <c r="Z113" s="862"/>
      <c r="AA113" s="862"/>
      <c r="AB113" s="862"/>
      <c r="AC113" s="862"/>
      <c r="AD113" s="862"/>
      <c r="AE113" s="862"/>
      <c r="AF113" s="862"/>
      <c r="AG113" s="862"/>
      <c r="AH113" s="862"/>
      <c r="AI113" s="862"/>
      <c r="AJ113" s="862"/>
      <c r="AK113" s="862"/>
      <c r="AL113" s="862"/>
      <c r="AM113" s="862"/>
      <c r="AN113" s="865"/>
    </row>
    <row r="114" spans="1:40" ht="55.5" customHeight="1" x14ac:dyDescent="0.2">
      <c r="A114" s="830"/>
      <c r="B114" s="831"/>
      <c r="C114" s="379"/>
      <c r="D114" s="380"/>
      <c r="E114" s="379"/>
      <c r="F114" s="380"/>
      <c r="G114" s="4022">
        <v>197</v>
      </c>
      <c r="H114" s="2791" t="s">
        <v>2272</v>
      </c>
      <c r="I114" s="3914" t="s">
        <v>2273</v>
      </c>
      <c r="J114" s="3429">
        <v>1</v>
      </c>
      <c r="K114" s="868"/>
      <c r="L114" s="3919" t="s">
        <v>2274</v>
      </c>
      <c r="M114" s="3922" t="s">
        <v>2275</v>
      </c>
      <c r="N114" s="3923">
        <f>SUM(S114:S120)/O114</f>
        <v>1</v>
      </c>
      <c r="O114" s="3973">
        <f>SUM(S114:S120)</f>
        <v>290000000</v>
      </c>
      <c r="P114" s="3922" t="s">
        <v>2276</v>
      </c>
      <c r="Q114" s="3413" t="s">
        <v>2277</v>
      </c>
      <c r="R114" s="1440" t="s">
        <v>2278</v>
      </c>
      <c r="S114" s="2528">
        <f>5000000-5000000</f>
        <v>0</v>
      </c>
      <c r="T114" s="1589">
        <v>20</v>
      </c>
      <c r="U114" s="1590" t="s">
        <v>61</v>
      </c>
      <c r="V114" s="4034">
        <v>10000</v>
      </c>
      <c r="W114" s="4037"/>
      <c r="X114" s="3328">
        <v>1375</v>
      </c>
      <c r="Y114" s="3328">
        <v>3900</v>
      </c>
      <c r="Z114" s="3328">
        <v>3200</v>
      </c>
      <c r="AA114" s="3328">
        <v>1220</v>
      </c>
      <c r="AB114" s="3566">
        <v>103</v>
      </c>
      <c r="AC114" s="3328">
        <v>202</v>
      </c>
      <c r="AD114" s="3328"/>
      <c r="AE114" s="3569"/>
      <c r="AF114" s="3328"/>
      <c r="AG114" s="3328"/>
      <c r="AH114" s="3328"/>
      <c r="AI114" s="3328"/>
      <c r="AJ114" s="3328"/>
      <c r="AK114" s="3328">
        <f>SUM(X114:AE120)</f>
        <v>10000</v>
      </c>
      <c r="AL114" s="3908">
        <v>43467</v>
      </c>
      <c r="AM114" s="3908">
        <v>43830</v>
      </c>
      <c r="AN114" s="3413" t="s">
        <v>2077</v>
      </c>
    </row>
    <row r="115" spans="1:40" ht="54" customHeight="1" x14ac:dyDescent="0.2">
      <c r="A115" s="830"/>
      <c r="B115" s="831"/>
      <c r="C115" s="379"/>
      <c r="D115" s="380"/>
      <c r="E115" s="379"/>
      <c r="F115" s="380"/>
      <c r="G115" s="4014"/>
      <c r="H115" s="2786"/>
      <c r="I115" s="3915"/>
      <c r="J115" s="3429"/>
      <c r="K115" s="869"/>
      <c r="L115" s="3919"/>
      <c r="M115" s="3909"/>
      <c r="N115" s="3923"/>
      <c r="O115" s="3973"/>
      <c r="P115" s="3909"/>
      <c r="Q115" s="3413"/>
      <c r="R115" s="1440" t="s">
        <v>2279</v>
      </c>
      <c r="S115" s="2528">
        <f>5000000-5000000</f>
        <v>0</v>
      </c>
      <c r="T115" s="1589">
        <v>20</v>
      </c>
      <c r="U115" s="1590" t="s">
        <v>61</v>
      </c>
      <c r="V115" s="4035"/>
      <c r="W115" s="4038"/>
      <c r="X115" s="3329"/>
      <c r="Y115" s="3329"/>
      <c r="Z115" s="3329"/>
      <c r="AA115" s="3329"/>
      <c r="AB115" s="3567"/>
      <c r="AC115" s="3329"/>
      <c r="AD115" s="3329"/>
      <c r="AE115" s="3570"/>
      <c r="AF115" s="3329"/>
      <c r="AG115" s="3329"/>
      <c r="AH115" s="3329"/>
      <c r="AI115" s="3329"/>
      <c r="AJ115" s="3329"/>
      <c r="AK115" s="3329"/>
      <c r="AL115" s="3908"/>
      <c r="AM115" s="3908"/>
      <c r="AN115" s="3413"/>
    </row>
    <row r="116" spans="1:40" ht="52.5" customHeight="1" x14ac:dyDescent="0.2">
      <c r="A116" s="830"/>
      <c r="B116" s="831"/>
      <c r="C116" s="379"/>
      <c r="D116" s="380"/>
      <c r="E116" s="379"/>
      <c r="F116" s="380"/>
      <c r="G116" s="4014"/>
      <c r="H116" s="2786"/>
      <c r="I116" s="3915"/>
      <c r="J116" s="3429"/>
      <c r="K116" s="869"/>
      <c r="L116" s="3919"/>
      <c r="M116" s="3909"/>
      <c r="N116" s="3923"/>
      <c r="O116" s="3973"/>
      <c r="P116" s="3909"/>
      <c r="Q116" s="3413"/>
      <c r="R116" s="1854" t="s">
        <v>2280</v>
      </c>
      <c r="S116" s="2528">
        <v>0</v>
      </c>
      <c r="T116" s="1589">
        <v>20</v>
      </c>
      <c r="U116" s="1590" t="s">
        <v>61</v>
      </c>
      <c r="V116" s="4035"/>
      <c r="W116" s="4038"/>
      <c r="X116" s="3329"/>
      <c r="Y116" s="3329"/>
      <c r="Z116" s="3329"/>
      <c r="AA116" s="3329"/>
      <c r="AB116" s="3567"/>
      <c r="AC116" s="3329"/>
      <c r="AD116" s="3329"/>
      <c r="AE116" s="3570"/>
      <c r="AF116" s="3329"/>
      <c r="AG116" s="3329"/>
      <c r="AH116" s="3329"/>
      <c r="AI116" s="3329"/>
      <c r="AJ116" s="3329"/>
      <c r="AK116" s="3329"/>
      <c r="AL116" s="3594"/>
      <c r="AM116" s="3594"/>
      <c r="AN116" s="3413"/>
    </row>
    <row r="117" spans="1:40" ht="60" customHeight="1" x14ac:dyDescent="0.2">
      <c r="A117" s="830"/>
      <c r="B117" s="831"/>
      <c r="C117" s="379"/>
      <c r="D117" s="380"/>
      <c r="E117" s="379"/>
      <c r="F117" s="380"/>
      <c r="G117" s="4014"/>
      <c r="H117" s="2786"/>
      <c r="I117" s="3915"/>
      <c r="J117" s="3429"/>
      <c r="K117" s="869" t="s">
        <v>2281</v>
      </c>
      <c r="L117" s="3919"/>
      <c r="M117" s="3909"/>
      <c r="N117" s="3923"/>
      <c r="O117" s="3973"/>
      <c r="P117" s="3909"/>
      <c r="Q117" s="3413" t="s">
        <v>2282</v>
      </c>
      <c r="R117" s="1440" t="s">
        <v>2283</v>
      </c>
      <c r="S117" s="2528">
        <f>30000000+10000000+240000000</f>
        <v>280000000</v>
      </c>
      <c r="T117" s="1589">
        <v>20</v>
      </c>
      <c r="U117" s="1590" t="s">
        <v>61</v>
      </c>
      <c r="V117" s="4035"/>
      <c r="W117" s="4038"/>
      <c r="X117" s="3329"/>
      <c r="Y117" s="3329"/>
      <c r="Z117" s="3329"/>
      <c r="AA117" s="3329"/>
      <c r="AB117" s="3567"/>
      <c r="AC117" s="3329"/>
      <c r="AD117" s="3329"/>
      <c r="AE117" s="3570"/>
      <c r="AF117" s="3329"/>
      <c r="AG117" s="3329"/>
      <c r="AH117" s="3329"/>
      <c r="AI117" s="3329"/>
      <c r="AJ117" s="3329"/>
      <c r="AK117" s="3329"/>
      <c r="AL117" s="3594"/>
      <c r="AM117" s="3594"/>
      <c r="AN117" s="3413"/>
    </row>
    <row r="118" spans="1:40" ht="42.75" x14ac:dyDescent="0.2">
      <c r="A118" s="830"/>
      <c r="B118" s="831"/>
      <c r="C118" s="379"/>
      <c r="D118" s="380"/>
      <c r="E118" s="379"/>
      <c r="F118" s="380"/>
      <c r="G118" s="4014"/>
      <c r="H118" s="2786"/>
      <c r="I118" s="3915"/>
      <c r="J118" s="3429"/>
      <c r="K118" s="869"/>
      <c r="L118" s="3919"/>
      <c r="M118" s="3909"/>
      <c r="N118" s="3923"/>
      <c r="O118" s="3973"/>
      <c r="P118" s="3909"/>
      <c r="Q118" s="3413"/>
      <c r="R118" s="1440" t="s">
        <v>2284</v>
      </c>
      <c r="S118" s="2528">
        <v>5000000</v>
      </c>
      <c r="T118" s="1589">
        <v>20</v>
      </c>
      <c r="U118" s="1590" t="s">
        <v>61</v>
      </c>
      <c r="V118" s="4035"/>
      <c r="W118" s="4038"/>
      <c r="X118" s="3329"/>
      <c r="Y118" s="3329"/>
      <c r="Z118" s="3329"/>
      <c r="AA118" s="3329"/>
      <c r="AB118" s="3567"/>
      <c r="AC118" s="3329"/>
      <c r="AD118" s="3329"/>
      <c r="AE118" s="3570"/>
      <c r="AF118" s="3329"/>
      <c r="AG118" s="3329"/>
      <c r="AH118" s="3329"/>
      <c r="AI118" s="3329"/>
      <c r="AJ118" s="3329"/>
      <c r="AK118" s="3329"/>
      <c r="AL118" s="3594"/>
      <c r="AM118" s="3594"/>
      <c r="AN118" s="3413"/>
    </row>
    <row r="119" spans="1:40" ht="33" customHeight="1" x14ac:dyDescent="0.2">
      <c r="A119" s="830"/>
      <c r="B119" s="831"/>
      <c r="C119" s="379"/>
      <c r="D119" s="380"/>
      <c r="E119" s="379"/>
      <c r="F119" s="380"/>
      <c r="G119" s="4014"/>
      <c r="H119" s="2786"/>
      <c r="I119" s="3915"/>
      <c r="J119" s="3429"/>
      <c r="K119" s="869"/>
      <c r="L119" s="3919"/>
      <c r="M119" s="3909"/>
      <c r="N119" s="3923"/>
      <c r="O119" s="3973"/>
      <c r="P119" s="3909"/>
      <c r="Q119" s="3413"/>
      <c r="R119" s="1440" t="s">
        <v>2269</v>
      </c>
      <c r="S119" s="2528">
        <v>1000000</v>
      </c>
      <c r="T119" s="1589">
        <v>20</v>
      </c>
      <c r="U119" s="1590" t="s">
        <v>61</v>
      </c>
      <c r="V119" s="4035"/>
      <c r="W119" s="4038"/>
      <c r="X119" s="3329"/>
      <c r="Y119" s="3329"/>
      <c r="Z119" s="3329"/>
      <c r="AA119" s="3329"/>
      <c r="AB119" s="3567"/>
      <c r="AC119" s="3329"/>
      <c r="AD119" s="3329"/>
      <c r="AE119" s="3570"/>
      <c r="AF119" s="3329"/>
      <c r="AG119" s="3329"/>
      <c r="AH119" s="3329"/>
      <c r="AI119" s="3329"/>
      <c r="AJ119" s="3329"/>
      <c r="AK119" s="3329"/>
      <c r="AL119" s="3594"/>
      <c r="AM119" s="3594"/>
      <c r="AN119" s="3413"/>
    </row>
    <row r="120" spans="1:40" ht="51.75" customHeight="1" x14ac:dyDescent="0.2">
      <c r="A120" s="830"/>
      <c r="B120" s="831"/>
      <c r="C120" s="387"/>
      <c r="D120" s="388"/>
      <c r="E120" s="387"/>
      <c r="F120" s="388"/>
      <c r="G120" s="4015"/>
      <c r="H120" s="2783"/>
      <c r="I120" s="3944"/>
      <c r="J120" s="3429"/>
      <c r="K120" s="870"/>
      <c r="L120" s="3947"/>
      <c r="M120" s="3943"/>
      <c r="N120" s="3923"/>
      <c r="O120" s="3973"/>
      <c r="P120" s="3943"/>
      <c r="Q120" s="3413"/>
      <c r="R120" s="1440" t="s">
        <v>2270</v>
      </c>
      <c r="S120" s="2528">
        <v>4000000</v>
      </c>
      <c r="T120" s="1589">
        <v>20</v>
      </c>
      <c r="U120" s="1590" t="s">
        <v>61</v>
      </c>
      <c r="V120" s="4036"/>
      <c r="W120" s="4039"/>
      <c r="X120" s="3337"/>
      <c r="Y120" s="3337"/>
      <c r="Z120" s="3337"/>
      <c r="AA120" s="3337"/>
      <c r="AB120" s="3568"/>
      <c r="AC120" s="3337"/>
      <c r="AD120" s="3337"/>
      <c r="AE120" s="3571"/>
      <c r="AF120" s="3337"/>
      <c r="AG120" s="3337"/>
      <c r="AH120" s="3337"/>
      <c r="AI120" s="3337"/>
      <c r="AJ120" s="3337"/>
      <c r="AK120" s="3337"/>
      <c r="AL120" s="3594"/>
      <c r="AM120" s="3594"/>
      <c r="AN120" s="3413"/>
    </row>
    <row r="121" spans="1:40" ht="15" x14ac:dyDescent="0.2">
      <c r="A121" s="830"/>
      <c r="B121" s="831"/>
      <c r="C121" s="871">
        <v>19</v>
      </c>
      <c r="D121" s="833" t="s">
        <v>2285</v>
      </c>
      <c r="E121" s="857"/>
      <c r="F121" s="857"/>
      <c r="G121" s="857"/>
      <c r="H121" s="1083"/>
      <c r="I121" s="1083"/>
      <c r="J121" s="857"/>
      <c r="K121" s="857"/>
      <c r="L121" s="857"/>
      <c r="M121" s="848"/>
      <c r="N121" s="1905"/>
      <c r="O121" s="2529"/>
      <c r="P121" s="1083"/>
      <c r="Q121" s="1083"/>
      <c r="R121" s="1083"/>
      <c r="S121" s="2529"/>
      <c r="T121" s="849"/>
      <c r="U121" s="848"/>
      <c r="V121" s="857"/>
      <c r="W121" s="857"/>
      <c r="X121" s="857"/>
      <c r="Y121" s="857"/>
      <c r="Z121" s="857"/>
      <c r="AA121" s="857"/>
      <c r="AB121" s="857"/>
      <c r="AC121" s="857"/>
      <c r="AD121" s="857"/>
      <c r="AE121" s="857"/>
      <c r="AF121" s="857"/>
      <c r="AG121" s="857"/>
      <c r="AH121" s="857"/>
      <c r="AI121" s="857"/>
      <c r="AJ121" s="857"/>
      <c r="AK121" s="857"/>
      <c r="AL121" s="857"/>
      <c r="AM121" s="857"/>
      <c r="AN121" s="769"/>
    </row>
    <row r="122" spans="1:40" ht="15" x14ac:dyDescent="0.2">
      <c r="A122" s="830"/>
      <c r="B122" s="831"/>
      <c r="C122" s="3964"/>
      <c r="D122" s="3965"/>
      <c r="E122" s="729">
        <v>67</v>
      </c>
      <c r="F122" s="866" t="s">
        <v>2286</v>
      </c>
      <c r="G122" s="867"/>
      <c r="H122" s="1085"/>
      <c r="I122" s="1085"/>
      <c r="J122" s="867"/>
      <c r="K122" s="872"/>
      <c r="L122" s="867"/>
      <c r="M122" s="863"/>
      <c r="N122" s="1907"/>
      <c r="O122" s="2530"/>
      <c r="P122" s="1085"/>
      <c r="Q122" s="1085"/>
      <c r="R122" s="1085"/>
      <c r="S122" s="2530"/>
      <c r="T122" s="873"/>
      <c r="U122" s="874"/>
      <c r="V122" s="867"/>
      <c r="W122" s="867"/>
      <c r="X122" s="867"/>
      <c r="Y122" s="867"/>
      <c r="Z122" s="867"/>
      <c r="AA122" s="867"/>
      <c r="AB122" s="867"/>
      <c r="AC122" s="867"/>
      <c r="AD122" s="867"/>
      <c r="AE122" s="867"/>
      <c r="AF122" s="867"/>
      <c r="AG122" s="867"/>
      <c r="AH122" s="867"/>
      <c r="AI122" s="867"/>
      <c r="AJ122" s="867"/>
      <c r="AK122" s="867"/>
      <c r="AL122" s="867"/>
      <c r="AM122" s="867"/>
      <c r="AN122" s="865"/>
    </row>
    <row r="123" spans="1:40" ht="57.75" customHeight="1" x14ac:dyDescent="0.2">
      <c r="A123" s="830"/>
      <c r="B123" s="831"/>
      <c r="C123" s="3964"/>
      <c r="D123" s="3965"/>
      <c r="E123" s="370"/>
      <c r="F123" s="372"/>
      <c r="G123" s="3968">
        <v>198</v>
      </c>
      <c r="H123" s="3914" t="s">
        <v>2287</v>
      </c>
      <c r="I123" s="2899" t="s">
        <v>2288</v>
      </c>
      <c r="J123" s="4040">
        <v>1</v>
      </c>
      <c r="K123" s="4055" t="s">
        <v>2289</v>
      </c>
      <c r="L123" s="4042" t="s">
        <v>2290</v>
      </c>
      <c r="M123" s="3915" t="s">
        <v>2291</v>
      </c>
      <c r="N123" s="3941">
        <f>SUM(S123:S129)/O123</f>
        <v>1.2183278366258038E-2</v>
      </c>
      <c r="O123" s="3580">
        <f>SUM(S123:S134)</f>
        <v>3597405943</v>
      </c>
      <c r="P123" s="3915" t="s">
        <v>2292</v>
      </c>
      <c r="Q123" s="3413" t="s">
        <v>2293</v>
      </c>
      <c r="R123" s="1440" t="s">
        <v>2294</v>
      </c>
      <c r="S123" s="2531">
        <v>10000000</v>
      </c>
      <c r="T123" s="1588">
        <v>20</v>
      </c>
      <c r="U123" s="1591" t="s">
        <v>61</v>
      </c>
      <c r="V123" s="4009">
        <v>2500</v>
      </c>
      <c r="W123" s="3566">
        <v>2000</v>
      </c>
      <c r="X123" s="3566"/>
      <c r="Y123" s="3566"/>
      <c r="Z123" s="3566"/>
      <c r="AA123" s="3566">
        <v>4500</v>
      </c>
      <c r="AB123" s="3920"/>
      <c r="AC123" s="3566"/>
      <c r="AD123" s="3566"/>
      <c r="AE123" s="3921"/>
      <c r="AF123" s="3921"/>
      <c r="AG123" s="3921"/>
      <c r="AH123" s="3921"/>
      <c r="AI123" s="3921"/>
      <c r="AJ123" s="3921"/>
      <c r="AK123" s="3567">
        <f>SUM(AA123)</f>
        <v>4500</v>
      </c>
      <c r="AL123" s="3908">
        <v>43467</v>
      </c>
      <c r="AM123" s="3908">
        <v>43830</v>
      </c>
      <c r="AN123" s="2899" t="s">
        <v>2077</v>
      </c>
    </row>
    <row r="124" spans="1:40" ht="68.25" customHeight="1" x14ac:dyDescent="0.2">
      <c r="A124" s="830"/>
      <c r="B124" s="831"/>
      <c r="C124" s="3964"/>
      <c r="D124" s="3965"/>
      <c r="E124" s="379"/>
      <c r="F124" s="380"/>
      <c r="G124" s="3969"/>
      <c r="H124" s="3915"/>
      <c r="I124" s="3397"/>
      <c r="J124" s="4041"/>
      <c r="K124" s="4056"/>
      <c r="L124" s="4042"/>
      <c r="M124" s="3915"/>
      <c r="N124" s="3941"/>
      <c r="O124" s="3581"/>
      <c r="P124" s="3915"/>
      <c r="Q124" s="3413"/>
      <c r="R124" s="1440" t="s">
        <v>2295</v>
      </c>
      <c r="S124" s="2531">
        <v>10968198</v>
      </c>
      <c r="T124" s="1588">
        <v>20</v>
      </c>
      <c r="U124" s="1591" t="s">
        <v>61</v>
      </c>
      <c r="V124" s="4011"/>
      <c r="W124" s="3567"/>
      <c r="X124" s="3567"/>
      <c r="Y124" s="3567"/>
      <c r="Z124" s="3567"/>
      <c r="AA124" s="3567"/>
      <c r="AB124" s="3921"/>
      <c r="AC124" s="3567"/>
      <c r="AD124" s="3567"/>
      <c r="AE124" s="3921"/>
      <c r="AF124" s="3921"/>
      <c r="AG124" s="3921"/>
      <c r="AH124" s="3921"/>
      <c r="AI124" s="3921"/>
      <c r="AJ124" s="3921"/>
      <c r="AK124" s="3567"/>
      <c r="AL124" s="3908"/>
      <c r="AM124" s="3908"/>
      <c r="AN124" s="3397"/>
    </row>
    <row r="125" spans="1:40" ht="57" x14ac:dyDescent="0.2">
      <c r="A125" s="830"/>
      <c r="B125" s="831"/>
      <c r="C125" s="3964"/>
      <c r="D125" s="3965"/>
      <c r="E125" s="379"/>
      <c r="F125" s="380"/>
      <c r="G125" s="3969"/>
      <c r="H125" s="3915"/>
      <c r="I125" s="3397"/>
      <c r="J125" s="4041"/>
      <c r="K125" s="4056"/>
      <c r="L125" s="4042"/>
      <c r="M125" s="3915"/>
      <c r="N125" s="3941"/>
      <c r="O125" s="3581"/>
      <c r="P125" s="3915"/>
      <c r="Q125" s="3413"/>
      <c r="R125" s="1440" t="s">
        <v>2296</v>
      </c>
      <c r="S125" s="2531">
        <v>500000</v>
      </c>
      <c r="T125" s="1588">
        <v>20</v>
      </c>
      <c r="U125" s="1591" t="s">
        <v>61</v>
      </c>
      <c r="V125" s="4011"/>
      <c r="W125" s="3567"/>
      <c r="X125" s="3567"/>
      <c r="Y125" s="3567"/>
      <c r="Z125" s="3567"/>
      <c r="AA125" s="3567"/>
      <c r="AB125" s="3921"/>
      <c r="AC125" s="3567"/>
      <c r="AD125" s="3567"/>
      <c r="AE125" s="3921"/>
      <c r="AF125" s="3921"/>
      <c r="AG125" s="3921"/>
      <c r="AH125" s="3921"/>
      <c r="AI125" s="3921"/>
      <c r="AJ125" s="3921"/>
      <c r="AK125" s="3567"/>
      <c r="AL125" s="3908"/>
      <c r="AM125" s="3908"/>
      <c r="AN125" s="3397"/>
    </row>
    <row r="126" spans="1:40" ht="42.75" x14ac:dyDescent="0.2">
      <c r="A126" s="830"/>
      <c r="B126" s="831"/>
      <c r="C126" s="3964"/>
      <c r="D126" s="3965"/>
      <c r="E126" s="379"/>
      <c r="F126" s="380"/>
      <c r="G126" s="3969"/>
      <c r="H126" s="3915"/>
      <c r="I126" s="3397"/>
      <c r="J126" s="4041"/>
      <c r="K126" s="4056"/>
      <c r="L126" s="4042"/>
      <c r="M126" s="3915"/>
      <c r="N126" s="3941"/>
      <c r="O126" s="3581"/>
      <c r="P126" s="3915"/>
      <c r="Q126" s="3413"/>
      <c r="R126" s="1440" t="s">
        <v>2297</v>
      </c>
      <c r="S126" s="2531">
        <f>5940000+500000</f>
        <v>6440000</v>
      </c>
      <c r="T126" s="1588">
        <v>20</v>
      </c>
      <c r="U126" s="1591" t="s">
        <v>61</v>
      </c>
      <c r="V126" s="4011"/>
      <c r="W126" s="3567"/>
      <c r="X126" s="3567"/>
      <c r="Y126" s="3567"/>
      <c r="Z126" s="3567"/>
      <c r="AA126" s="3567"/>
      <c r="AB126" s="3921"/>
      <c r="AC126" s="3567"/>
      <c r="AD126" s="3567"/>
      <c r="AE126" s="3921"/>
      <c r="AF126" s="3921"/>
      <c r="AG126" s="3921"/>
      <c r="AH126" s="3921"/>
      <c r="AI126" s="3921"/>
      <c r="AJ126" s="3921"/>
      <c r="AK126" s="3567"/>
      <c r="AL126" s="3908"/>
      <c r="AM126" s="3908"/>
      <c r="AN126" s="3397"/>
    </row>
    <row r="127" spans="1:40" ht="57" x14ac:dyDescent="0.2">
      <c r="A127" s="830"/>
      <c r="B127" s="831"/>
      <c r="C127" s="3964"/>
      <c r="D127" s="3965"/>
      <c r="E127" s="379"/>
      <c r="F127" s="380"/>
      <c r="G127" s="3969"/>
      <c r="H127" s="3915"/>
      <c r="I127" s="3397"/>
      <c r="J127" s="4041"/>
      <c r="K127" s="4056"/>
      <c r="L127" s="4042"/>
      <c r="M127" s="3915"/>
      <c r="N127" s="3941"/>
      <c r="O127" s="3581"/>
      <c r="P127" s="3915"/>
      <c r="Q127" s="3413"/>
      <c r="R127" s="1440" t="s">
        <v>2298</v>
      </c>
      <c r="S127" s="2532">
        <f>7920000-500000</f>
        <v>7420000</v>
      </c>
      <c r="T127" s="1588">
        <v>20</v>
      </c>
      <c r="U127" s="1591" t="s">
        <v>61</v>
      </c>
      <c r="V127" s="4011"/>
      <c r="W127" s="3567"/>
      <c r="X127" s="3567"/>
      <c r="Y127" s="3567"/>
      <c r="Z127" s="3567"/>
      <c r="AA127" s="3567"/>
      <c r="AB127" s="3921"/>
      <c r="AC127" s="3567"/>
      <c r="AD127" s="3567"/>
      <c r="AE127" s="3921"/>
      <c r="AF127" s="3921"/>
      <c r="AG127" s="3921"/>
      <c r="AH127" s="3921"/>
      <c r="AI127" s="3921"/>
      <c r="AJ127" s="3921"/>
      <c r="AK127" s="3567"/>
      <c r="AL127" s="3908"/>
      <c r="AM127" s="3908"/>
      <c r="AN127" s="3397"/>
    </row>
    <row r="128" spans="1:40" ht="41.25" customHeight="1" x14ac:dyDescent="0.2">
      <c r="A128" s="830"/>
      <c r="B128" s="831"/>
      <c r="C128" s="3964"/>
      <c r="D128" s="3965"/>
      <c r="E128" s="379"/>
      <c r="F128" s="380"/>
      <c r="G128" s="3969"/>
      <c r="H128" s="3915"/>
      <c r="I128" s="3397"/>
      <c r="J128" s="4041"/>
      <c r="K128" s="4056"/>
      <c r="L128" s="4042"/>
      <c r="M128" s="3915"/>
      <c r="N128" s="3941"/>
      <c r="O128" s="3581"/>
      <c r="P128" s="3915"/>
      <c r="Q128" s="3413"/>
      <c r="R128" s="1633" t="s">
        <v>2299</v>
      </c>
      <c r="S128" s="2533">
        <v>5000000</v>
      </c>
      <c r="T128" s="1588">
        <v>20</v>
      </c>
      <c r="U128" s="1591" t="s">
        <v>61</v>
      </c>
      <c r="V128" s="4011"/>
      <c r="W128" s="3567"/>
      <c r="X128" s="3567"/>
      <c r="Y128" s="3567"/>
      <c r="Z128" s="3567"/>
      <c r="AA128" s="3567"/>
      <c r="AB128" s="3921"/>
      <c r="AC128" s="3567"/>
      <c r="AD128" s="3567"/>
      <c r="AE128" s="3921"/>
      <c r="AF128" s="3921"/>
      <c r="AG128" s="3921"/>
      <c r="AH128" s="3921"/>
      <c r="AI128" s="3921"/>
      <c r="AJ128" s="3921"/>
      <c r="AK128" s="3567"/>
      <c r="AL128" s="3908"/>
      <c r="AM128" s="3908"/>
      <c r="AN128" s="3397"/>
    </row>
    <row r="129" spans="1:43" ht="57" customHeight="1" x14ac:dyDescent="0.2">
      <c r="A129" s="830"/>
      <c r="B129" s="831"/>
      <c r="C129" s="3964"/>
      <c r="D129" s="3965"/>
      <c r="E129" s="379"/>
      <c r="F129" s="380"/>
      <c r="G129" s="3969"/>
      <c r="H129" s="3915"/>
      <c r="I129" s="3397"/>
      <c r="J129" s="4041"/>
      <c r="K129" s="4056"/>
      <c r="L129" s="4042"/>
      <c r="M129" s="3915"/>
      <c r="N129" s="3941"/>
      <c r="O129" s="3581"/>
      <c r="P129" s="3915"/>
      <c r="Q129" s="3413"/>
      <c r="R129" s="1633" t="s">
        <v>2300</v>
      </c>
      <c r="S129" s="2533">
        <v>3500000</v>
      </c>
      <c r="T129" s="1588">
        <v>20</v>
      </c>
      <c r="U129" s="1591" t="s">
        <v>61</v>
      </c>
      <c r="V129" s="4011"/>
      <c r="W129" s="3567"/>
      <c r="X129" s="3567"/>
      <c r="Y129" s="3567"/>
      <c r="Z129" s="3567"/>
      <c r="AA129" s="3567"/>
      <c r="AB129" s="3921"/>
      <c r="AC129" s="3567"/>
      <c r="AD129" s="3567"/>
      <c r="AE129" s="3921"/>
      <c r="AF129" s="3921"/>
      <c r="AG129" s="3921"/>
      <c r="AH129" s="3921"/>
      <c r="AI129" s="3921"/>
      <c r="AJ129" s="3921"/>
      <c r="AK129" s="3567"/>
      <c r="AL129" s="3908"/>
      <c r="AM129" s="3908"/>
      <c r="AN129" s="3397"/>
    </row>
    <row r="130" spans="1:43" ht="72.75" customHeight="1" x14ac:dyDescent="0.2">
      <c r="A130" s="830"/>
      <c r="B130" s="831"/>
      <c r="C130" s="3964"/>
      <c r="D130" s="3965"/>
      <c r="E130" s="379"/>
      <c r="F130" s="380"/>
      <c r="G130" s="1394">
        <v>199</v>
      </c>
      <c r="H130" s="1838" t="s">
        <v>2301</v>
      </c>
      <c r="I130" s="1806" t="s">
        <v>2302</v>
      </c>
      <c r="J130" s="1834">
        <v>4</v>
      </c>
      <c r="K130" s="1155" t="s">
        <v>2303</v>
      </c>
      <c r="L130" s="4042"/>
      <c r="M130" s="3915"/>
      <c r="N130" s="1910">
        <f>+S130/O123</f>
        <v>1.1119123233182471E-2</v>
      </c>
      <c r="O130" s="3581"/>
      <c r="P130" s="3915"/>
      <c r="Q130" s="3413"/>
      <c r="R130" s="1642" t="s">
        <v>2304</v>
      </c>
      <c r="S130" s="2533">
        <v>40000000</v>
      </c>
      <c r="T130" s="1588">
        <v>20</v>
      </c>
      <c r="U130" s="1591" t="s">
        <v>61</v>
      </c>
      <c r="V130" s="4011"/>
      <c r="W130" s="3567"/>
      <c r="X130" s="3567"/>
      <c r="Y130" s="3567"/>
      <c r="Z130" s="3567"/>
      <c r="AA130" s="3567"/>
      <c r="AB130" s="3921"/>
      <c r="AC130" s="3567"/>
      <c r="AD130" s="3567"/>
      <c r="AE130" s="3921"/>
      <c r="AF130" s="3921"/>
      <c r="AG130" s="3921"/>
      <c r="AH130" s="3921"/>
      <c r="AI130" s="3921"/>
      <c r="AJ130" s="3921"/>
      <c r="AK130" s="3567"/>
      <c r="AL130" s="3908"/>
      <c r="AM130" s="3908"/>
      <c r="AN130" s="3397"/>
    </row>
    <row r="131" spans="1:43" ht="33.75" customHeight="1" x14ac:dyDescent="0.2">
      <c r="A131" s="830"/>
      <c r="B131" s="831"/>
      <c r="C131" s="3964"/>
      <c r="D131" s="3965"/>
      <c r="E131" s="379"/>
      <c r="F131" s="380"/>
      <c r="G131" s="3968">
        <v>200</v>
      </c>
      <c r="H131" s="4046" t="s">
        <v>2305</v>
      </c>
      <c r="I131" s="4052" t="s">
        <v>2306</v>
      </c>
      <c r="J131" s="4053">
        <v>12</v>
      </c>
      <c r="K131" s="4054" t="s">
        <v>2307</v>
      </c>
      <c r="L131" s="4042"/>
      <c r="M131" s="3915"/>
      <c r="N131" s="3941">
        <f>+SUM(S131:S132)/O123</f>
        <v>0.29300927965915691</v>
      </c>
      <c r="O131" s="3581"/>
      <c r="P131" s="3915"/>
      <c r="Q131" s="2899" t="s">
        <v>2308</v>
      </c>
      <c r="R131" s="4048" t="s">
        <v>2309</v>
      </c>
      <c r="S131" s="2534">
        <f>1111986335-114000000</f>
        <v>997986335</v>
      </c>
      <c r="T131" s="1648">
        <v>6</v>
      </c>
      <c r="U131" s="2543" t="s">
        <v>2310</v>
      </c>
      <c r="V131" s="4011"/>
      <c r="W131" s="3567"/>
      <c r="X131" s="3567"/>
      <c r="Y131" s="3567"/>
      <c r="Z131" s="3567"/>
      <c r="AA131" s="3567"/>
      <c r="AB131" s="3921"/>
      <c r="AC131" s="3567"/>
      <c r="AD131" s="3567"/>
      <c r="AE131" s="3921"/>
      <c r="AF131" s="3921"/>
      <c r="AG131" s="3921"/>
      <c r="AH131" s="3921"/>
      <c r="AI131" s="3921"/>
      <c r="AJ131" s="3921"/>
      <c r="AK131" s="3567"/>
      <c r="AL131" s="3908"/>
      <c r="AM131" s="3908"/>
      <c r="AN131" s="3397"/>
    </row>
    <row r="132" spans="1:43" ht="35.25" customHeight="1" x14ac:dyDescent="0.2">
      <c r="A132" s="830"/>
      <c r="B132" s="831"/>
      <c r="C132" s="3964"/>
      <c r="D132" s="3965"/>
      <c r="E132" s="379"/>
      <c r="F132" s="380"/>
      <c r="G132" s="3970"/>
      <c r="H132" s="4047"/>
      <c r="I132" s="4052"/>
      <c r="J132" s="4053"/>
      <c r="K132" s="4054"/>
      <c r="L132" s="4042"/>
      <c r="M132" s="3915"/>
      <c r="N132" s="3941"/>
      <c r="O132" s="3581"/>
      <c r="P132" s="3915"/>
      <c r="Q132" s="3397"/>
      <c r="R132" s="4049"/>
      <c r="S132" s="2535">
        <f>0+56086989</f>
        <v>56086989</v>
      </c>
      <c r="T132" s="1649">
        <v>84</v>
      </c>
      <c r="U132" s="2544" t="s">
        <v>2311</v>
      </c>
      <c r="V132" s="4011"/>
      <c r="W132" s="3567"/>
      <c r="X132" s="3567"/>
      <c r="Y132" s="3567"/>
      <c r="Z132" s="3567"/>
      <c r="AA132" s="3567"/>
      <c r="AB132" s="3921"/>
      <c r="AC132" s="3567"/>
      <c r="AD132" s="3567"/>
      <c r="AE132" s="3921"/>
      <c r="AF132" s="3921"/>
      <c r="AG132" s="3921"/>
      <c r="AH132" s="3921"/>
      <c r="AI132" s="3921"/>
      <c r="AJ132" s="3921"/>
      <c r="AK132" s="3567"/>
      <c r="AL132" s="3908"/>
      <c r="AM132" s="3908"/>
      <c r="AN132" s="3397"/>
    </row>
    <row r="133" spans="1:43" ht="36.75" customHeight="1" x14ac:dyDescent="0.2">
      <c r="A133" s="830"/>
      <c r="B133" s="831"/>
      <c r="C133" s="3964"/>
      <c r="D133" s="3965"/>
      <c r="E133" s="379"/>
      <c r="F133" s="380"/>
      <c r="G133" s="3968">
        <v>201</v>
      </c>
      <c r="H133" s="4050" t="s">
        <v>2312</v>
      </c>
      <c r="I133" s="2784" t="s">
        <v>2313</v>
      </c>
      <c r="J133" s="3964">
        <v>14</v>
      </c>
      <c r="K133" s="4054"/>
      <c r="L133" s="4042"/>
      <c r="M133" s="3915"/>
      <c r="N133" s="3941">
        <f>+SUM(S133:S134)/O123</f>
        <v>0.68368831874140257</v>
      </c>
      <c r="O133" s="3581"/>
      <c r="P133" s="3915"/>
      <c r="Q133" s="3397"/>
      <c r="R133" s="4048" t="s">
        <v>2314</v>
      </c>
      <c r="S133" s="2534">
        <f>2594634781-266000000</f>
        <v>2328634781</v>
      </c>
      <c r="T133" s="1648">
        <v>6</v>
      </c>
      <c r="U133" s="2545" t="s">
        <v>2310</v>
      </c>
      <c r="V133" s="4011"/>
      <c r="W133" s="3567"/>
      <c r="X133" s="3567"/>
      <c r="Y133" s="3567"/>
      <c r="Z133" s="3567"/>
      <c r="AA133" s="3567"/>
      <c r="AB133" s="3921"/>
      <c r="AC133" s="3567"/>
      <c r="AD133" s="3567"/>
      <c r="AE133" s="3921"/>
      <c r="AF133" s="3921"/>
      <c r="AG133" s="3921"/>
      <c r="AH133" s="3921"/>
      <c r="AI133" s="3921"/>
      <c r="AJ133" s="3921"/>
      <c r="AK133" s="3567"/>
      <c r="AL133" s="3908"/>
      <c r="AM133" s="3908"/>
      <c r="AN133" s="3397"/>
    </row>
    <row r="134" spans="1:43" ht="33" customHeight="1" x14ac:dyDescent="0.2">
      <c r="A134" s="875"/>
      <c r="B134" s="845"/>
      <c r="C134" s="3966"/>
      <c r="D134" s="3967"/>
      <c r="E134" s="387"/>
      <c r="F134" s="388"/>
      <c r="G134" s="3970"/>
      <c r="H134" s="4051"/>
      <c r="I134" s="2790"/>
      <c r="J134" s="3966"/>
      <c r="K134" s="4054"/>
      <c r="L134" s="4043"/>
      <c r="M134" s="3944"/>
      <c r="N134" s="3941"/>
      <c r="O134" s="3582"/>
      <c r="P134" s="3944"/>
      <c r="Q134" s="2900"/>
      <c r="R134" s="4049"/>
      <c r="S134" s="2534">
        <f>0+130869640</f>
        <v>130869640</v>
      </c>
      <c r="T134" s="1650">
        <v>84</v>
      </c>
      <c r="U134" s="2543" t="s">
        <v>2311</v>
      </c>
      <c r="V134" s="4013"/>
      <c r="W134" s="3568"/>
      <c r="X134" s="3568"/>
      <c r="Y134" s="3568"/>
      <c r="Z134" s="3568"/>
      <c r="AA134" s="3568"/>
      <c r="AB134" s="3940"/>
      <c r="AC134" s="3568"/>
      <c r="AD134" s="3568"/>
      <c r="AE134" s="3940"/>
      <c r="AF134" s="3940"/>
      <c r="AG134" s="3940"/>
      <c r="AH134" s="3940"/>
      <c r="AI134" s="3940"/>
      <c r="AJ134" s="3940"/>
      <c r="AK134" s="3568"/>
      <c r="AL134" s="3908"/>
      <c r="AM134" s="3908"/>
      <c r="AN134" s="2900"/>
    </row>
    <row r="135" spans="1:43" s="692" customFormat="1" ht="15" x14ac:dyDescent="0.25">
      <c r="A135" s="4044" t="s">
        <v>823</v>
      </c>
      <c r="B135" s="4044"/>
      <c r="C135" s="4044"/>
      <c r="D135" s="4044"/>
      <c r="E135" s="4044"/>
      <c r="F135" s="4044"/>
      <c r="G135" s="4044"/>
      <c r="H135" s="4044"/>
      <c r="I135" s="4044"/>
      <c r="J135" s="4044"/>
      <c r="K135" s="4045"/>
      <c r="L135" s="4044"/>
      <c r="M135" s="4044"/>
      <c r="N135" s="4044"/>
      <c r="O135" s="2539">
        <f>SUM(O13:O134)</f>
        <v>6277165943</v>
      </c>
      <c r="P135" s="1087"/>
      <c r="Q135" s="1088"/>
      <c r="R135" s="1088"/>
      <c r="S135" s="2536">
        <f>SUM(S13:S134)</f>
        <v>6277165943</v>
      </c>
      <c r="T135" s="1399"/>
      <c r="U135" s="1151"/>
      <c r="V135" s="1089"/>
      <c r="W135" s="1089"/>
      <c r="X135" s="1089"/>
      <c r="Y135" s="1089"/>
      <c r="Z135" s="1089"/>
      <c r="AA135" s="1089"/>
      <c r="AB135" s="1089"/>
      <c r="AC135" s="1089"/>
      <c r="AD135" s="1089"/>
      <c r="AE135" s="1089"/>
      <c r="AF135" s="1089"/>
      <c r="AG135" s="1089"/>
      <c r="AH135" s="1089"/>
      <c r="AI135" s="1089"/>
      <c r="AJ135" s="1089"/>
      <c r="AK135" s="1089"/>
      <c r="AL135" s="1089"/>
      <c r="AM135" s="1089"/>
      <c r="AN135" s="1088"/>
      <c r="AO135" s="858"/>
      <c r="AP135" s="858"/>
      <c r="AQ135" s="858"/>
    </row>
    <row r="136" spans="1:43" ht="15" x14ac:dyDescent="0.25">
      <c r="A136" s="363"/>
      <c r="B136" s="363"/>
      <c r="C136" s="363"/>
      <c r="D136" s="363"/>
      <c r="E136" s="363"/>
      <c r="F136" s="1840"/>
      <c r="G136" s="876"/>
      <c r="H136" s="877"/>
      <c r="I136" s="878"/>
      <c r="J136" s="363"/>
      <c r="K136" s="363"/>
      <c r="L136" s="363"/>
      <c r="M136" s="878"/>
      <c r="N136" s="1908"/>
      <c r="O136" s="2540"/>
      <c r="P136" s="877"/>
      <c r="Q136" s="819"/>
      <c r="R136" s="819"/>
      <c r="S136" s="879"/>
      <c r="T136" s="1840"/>
      <c r="U136" s="880"/>
      <c r="V136" s="363"/>
      <c r="W136" s="363"/>
      <c r="X136" s="363"/>
      <c r="Y136" s="363"/>
      <c r="Z136" s="363"/>
      <c r="AA136" s="363"/>
      <c r="AB136" s="363"/>
      <c r="AC136" s="363"/>
      <c r="AD136" s="363"/>
      <c r="AE136" s="363"/>
      <c r="AF136" s="363"/>
      <c r="AG136" s="363"/>
      <c r="AH136" s="363"/>
      <c r="AI136" s="363"/>
      <c r="AJ136" s="363"/>
      <c r="AN136" s="819"/>
    </row>
    <row r="137" spans="1:43" ht="15" x14ac:dyDescent="0.2">
      <c r="A137" s="363"/>
      <c r="B137" s="363"/>
      <c r="C137" s="363"/>
      <c r="D137" s="363"/>
      <c r="E137" s="363"/>
      <c r="F137" s="1840"/>
      <c r="G137" s="363"/>
      <c r="H137" s="880"/>
      <c r="I137" s="880"/>
      <c r="J137" s="363"/>
      <c r="K137" s="363"/>
      <c r="L137" s="363"/>
      <c r="M137" s="880"/>
      <c r="N137" s="1908"/>
      <c r="O137" s="2541"/>
      <c r="P137" s="880"/>
      <c r="Q137" s="880"/>
      <c r="R137" s="819"/>
      <c r="S137" s="688"/>
      <c r="T137" s="1840"/>
      <c r="U137" s="880"/>
      <c r="V137" s="363"/>
      <c r="W137" s="363"/>
      <c r="X137" s="363"/>
      <c r="Y137" s="363"/>
      <c r="Z137" s="363"/>
      <c r="AA137" s="363"/>
      <c r="AB137" s="363"/>
      <c r="AC137" s="363"/>
      <c r="AD137" s="363"/>
      <c r="AE137" s="363"/>
      <c r="AF137" s="363"/>
      <c r="AG137" s="363"/>
      <c r="AH137" s="363"/>
      <c r="AI137" s="363"/>
      <c r="AJ137" s="363"/>
    </row>
    <row r="138" spans="1:43" x14ac:dyDescent="0.2">
      <c r="A138" s="363"/>
      <c r="B138" s="363"/>
      <c r="C138" s="363"/>
      <c r="D138" s="363"/>
      <c r="E138" s="363"/>
      <c r="F138" s="1840"/>
      <c r="G138" s="363"/>
      <c r="H138" s="880"/>
      <c r="I138" s="880"/>
      <c r="J138" s="363"/>
      <c r="K138" s="363"/>
      <c r="L138" s="363"/>
      <c r="M138" s="880"/>
      <c r="N138" s="1908"/>
      <c r="O138" s="2541"/>
      <c r="P138" s="880"/>
      <c r="Q138" s="880"/>
      <c r="R138" s="819"/>
      <c r="S138" s="881"/>
      <c r="T138" s="1840"/>
      <c r="U138" s="880"/>
      <c r="V138" s="363"/>
      <c r="W138" s="363"/>
      <c r="X138" s="363"/>
      <c r="Y138" s="363"/>
      <c r="Z138" s="363"/>
      <c r="AA138" s="363"/>
      <c r="AB138" s="363"/>
      <c r="AC138" s="363"/>
      <c r="AD138" s="363"/>
      <c r="AE138" s="363"/>
      <c r="AF138" s="363"/>
      <c r="AG138" s="363"/>
      <c r="AH138" s="363"/>
      <c r="AI138" s="363"/>
      <c r="AJ138" s="363"/>
    </row>
    <row r="139" spans="1:43" ht="15" x14ac:dyDescent="0.25">
      <c r="A139" s="3893" t="s">
        <v>2532</v>
      </c>
      <c r="B139" s="3893"/>
      <c r="C139" s="3893"/>
      <c r="D139" s="3893"/>
      <c r="E139" s="3893"/>
      <c r="F139" s="3893"/>
      <c r="G139" s="3893"/>
      <c r="H139" s="3893"/>
      <c r="I139" s="3893"/>
      <c r="J139" s="363"/>
      <c r="K139" s="363"/>
      <c r="L139" s="363"/>
      <c r="M139" s="880"/>
      <c r="N139" s="1908"/>
      <c r="O139" s="2541"/>
      <c r="P139" s="880"/>
      <c r="Q139" s="880"/>
      <c r="R139" s="819"/>
      <c r="S139" s="1723"/>
      <c r="T139" s="1840"/>
      <c r="U139" s="880"/>
      <c r="V139" s="363"/>
      <c r="W139" s="363"/>
      <c r="X139" s="363"/>
      <c r="Y139" s="363"/>
      <c r="Z139" s="363"/>
      <c r="AA139" s="363"/>
      <c r="AB139" s="363"/>
      <c r="AC139" s="363"/>
      <c r="AD139" s="363"/>
      <c r="AE139" s="363"/>
      <c r="AF139" s="363"/>
      <c r="AG139" s="363"/>
      <c r="AH139" s="363"/>
      <c r="AI139" s="363"/>
      <c r="AJ139" s="363"/>
    </row>
    <row r="140" spans="1:43" ht="15" x14ac:dyDescent="0.25">
      <c r="A140" s="3951" t="s">
        <v>2315</v>
      </c>
      <c r="B140" s="3951"/>
      <c r="C140" s="3951"/>
      <c r="D140" s="3951"/>
      <c r="E140" s="3951"/>
      <c r="F140" s="3951"/>
      <c r="G140" s="3951"/>
      <c r="H140" s="3951"/>
      <c r="I140" s="3951"/>
      <c r="J140" s="363"/>
      <c r="K140" s="363"/>
      <c r="L140" s="363"/>
      <c r="M140" s="880"/>
      <c r="N140" s="1908"/>
      <c r="O140" s="2541"/>
      <c r="P140" s="880"/>
      <c r="Q140" s="880"/>
      <c r="R140" s="819"/>
      <c r="S140" s="1723"/>
      <c r="T140" s="1840"/>
      <c r="U140" s="880"/>
      <c r="V140" s="363"/>
      <c r="W140" s="363"/>
      <c r="X140" s="363"/>
      <c r="Y140" s="363"/>
      <c r="Z140" s="363"/>
      <c r="AA140" s="363"/>
      <c r="AB140" s="363"/>
      <c r="AC140" s="363"/>
      <c r="AD140" s="363"/>
      <c r="AE140" s="363"/>
      <c r="AF140" s="363"/>
      <c r="AG140" s="363"/>
      <c r="AH140" s="363"/>
      <c r="AI140" s="363"/>
      <c r="AJ140" s="363"/>
    </row>
    <row r="141" spans="1:43" x14ac:dyDescent="0.2">
      <c r="E141" s="363"/>
      <c r="F141" s="1840"/>
      <c r="G141" s="363"/>
      <c r="H141" s="880"/>
      <c r="I141" s="880"/>
      <c r="J141" s="363"/>
      <c r="K141" s="363"/>
      <c r="L141" s="363"/>
      <c r="M141" s="880"/>
      <c r="N141" s="1908"/>
      <c r="O141" s="2541"/>
      <c r="P141" s="880"/>
      <c r="Q141" s="880"/>
      <c r="R141" s="819"/>
      <c r="S141" s="881"/>
      <c r="T141" s="1840"/>
      <c r="U141" s="880"/>
      <c r="V141" s="363"/>
      <c r="W141" s="363"/>
      <c r="X141" s="363"/>
      <c r="Y141" s="363"/>
      <c r="Z141" s="363"/>
      <c r="AA141" s="363"/>
      <c r="AB141" s="363"/>
      <c r="AC141" s="363"/>
      <c r="AD141" s="363"/>
      <c r="AE141" s="363"/>
      <c r="AF141" s="363"/>
      <c r="AG141" s="363"/>
      <c r="AH141" s="363"/>
      <c r="AI141" s="363"/>
      <c r="AJ141" s="363"/>
    </row>
    <row r="142" spans="1:43" x14ac:dyDescent="0.2">
      <c r="A142" s="363"/>
      <c r="B142" s="363"/>
      <c r="C142" s="363"/>
      <c r="D142" s="363"/>
      <c r="E142" s="363"/>
      <c r="F142" s="1840"/>
      <c r="G142" s="363"/>
      <c r="H142" s="880"/>
      <c r="I142" s="880"/>
      <c r="J142" s="363"/>
      <c r="K142" s="363"/>
      <c r="L142" s="363"/>
      <c r="M142" s="880"/>
      <c r="N142" s="1908"/>
      <c r="O142" s="2541"/>
      <c r="P142" s="880"/>
      <c r="Q142" s="880"/>
      <c r="R142" s="819"/>
      <c r="S142" s="881"/>
      <c r="T142" s="1840"/>
      <c r="U142" s="880"/>
      <c r="V142" s="363"/>
      <c r="W142" s="363"/>
      <c r="X142" s="363"/>
      <c r="Y142" s="363"/>
      <c r="Z142" s="363"/>
      <c r="AA142" s="363"/>
      <c r="AB142" s="363"/>
      <c r="AC142" s="363"/>
      <c r="AD142" s="363"/>
      <c r="AE142" s="363"/>
      <c r="AF142" s="363"/>
      <c r="AG142" s="363"/>
      <c r="AH142" s="363"/>
      <c r="AI142" s="363"/>
      <c r="AJ142" s="363"/>
    </row>
    <row r="143" spans="1:43" x14ac:dyDescent="0.2">
      <c r="A143" s="3939" t="s">
        <v>2316</v>
      </c>
      <c r="B143" s="3939"/>
      <c r="C143" s="3939"/>
      <c r="D143" s="3939"/>
      <c r="E143" s="3939"/>
      <c r="F143" s="3939"/>
      <c r="G143" s="3939"/>
      <c r="H143" s="3939"/>
      <c r="I143" s="3939"/>
      <c r="J143" s="363"/>
      <c r="K143" s="363"/>
      <c r="L143" s="363"/>
      <c r="M143" s="880"/>
      <c r="N143" s="1908"/>
      <c r="O143" s="2541"/>
      <c r="P143" s="880"/>
      <c r="Q143" s="880"/>
      <c r="R143" s="819"/>
      <c r="S143" s="881"/>
      <c r="T143" s="1840"/>
      <c r="U143" s="880"/>
      <c r="V143" s="363"/>
      <c r="W143" s="363"/>
      <c r="X143" s="363"/>
      <c r="Y143" s="363"/>
      <c r="Z143" s="363"/>
      <c r="AA143" s="363"/>
      <c r="AB143" s="363"/>
      <c r="AC143" s="363"/>
      <c r="AD143" s="363"/>
      <c r="AE143" s="363"/>
      <c r="AF143" s="363"/>
      <c r="AG143" s="363"/>
      <c r="AH143" s="363"/>
      <c r="AI143" s="363"/>
      <c r="AJ143" s="363"/>
    </row>
    <row r="144" spans="1:43" x14ac:dyDescent="0.2">
      <c r="A144" s="363"/>
      <c r="B144" s="363"/>
      <c r="C144" s="363"/>
      <c r="D144" s="363"/>
      <c r="E144" s="363"/>
      <c r="F144" s="1840"/>
      <c r="G144" s="363"/>
      <c r="H144" s="880"/>
      <c r="I144" s="880"/>
      <c r="J144" s="363"/>
      <c r="K144" s="363"/>
      <c r="L144" s="363"/>
      <c r="M144" s="880"/>
      <c r="N144" s="1908"/>
      <c r="O144" s="2541"/>
      <c r="P144" s="880"/>
      <c r="Q144" s="880"/>
      <c r="R144" s="819"/>
      <c r="S144" s="881"/>
      <c r="T144" s="1840"/>
      <c r="U144" s="880"/>
      <c r="V144" s="363"/>
      <c r="W144" s="363"/>
      <c r="X144" s="363"/>
      <c r="Y144" s="363"/>
      <c r="Z144" s="363"/>
      <c r="AA144" s="363"/>
      <c r="AB144" s="363"/>
      <c r="AC144" s="363"/>
      <c r="AD144" s="363"/>
      <c r="AE144" s="363"/>
      <c r="AF144" s="363"/>
      <c r="AG144" s="363"/>
      <c r="AH144" s="363"/>
      <c r="AI144" s="363"/>
      <c r="AJ144" s="363"/>
    </row>
    <row r="145" spans="1:36" x14ac:dyDescent="0.2">
      <c r="A145" s="363"/>
      <c r="B145" s="363"/>
      <c r="C145" s="363"/>
      <c r="D145" s="363"/>
      <c r="E145" s="363"/>
      <c r="F145" s="1840"/>
      <c r="G145" s="363"/>
      <c r="H145" s="880"/>
      <c r="I145" s="880"/>
      <c r="J145" s="363"/>
      <c r="K145" s="363"/>
      <c r="L145" s="363"/>
      <c r="M145" s="880"/>
      <c r="N145" s="1908"/>
      <c r="O145" s="2541"/>
      <c r="P145" s="880"/>
      <c r="Q145" s="880"/>
      <c r="R145" s="819"/>
      <c r="S145" s="881"/>
      <c r="T145" s="1840"/>
      <c r="U145" s="880"/>
      <c r="V145" s="363"/>
      <c r="W145" s="363"/>
      <c r="X145" s="363"/>
      <c r="Y145" s="363"/>
      <c r="Z145" s="363"/>
      <c r="AA145" s="363"/>
      <c r="AB145" s="363"/>
      <c r="AC145" s="363"/>
      <c r="AD145" s="363"/>
      <c r="AE145" s="363"/>
      <c r="AF145" s="363"/>
      <c r="AG145" s="363"/>
      <c r="AH145" s="363"/>
      <c r="AI145" s="363"/>
      <c r="AJ145" s="363"/>
    </row>
    <row r="146" spans="1:36" x14ac:dyDescent="0.2">
      <c r="A146" s="363"/>
      <c r="B146" s="363"/>
      <c r="C146" s="363"/>
      <c r="D146" s="363"/>
      <c r="E146" s="363"/>
      <c r="F146" s="1840"/>
      <c r="G146" s="363"/>
      <c r="H146" s="880"/>
      <c r="I146" s="880"/>
      <c r="J146" s="363"/>
      <c r="K146" s="363"/>
      <c r="L146" s="363"/>
      <c r="M146" s="880"/>
      <c r="N146" s="1908"/>
      <c r="O146" s="2541"/>
      <c r="P146" s="880"/>
      <c r="Q146" s="880"/>
      <c r="R146" s="819"/>
      <c r="S146" s="881"/>
      <c r="T146" s="1840"/>
      <c r="U146" s="880"/>
      <c r="V146" s="363"/>
      <c r="W146" s="363"/>
      <c r="X146" s="363"/>
      <c r="Y146" s="363"/>
      <c r="Z146" s="363"/>
      <c r="AA146" s="363"/>
      <c r="AB146" s="363"/>
      <c r="AC146" s="363"/>
      <c r="AD146" s="363"/>
      <c r="AE146" s="363"/>
      <c r="AF146" s="363"/>
      <c r="AG146" s="363"/>
      <c r="AH146" s="363"/>
      <c r="AI146" s="363"/>
      <c r="AJ146" s="363"/>
    </row>
    <row r="147" spans="1:36" x14ac:dyDescent="0.2">
      <c r="A147" s="363"/>
      <c r="B147" s="363"/>
      <c r="C147" s="363"/>
      <c r="D147" s="363"/>
      <c r="E147" s="363"/>
      <c r="F147" s="1840"/>
      <c r="G147" s="363"/>
      <c r="H147" s="880"/>
      <c r="I147" s="880"/>
      <c r="J147" s="363"/>
      <c r="K147" s="363"/>
      <c r="L147" s="363"/>
      <c r="M147" s="880"/>
      <c r="N147" s="1908"/>
      <c r="O147" s="2541"/>
      <c r="P147" s="880"/>
      <c r="Q147" s="880"/>
      <c r="R147" s="819"/>
      <c r="S147" s="881"/>
      <c r="T147" s="1840"/>
      <c r="U147" s="880"/>
      <c r="V147" s="363"/>
      <c r="W147" s="363"/>
      <c r="X147" s="363"/>
      <c r="Y147" s="363"/>
      <c r="Z147" s="363"/>
      <c r="AA147" s="363"/>
      <c r="AB147" s="363"/>
      <c r="AC147" s="363"/>
      <c r="AD147" s="363"/>
      <c r="AE147" s="363"/>
      <c r="AF147" s="363"/>
      <c r="AG147" s="363"/>
      <c r="AH147" s="363"/>
      <c r="AI147" s="363"/>
      <c r="AJ147" s="363"/>
    </row>
    <row r="148" spans="1:36" x14ac:dyDescent="0.2">
      <c r="A148" s="363"/>
      <c r="B148" s="363"/>
      <c r="C148" s="363"/>
      <c r="D148" s="363"/>
      <c r="E148" s="363"/>
      <c r="F148" s="1840"/>
      <c r="G148" s="363"/>
      <c r="H148" s="880"/>
      <c r="I148" s="880"/>
      <c r="J148" s="363"/>
      <c r="K148" s="363"/>
      <c r="L148" s="363"/>
      <c r="M148" s="880"/>
      <c r="N148" s="1908"/>
      <c r="O148" s="2541"/>
      <c r="P148" s="880"/>
      <c r="Q148" s="880"/>
      <c r="R148" s="819"/>
      <c r="S148" s="881"/>
      <c r="T148" s="1840"/>
      <c r="U148" s="880"/>
      <c r="V148" s="363"/>
      <c r="W148" s="363"/>
      <c r="X148" s="363"/>
      <c r="Y148" s="363"/>
      <c r="Z148" s="363"/>
      <c r="AA148" s="363"/>
      <c r="AB148" s="363"/>
      <c r="AC148" s="363"/>
      <c r="AD148" s="363"/>
      <c r="AE148" s="363"/>
      <c r="AF148" s="363"/>
      <c r="AG148" s="363"/>
      <c r="AH148" s="363"/>
      <c r="AI148" s="363"/>
      <c r="AJ148" s="363"/>
    </row>
    <row r="149" spans="1:36" x14ac:dyDescent="0.2">
      <c r="A149" s="363"/>
      <c r="B149" s="363"/>
      <c r="C149" s="363"/>
      <c r="D149" s="363"/>
      <c r="E149" s="363"/>
      <c r="F149" s="1840"/>
      <c r="G149" s="363"/>
      <c r="H149" s="880"/>
      <c r="I149" s="880"/>
      <c r="J149" s="363"/>
      <c r="K149" s="363"/>
      <c r="L149" s="363"/>
      <c r="M149" s="880"/>
      <c r="N149" s="1908"/>
      <c r="O149" s="2541"/>
      <c r="P149" s="880"/>
      <c r="Q149" s="880"/>
      <c r="R149" s="819"/>
      <c r="S149" s="881"/>
      <c r="T149" s="1840"/>
      <c r="U149" s="880"/>
      <c r="V149" s="363"/>
      <c r="W149" s="363"/>
      <c r="X149" s="363"/>
      <c r="Y149" s="363"/>
      <c r="Z149" s="363"/>
      <c r="AA149" s="363"/>
      <c r="AB149" s="363"/>
      <c r="AC149" s="363"/>
      <c r="AD149" s="363"/>
      <c r="AE149" s="363"/>
      <c r="AF149" s="363"/>
      <c r="AG149" s="363"/>
      <c r="AH149" s="363"/>
      <c r="AI149" s="363"/>
      <c r="AJ149" s="363"/>
    </row>
    <row r="150" spans="1:36" x14ac:dyDescent="0.2">
      <c r="A150" s="363"/>
      <c r="B150" s="363"/>
      <c r="C150" s="363"/>
      <c r="D150" s="363"/>
      <c r="E150" s="363"/>
      <c r="F150" s="1840"/>
      <c r="G150" s="363"/>
      <c r="H150" s="880"/>
      <c r="I150" s="880"/>
      <c r="J150" s="363"/>
      <c r="K150" s="363"/>
      <c r="L150" s="363"/>
      <c r="M150" s="880"/>
      <c r="N150" s="1908"/>
      <c r="O150" s="2541"/>
      <c r="P150" s="880"/>
      <c r="Q150" s="880"/>
      <c r="R150" s="819"/>
      <c r="S150" s="881"/>
      <c r="T150" s="1840"/>
      <c r="U150" s="880"/>
      <c r="V150" s="363"/>
      <c r="W150" s="363"/>
      <c r="X150" s="363"/>
      <c r="Y150" s="363"/>
      <c r="Z150" s="363"/>
      <c r="AA150" s="363"/>
      <c r="AB150" s="363"/>
      <c r="AC150" s="363"/>
      <c r="AD150" s="363"/>
      <c r="AE150" s="363"/>
      <c r="AF150" s="363"/>
      <c r="AG150" s="363"/>
      <c r="AH150" s="363"/>
      <c r="AI150" s="363"/>
      <c r="AJ150" s="363"/>
    </row>
    <row r="151" spans="1:36" x14ac:dyDescent="0.2">
      <c r="A151" s="363"/>
      <c r="B151" s="363"/>
      <c r="C151" s="363"/>
      <c r="D151" s="363"/>
      <c r="E151" s="363"/>
      <c r="F151" s="1840"/>
      <c r="G151" s="363"/>
      <c r="H151" s="880"/>
      <c r="I151" s="880"/>
      <c r="J151" s="363"/>
      <c r="K151" s="363"/>
      <c r="L151" s="363"/>
      <c r="M151" s="880"/>
      <c r="N151" s="1908"/>
      <c r="O151" s="2541"/>
      <c r="P151" s="880"/>
      <c r="Q151" s="880"/>
      <c r="R151" s="819"/>
      <c r="S151" s="881"/>
      <c r="T151" s="1840"/>
      <c r="U151" s="880"/>
      <c r="V151" s="363"/>
      <c r="W151" s="363"/>
      <c r="X151" s="363"/>
      <c r="Y151" s="363"/>
      <c r="Z151" s="363"/>
      <c r="AA151" s="363"/>
      <c r="AB151" s="363"/>
      <c r="AC151" s="363"/>
      <c r="AD151" s="363"/>
      <c r="AE151" s="363"/>
      <c r="AF151" s="363"/>
      <c r="AG151" s="363"/>
      <c r="AH151" s="363"/>
      <c r="AI151" s="363"/>
      <c r="AJ151" s="363"/>
    </row>
    <row r="152" spans="1:36" x14ac:dyDescent="0.2">
      <c r="A152" s="363"/>
      <c r="B152" s="363"/>
      <c r="C152" s="363"/>
      <c r="D152" s="363"/>
      <c r="E152" s="363"/>
      <c r="F152" s="1840"/>
      <c r="G152" s="363"/>
      <c r="H152" s="880"/>
      <c r="I152" s="880"/>
      <c r="J152" s="363"/>
      <c r="K152" s="363"/>
      <c r="L152" s="363"/>
      <c r="M152" s="880"/>
      <c r="N152" s="1908"/>
      <c r="O152" s="2541"/>
      <c r="P152" s="880"/>
      <c r="Q152" s="880"/>
      <c r="R152" s="819"/>
      <c r="S152" s="881"/>
      <c r="T152" s="1840"/>
      <c r="U152" s="880"/>
      <c r="V152" s="363"/>
      <c r="W152" s="363"/>
      <c r="X152" s="363"/>
      <c r="Y152" s="363"/>
      <c r="Z152" s="363"/>
      <c r="AA152" s="363"/>
      <c r="AB152" s="363"/>
      <c r="AC152" s="363"/>
      <c r="AD152" s="363"/>
      <c r="AE152" s="363"/>
      <c r="AF152" s="363"/>
      <c r="AG152" s="363"/>
      <c r="AH152" s="363"/>
      <c r="AI152" s="363"/>
      <c r="AJ152" s="363"/>
    </row>
    <row r="153" spans="1:36" x14ac:dyDescent="0.2">
      <c r="A153" s="363"/>
      <c r="B153" s="363"/>
      <c r="C153" s="363"/>
      <c r="D153" s="363"/>
      <c r="E153" s="363"/>
      <c r="F153" s="1840"/>
      <c r="G153" s="363"/>
      <c r="H153" s="880"/>
      <c r="I153" s="880"/>
      <c r="J153" s="363"/>
      <c r="K153" s="363"/>
      <c r="L153" s="363"/>
      <c r="M153" s="880"/>
      <c r="N153" s="1908"/>
      <c r="O153" s="2541"/>
      <c r="P153" s="880"/>
      <c r="Q153" s="880"/>
      <c r="R153" s="819"/>
      <c r="S153" s="881"/>
      <c r="T153" s="1840"/>
      <c r="U153" s="880"/>
      <c r="V153" s="363"/>
      <c r="W153" s="363"/>
      <c r="X153" s="363"/>
      <c r="Y153" s="363"/>
      <c r="Z153" s="363"/>
      <c r="AA153" s="363"/>
      <c r="AB153" s="363"/>
      <c r="AC153" s="363"/>
      <c r="AD153" s="363"/>
      <c r="AE153" s="363"/>
      <c r="AF153" s="363"/>
      <c r="AG153" s="363"/>
      <c r="AH153" s="363"/>
      <c r="AI153" s="363"/>
      <c r="AJ153" s="363"/>
    </row>
    <row r="154" spans="1:36" x14ac:dyDescent="0.2">
      <c r="A154" s="363"/>
      <c r="B154" s="363"/>
      <c r="C154" s="363"/>
      <c r="D154" s="363"/>
      <c r="E154" s="363"/>
      <c r="F154" s="1840"/>
      <c r="G154" s="363"/>
      <c r="H154" s="880"/>
      <c r="I154" s="880"/>
      <c r="J154" s="363"/>
      <c r="K154" s="363"/>
      <c r="L154" s="363"/>
      <c r="M154" s="880"/>
      <c r="N154" s="1908"/>
      <c r="O154" s="2541"/>
      <c r="P154" s="880"/>
      <c r="Q154" s="880"/>
      <c r="R154" s="819"/>
      <c r="S154" s="881"/>
      <c r="T154" s="1840"/>
      <c r="U154" s="880"/>
      <c r="V154" s="363"/>
      <c r="W154" s="363"/>
      <c r="X154" s="363"/>
      <c r="Y154" s="363"/>
      <c r="Z154" s="363"/>
      <c r="AA154" s="363"/>
      <c r="AB154" s="363"/>
      <c r="AC154" s="363"/>
      <c r="AD154" s="363"/>
      <c r="AE154" s="363"/>
      <c r="AF154" s="363"/>
      <c r="AG154" s="363"/>
      <c r="AH154" s="363"/>
      <c r="AI154" s="363"/>
      <c r="AJ154" s="363"/>
    </row>
    <row r="155" spans="1:36" x14ac:dyDescent="0.2">
      <c r="A155" s="363"/>
      <c r="B155" s="363"/>
      <c r="C155" s="363"/>
      <c r="D155" s="363"/>
      <c r="E155" s="363"/>
      <c r="F155" s="1840"/>
      <c r="G155" s="363"/>
      <c r="H155" s="880"/>
      <c r="I155" s="880"/>
      <c r="J155" s="363"/>
      <c r="K155" s="363"/>
      <c r="L155" s="363"/>
      <c r="M155" s="880"/>
      <c r="N155" s="1908"/>
      <c r="O155" s="2541"/>
      <c r="P155" s="880"/>
      <c r="Q155" s="880"/>
      <c r="R155" s="819"/>
      <c r="S155" s="881"/>
      <c r="T155" s="1840"/>
      <c r="U155" s="880"/>
      <c r="V155" s="363"/>
      <c r="W155" s="363"/>
      <c r="X155" s="363"/>
      <c r="Y155" s="363"/>
      <c r="Z155" s="363"/>
      <c r="AA155" s="363"/>
      <c r="AB155" s="363"/>
      <c r="AC155" s="363"/>
      <c r="AD155" s="363"/>
      <c r="AE155" s="363"/>
      <c r="AF155" s="363"/>
      <c r="AG155" s="363"/>
      <c r="AH155" s="363"/>
      <c r="AI155" s="363"/>
      <c r="AJ155" s="363"/>
    </row>
    <row r="156" spans="1:36" x14ac:dyDescent="0.2">
      <c r="A156" s="363"/>
      <c r="B156" s="363"/>
      <c r="C156" s="363"/>
      <c r="D156" s="363"/>
      <c r="E156" s="363"/>
      <c r="F156" s="1840"/>
      <c r="G156" s="363"/>
      <c r="H156" s="880"/>
      <c r="I156" s="880"/>
      <c r="J156" s="363"/>
      <c r="K156" s="363"/>
      <c r="L156" s="363"/>
      <c r="M156" s="880"/>
      <c r="N156" s="1908"/>
      <c r="O156" s="2541"/>
      <c r="P156" s="880"/>
      <c r="Q156" s="880"/>
      <c r="R156" s="819"/>
      <c r="S156" s="881"/>
      <c r="T156" s="1840"/>
      <c r="U156" s="880"/>
      <c r="V156" s="363"/>
      <c r="W156" s="363"/>
      <c r="X156" s="363"/>
      <c r="Y156" s="363"/>
      <c r="Z156" s="363"/>
      <c r="AA156" s="363"/>
      <c r="AB156" s="363"/>
      <c r="AC156" s="363"/>
      <c r="AD156" s="363"/>
      <c r="AE156" s="363"/>
      <c r="AF156" s="363"/>
      <c r="AG156" s="363"/>
      <c r="AH156" s="363"/>
      <c r="AI156" s="363"/>
      <c r="AJ156" s="363"/>
    </row>
    <row r="157" spans="1:36" x14ac:dyDescent="0.2">
      <c r="A157" s="363"/>
      <c r="B157" s="363"/>
      <c r="C157" s="363"/>
      <c r="D157" s="363"/>
      <c r="E157" s="363"/>
      <c r="F157" s="1840"/>
      <c r="G157" s="363"/>
      <c r="H157" s="880"/>
      <c r="I157" s="880"/>
      <c r="J157" s="363"/>
      <c r="K157" s="363"/>
      <c r="L157" s="363"/>
      <c r="M157" s="880"/>
      <c r="N157" s="1908"/>
      <c r="O157" s="2541"/>
      <c r="P157" s="880"/>
      <c r="Q157" s="880"/>
    </row>
    <row r="158" spans="1:36" x14ac:dyDescent="0.2">
      <c r="A158" s="363"/>
      <c r="B158" s="363"/>
      <c r="C158" s="363"/>
      <c r="D158" s="363"/>
      <c r="E158" s="363"/>
      <c r="F158" s="1840"/>
      <c r="G158" s="363"/>
      <c r="H158" s="880"/>
      <c r="I158" s="880"/>
      <c r="J158" s="363"/>
      <c r="K158" s="363"/>
      <c r="L158" s="363"/>
      <c r="M158" s="880"/>
      <c r="N158" s="1908"/>
      <c r="O158" s="2541"/>
      <c r="P158" s="880"/>
      <c r="Q158" s="880"/>
    </row>
  </sheetData>
  <sheetProtection password="A60F" sheet="1" objects="1" scenarios="1"/>
  <mergeCells count="473">
    <mergeCell ref="AJ123:AJ134"/>
    <mergeCell ref="AK123:AK134"/>
    <mergeCell ref="AL123:AL134"/>
    <mergeCell ref="AM123:AM134"/>
    <mergeCell ref="AN123:AN134"/>
    <mergeCell ref="A135:N135"/>
    <mergeCell ref="G131:G132"/>
    <mergeCell ref="H131:H132"/>
    <mergeCell ref="R131:R132"/>
    <mergeCell ref="G133:G134"/>
    <mergeCell ref="H133:H134"/>
    <mergeCell ref="R133:R134"/>
    <mergeCell ref="I131:I132"/>
    <mergeCell ref="J131:J132"/>
    <mergeCell ref="I133:I134"/>
    <mergeCell ref="J133:J134"/>
    <mergeCell ref="K131:K134"/>
    <mergeCell ref="Q131:Q134"/>
    <mergeCell ref="K123:K129"/>
    <mergeCell ref="AC114:AC120"/>
    <mergeCell ref="AD114:AD120"/>
    <mergeCell ref="AE114:AE120"/>
    <mergeCell ref="AN114:AN120"/>
    <mergeCell ref="Q117:Q120"/>
    <mergeCell ref="C122:D134"/>
    <mergeCell ref="G123:G129"/>
    <mergeCell ref="H123:H129"/>
    <mergeCell ref="I123:I129"/>
    <mergeCell ref="J123:J129"/>
    <mergeCell ref="L123:L134"/>
    <mergeCell ref="M123:M134"/>
    <mergeCell ref="N123:N129"/>
    <mergeCell ref="O123:O134"/>
    <mergeCell ref="P123:P134"/>
    <mergeCell ref="Q123:Q130"/>
    <mergeCell ref="V123:V134"/>
    <mergeCell ref="W123:W134"/>
    <mergeCell ref="X123:X134"/>
    <mergeCell ref="Y123:Y134"/>
    <mergeCell ref="Z123:Z134"/>
    <mergeCell ref="AA123:AA134"/>
    <mergeCell ref="AB123:AB134"/>
    <mergeCell ref="AC123:AC134"/>
    <mergeCell ref="AC109:AC112"/>
    <mergeCell ref="AD109:AD112"/>
    <mergeCell ref="AE109:AE112"/>
    <mergeCell ref="AE105:AE107"/>
    <mergeCell ref="AF105:AF107"/>
    <mergeCell ref="AN109:AN112"/>
    <mergeCell ref="Q111:Q112"/>
    <mergeCell ref="G114:G120"/>
    <mergeCell ref="H114:H120"/>
    <mergeCell ref="I114:I120"/>
    <mergeCell ref="J114:J120"/>
    <mergeCell ref="L114:L120"/>
    <mergeCell ref="M114:M120"/>
    <mergeCell ref="N114:N120"/>
    <mergeCell ref="O114:O120"/>
    <mergeCell ref="P114:P120"/>
    <mergeCell ref="Q114:Q116"/>
    <mergeCell ref="V114:V120"/>
    <mergeCell ref="W114:W120"/>
    <mergeCell ref="X114:X120"/>
    <mergeCell ref="Y114:Y120"/>
    <mergeCell ref="Z114:Z120"/>
    <mergeCell ref="AA114:AA120"/>
    <mergeCell ref="AB114:AB120"/>
    <mergeCell ref="P109:P112"/>
    <mergeCell ref="Q109:Q110"/>
    <mergeCell ref="V109:V112"/>
    <mergeCell ref="W109:W112"/>
    <mergeCell ref="X109:X112"/>
    <mergeCell ref="Y109:Y112"/>
    <mergeCell ref="Z109:Z112"/>
    <mergeCell ref="AA109:AA112"/>
    <mergeCell ref="AB109:AB112"/>
    <mergeCell ref="G109:G112"/>
    <mergeCell ref="H109:H112"/>
    <mergeCell ref="I109:I112"/>
    <mergeCell ref="J109:J112"/>
    <mergeCell ref="K109:K112"/>
    <mergeCell ref="L109:L112"/>
    <mergeCell ref="M109:M112"/>
    <mergeCell ref="N109:N112"/>
    <mergeCell ref="O109:O112"/>
    <mergeCell ref="AM105:AM107"/>
    <mergeCell ref="AL102:AL103"/>
    <mergeCell ref="AM102:AM103"/>
    <mergeCell ref="AG102:AG103"/>
    <mergeCell ref="AH102:AH103"/>
    <mergeCell ref="AI102:AI103"/>
    <mergeCell ref="AJ102:AJ103"/>
    <mergeCell ref="AK102:AK103"/>
    <mergeCell ref="AN105:AN107"/>
    <mergeCell ref="AN102:AN103"/>
    <mergeCell ref="G105:G107"/>
    <mergeCell ref="H105:H107"/>
    <mergeCell ref="I105:I107"/>
    <mergeCell ref="J105:J107"/>
    <mergeCell ref="K105:K107"/>
    <mergeCell ref="L105:L107"/>
    <mergeCell ref="M105:M107"/>
    <mergeCell ref="N105:N107"/>
    <mergeCell ref="O105:O107"/>
    <mergeCell ref="P105:P107"/>
    <mergeCell ref="Q105:Q106"/>
    <mergeCell ref="V105:W107"/>
    <mergeCell ref="X105:X107"/>
    <mergeCell ref="Y105:Y107"/>
    <mergeCell ref="Z105:Z107"/>
    <mergeCell ref="AA105:AA107"/>
    <mergeCell ref="AB105:AB107"/>
    <mergeCell ref="AC105:AC107"/>
    <mergeCell ref="AD105:AD107"/>
    <mergeCell ref="AC102:AC103"/>
    <mergeCell ref="AD102:AD103"/>
    <mergeCell ref="AE102:AE103"/>
    <mergeCell ref="AF102:AF103"/>
    <mergeCell ref="AE99:AE101"/>
    <mergeCell ref="AF99:AF101"/>
    <mergeCell ref="AI99:AI101"/>
    <mergeCell ref="AJ99:AJ101"/>
    <mergeCell ref="AM99:AM101"/>
    <mergeCell ref="AN99:AN101"/>
    <mergeCell ref="G102:G103"/>
    <mergeCell ref="H102:H103"/>
    <mergeCell ref="I102:I103"/>
    <mergeCell ref="J102:J103"/>
    <mergeCell ref="K102:K103"/>
    <mergeCell ref="L102:L103"/>
    <mergeCell ref="M102:M103"/>
    <mergeCell ref="N102:N103"/>
    <mergeCell ref="O102:O103"/>
    <mergeCell ref="P102:P103"/>
    <mergeCell ref="V102:W103"/>
    <mergeCell ref="X102:X103"/>
    <mergeCell ref="Y102:Y103"/>
    <mergeCell ref="Z102:Z103"/>
    <mergeCell ref="AA102:AA103"/>
    <mergeCell ref="AB102:AB103"/>
    <mergeCell ref="AB94:AB97"/>
    <mergeCell ref="P77:P93"/>
    <mergeCell ref="Q77:Q87"/>
    <mergeCell ref="V77:W93"/>
    <mergeCell ref="AN94:AN97"/>
    <mergeCell ref="G99:G101"/>
    <mergeCell ref="H99:H101"/>
    <mergeCell ref="I99:I101"/>
    <mergeCell ref="J99:J101"/>
    <mergeCell ref="K99:K101"/>
    <mergeCell ref="L99:L101"/>
    <mergeCell ref="M99:M101"/>
    <mergeCell ref="N99:N101"/>
    <mergeCell ref="O99:O101"/>
    <mergeCell ref="P99:P101"/>
    <mergeCell ref="Q99:Q100"/>
    <mergeCell ref="V99:W101"/>
    <mergeCell ref="X99:X101"/>
    <mergeCell ref="Y99:Y101"/>
    <mergeCell ref="Z99:Z101"/>
    <mergeCell ref="AA99:AA101"/>
    <mergeCell ref="AB99:AB101"/>
    <mergeCell ref="AC99:AC101"/>
    <mergeCell ref="AD99:AD101"/>
    <mergeCell ref="O94:O97"/>
    <mergeCell ref="P94:P97"/>
    <mergeCell ref="Q94:Q97"/>
    <mergeCell ref="V94:V97"/>
    <mergeCell ref="W94:W97"/>
    <mergeCell ref="X94:X97"/>
    <mergeCell ref="Y94:Y97"/>
    <mergeCell ref="Z94:Z97"/>
    <mergeCell ref="AA94:AA97"/>
    <mergeCell ref="AL58:AL74"/>
    <mergeCell ref="AM58:AM74"/>
    <mergeCell ref="AN58:AN74"/>
    <mergeCell ref="Q62:Q74"/>
    <mergeCell ref="X77:X93"/>
    <mergeCell ref="Y77:Y93"/>
    <mergeCell ref="Z77:Z93"/>
    <mergeCell ref="AA77:AA93"/>
    <mergeCell ref="G77:G93"/>
    <mergeCell ref="H77:H93"/>
    <mergeCell ref="I77:I93"/>
    <mergeCell ref="J77:J93"/>
    <mergeCell ref="K77:K93"/>
    <mergeCell ref="L77:L93"/>
    <mergeCell ref="M77:M93"/>
    <mergeCell ref="N77:N93"/>
    <mergeCell ref="O77:O93"/>
    <mergeCell ref="AB77:AB93"/>
    <mergeCell ref="AC77:AC93"/>
    <mergeCell ref="Q88:Q93"/>
    <mergeCell ref="AF77:AF93"/>
    <mergeCell ref="AG77:AG93"/>
    <mergeCell ref="AH77:AH93"/>
    <mergeCell ref="AI77:AI93"/>
    <mergeCell ref="AL45:AL56"/>
    <mergeCell ref="AM45:AM56"/>
    <mergeCell ref="AN45:AN56"/>
    <mergeCell ref="G51:G53"/>
    <mergeCell ref="H51:H53"/>
    <mergeCell ref="I51:I53"/>
    <mergeCell ref="J51:J53"/>
    <mergeCell ref="N51:N53"/>
    <mergeCell ref="Q51:Q53"/>
    <mergeCell ref="G54:G56"/>
    <mergeCell ref="H54:H56"/>
    <mergeCell ref="I54:I56"/>
    <mergeCell ref="J54:J56"/>
    <mergeCell ref="N54:N56"/>
    <mergeCell ref="Q54:Q56"/>
    <mergeCell ref="V45:V56"/>
    <mergeCell ref="W45:W56"/>
    <mergeCell ref="X45:X56"/>
    <mergeCell ref="Y45:Y56"/>
    <mergeCell ref="Z45:Z56"/>
    <mergeCell ref="AB45:AB56"/>
    <mergeCell ref="AC45:AC56"/>
    <mergeCell ref="AD45:AD56"/>
    <mergeCell ref="G38:G40"/>
    <mergeCell ref="H38:H40"/>
    <mergeCell ref="I38:I40"/>
    <mergeCell ref="J38:J40"/>
    <mergeCell ref="N38:N40"/>
    <mergeCell ref="Q38:Q40"/>
    <mergeCell ref="G45:G50"/>
    <mergeCell ref="H45:H50"/>
    <mergeCell ref="I45:I50"/>
    <mergeCell ref="J45:J50"/>
    <mergeCell ref="K45:K56"/>
    <mergeCell ref="L45:L56"/>
    <mergeCell ref="M45:M56"/>
    <mergeCell ref="N45:N50"/>
    <mergeCell ref="O45:O56"/>
    <mergeCell ref="P45:P56"/>
    <mergeCell ref="Q45:Q50"/>
    <mergeCell ref="AL23:AL29"/>
    <mergeCell ref="AM23:AM29"/>
    <mergeCell ref="AN23:AN29"/>
    <mergeCell ref="Q28:Q29"/>
    <mergeCell ref="G31:G37"/>
    <mergeCell ref="H31:H37"/>
    <mergeCell ref="I31:I37"/>
    <mergeCell ref="J31:J37"/>
    <mergeCell ref="K31:K43"/>
    <mergeCell ref="L31:L43"/>
    <mergeCell ref="M31:M43"/>
    <mergeCell ref="N31:N37"/>
    <mergeCell ref="O31:O43"/>
    <mergeCell ref="P31:P43"/>
    <mergeCell ref="Q31:Q37"/>
    <mergeCell ref="V31:V43"/>
    <mergeCell ref="W31:W43"/>
    <mergeCell ref="X31:X43"/>
    <mergeCell ref="Y31:Y43"/>
    <mergeCell ref="Z31:Z43"/>
    <mergeCell ref="G41:G43"/>
    <mergeCell ref="H41:H43"/>
    <mergeCell ref="N41:N43"/>
    <mergeCell ref="Q41:Q43"/>
    <mergeCell ref="AN13:AN20"/>
    <mergeCell ref="G17:G20"/>
    <mergeCell ref="H17:H20"/>
    <mergeCell ref="I17:I20"/>
    <mergeCell ref="J17:J20"/>
    <mergeCell ref="N17:N20"/>
    <mergeCell ref="Q17:Q20"/>
    <mergeCell ref="AB13:AB20"/>
    <mergeCell ref="AC13:AC20"/>
    <mergeCell ref="AD13:AD20"/>
    <mergeCell ref="AE13:AE20"/>
    <mergeCell ref="AF13:AF20"/>
    <mergeCell ref="AG13:AG20"/>
    <mergeCell ref="AH13:AH20"/>
    <mergeCell ref="AI13:AI20"/>
    <mergeCell ref="AJ13:AJ20"/>
    <mergeCell ref="AN7:AN9"/>
    <mergeCell ref="E13:F20"/>
    <mergeCell ref="G13:G16"/>
    <mergeCell ref="H13:H16"/>
    <mergeCell ref="I13:I16"/>
    <mergeCell ref="J13:J16"/>
    <mergeCell ref="K13:K20"/>
    <mergeCell ref="L13:L20"/>
    <mergeCell ref="M13:M20"/>
    <mergeCell ref="N13:N16"/>
    <mergeCell ref="O13:O20"/>
    <mergeCell ref="P13:P20"/>
    <mergeCell ref="Q13:Q16"/>
    <mergeCell ref="V13:V20"/>
    <mergeCell ref="W13:W20"/>
    <mergeCell ref="X13:X20"/>
    <mergeCell ref="Y13:Y20"/>
    <mergeCell ref="Z13:Z20"/>
    <mergeCell ref="AA13:AA20"/>
    <mergeCell ref="F7:F9"/>
    <mergeCell ref="G7:G9"/>
    <mergeCell ref="AK13:AK20"/>
    <mergeCell ref="AL13:AL20"/>
    <mergeCell ref="AM13:AM20"/>
    <mergeCell ref="K7:K9"/>
    <mergeCell ref="L7:L9"/>
    <mergeCell ref="M7:M9"/>
    <mergeCell ref="N7:N9"/>
    <mergeCell ref="A139:I139"/>
    <mergeCell ref="A140:I140"/>
    <mergeCell ref="AH7:AJ8"/>
    <mergeCell ref="AL7:AL9"/>
    <mergeCell ref="AM7:AM9"/>
    <mergeCell ref="G23:G29"/>
    <mergeCell ref="H23:H29"/>
    <mergeCell ref="I23:I29"/>
    <mergeCell ref="J23:J29"/>
    <mergeCell ref="K23:K29"/>
    <mergeCell ref="L23:L29"/>
    <mergeCell ref="M23:M29"/>
    <mergeCell ref="N23:N29"/>
    <mergeCell ref="O23:O29"/>
    <mergeCell ref="AA23:AA29"/>
    <mergeCell ref="AB23:AB29"/>
    <mergeCell ref="AC23:AC29"/>
    <mergeCell ref="AD23:AD29"/>
    <mergeCell ref="AE23:AE29"/>
    <mergeCell ref="AF23:AF29"/>
    <mergeCell ref="AM94:AM97"/>
    <mergeCell ref="AG99:AG101"/>
    <mergeCell ref="AH99:AH101"/>
    <mergeCell ref="A143:I143"/>
    <mergeCell ref="AD123:AD134"/>
    <mergeCell ref="AE123:AE134"/>
    <mergeCell ref="AF123:AF134"/>
    <mergeCell ref="AG123:AG134"/>
    <mergeCell ref="AH123:AH134"/>
    <mergeCell ref="AI123:AI134"/>
    <mergeCell ref="AF114:AF120"/>
    <mergeCell ref="AG114:AG120"/>
    <mergeCell ref="AH114:AH120"/>
    <mergeCell ref="AI114:AI120"/>
    <mergeCell ref="N131:N132"/>
    <mergeCell ref="N133:N134"/>
    <mergeCell ref="G94:G97"/>
    <mergeCell ref="H94:H97"/>
    <mergeCell ref="I94:I97"/>
    <mergeCell ref="J94:J97"/>
    <mergeCell ref="K94:K97"/>
    <mergeCell ref="L94:L97"/>
    <mergeCell ref="M94:M97"/>
    <mergeCell ref="N94:N97"/>
    <mergeCell ref="AM114:AM120"/>
    <mergeCell ref="AF109:AF112"/>
    <mergeCell ref="AG109:AG112"/>
    <mergeCell ref="AH109:AH112"/>
    <mergeCell ref="AI109:AI112"/>
    <mergeCell ref="AJ109:AJ112"/>
    <mergeCell ref="AK109:AK112"/>
    <mergeCell ref="AL109:AL112"/>
    <mergeCell ref="AM109:AM112"/>
    <mergeCell ref="AJ77:AJ93"/>
    <mergeCell ref="AK77:AK93"/>
    <mergeCell ref="AL77:AL93"/>
    <mergeCell ref="AJ114:AJ120"/>
    <mergeCell ref="AK114:AK120"/>
    <mergeCell ref="AL114:AL120"/>
    <mergeCell ref="AG94:AG97"/>
    <mergeCell ref="AH94:AH97"/>
    <mergeCell ref="AI94:AI97"/>
    <mergeCell ref="AJ94:AJ97"/>
    <mergeCell ref="AK94:AK97"/>
    <mergeCell ref="AL94:AL97"/>
    <mergeCell ref="AG105:AG107"/>
    <mergeCell ref="AH105:AH107"/>
    <mergeCell ref="AI105:AI107"/>
    <mergeCell ref="AJ105:AJ107"/>
    <mergeCell ref="AK105:AK107"/>
    <mergeCell ref="AL105:AL107"/>
    <mergeCell ref="AK99:AK101"/>
    <mergeCell ref="AL99:AL101"/>
    <mergeCell ref="G58:G74"/>
    <mergeCell ref="H58:H74"/>
    <mergeCell ref="I58:I74"/>
    <mergeCell ref="J58:J74"/>
    <mergeCell ref="K58:K74"/>
    <mergeCell ref="L58:L74"/>
    <mergeCell ref="AM77:AM93"/>
    <mergeCell ref="AN77:AN93"/>
    <mergeCell ref="AC94:AC97"/>
    <mergeCell ref="AD94:AD97"/>
    <mergeCell ref="AE94:AE97"/>
    <mergeCell ref="AF94:AF97"/>
    <mergeCell ref="M58:M74"/>
    <mergeCell ref="N58:N74"/>
    <mergeCell ref="O58:O74"/>
    <mergeCell ref="P58:P74"/>
    <mergeCell ref="Q58:Q61"/>
    <mergeCell ref="V58:V74"/>
    <mergeCell ref="W58:W74"/>
    <mergeCell ref="X58:X74"/>
    <mergeCell ref="Y58:Y74"/>
    <mergeCell ref="Z58:Z74"/>
    <mergeCell ref="AD77:AD93"/>
    <mergeCell ref="AE77:AE93"/>
    <mergeCell ref="AK31:AK43"/>
    <mergeCell ref="AG23:AG29"/>
    <mergeCell ref="AE45:AE56"/>
    <mergeCell ref="AF45:AF56"/>
    <mergeCell ref="AA58:AA74"/>
    <mergeCell ref="AB58:AB74"/>
    <mergeCell ref="AC58:AC74"/>
    <mergeCell ref="AD58:AD74"/>
    <mergeCell ref="AE58:AE74"/>
    <mergeCell ref="AF58:AF74"/>
    <mergeCell ref="AJ23:AJ29"/>
    <mergeCell ref="AK23:AK29"/>
    <mergeCell ref="AG45:AG56"/>
    <mergeCell ref="AH45:AH56"/>
    <mergeCell ref="AI45:AI56"/>
    <mergeCell ref="AJ45:AJ56"/>
    <mergeCell ref="AA45:AA56"/>
    <mergeCell ref="AK45:AK56"/>
    <mergeCell ref="AG58:AG74"/>
    <mergeCell ref="AH58:AH74"/>
    <mergeCell ref="AI58:AI74"/>
    <mergeCell ref="AJ58:AJ74"/>
    <mergeCell ref="AK58:AK74"/>
    <mergeCell ref="S7:S8"/>
    <mergeCell ref="H7:H9"/>
    <mergeCell ref="I41:I43"/>
    <mergeCell ref="J41:J43"/>
    <mergeCell ref="AL31:AL43"/>
    <mergeCell ref="AM31:AM43"/>
    <mergeCell ref="AN31:AN43"/>
    <mergeCell ref="AA31:AA43"/>
    <mergeCell ref="AB31:AB43"/>
    <mergeCell ref="P23:P29"/>
    <mergeCell ref="Q23:Q27"/>
    <mergeCell ref="V23:V29"/>
    <mergeCell ref="W23:W29"/>
    <mergeCell ref="X23:X29"/>
    <mergeCell ref="Y23:Y29"/>
    <mergeCell ref="Z23:Z29"/>
    <mergeCell ref="AC31:AC43"/>
    <mergeCell ref="AD31:AD43"/>
    <mergeCell ref="AE31:AE43"/>
    <mergeCell ref="AF31:AF43"/>
    <mergeCell ref="AG31:AG43"/>
    <mergeCell ref="AH31:AH43"/>
    <mergeCell ref="AI31:AI43"/>
    <mergeCell ref="AJ31:AJ43"/>
    <mergeCell ref="I7:I9"/>
    <mergeCell ref="J7:J9"/>
    <mergeCell ref="AH23:AH29"/>
    <mergeCell ref="AI23:AI29"/>
    <mergeCell ref="A1:AL4"/>
    <mergeCell ref="A5:J6"/>
    <mergeCell ref="M5:AN5"/>
    <mergeCell ref="M6:U6"/>
    <mergeCell ref="V6:AK6"/>
    <mergeCell ref="AL6:AN6"/>
    <mergeCell ref="A7:A9"/>
    <mergeCell ref="B7:B9"/>
    <mergeCell ref="C7:C9"/>
    <mergeCell ref="D7:D9"/>
    <mergeCell ref="E7:E9"/>
    <mergeCell ref="O7:O9"/>
    <mergeCell ref="P7:P9"/>
    <mergeCell ref="Q7:Q9"/>
    <mergeCell ref="R7:R9"/>
    <mergeCell ref="T7:T9"/>
    <mergeCell ref="U7:U9"/>
    <mergeCell ref="V7:W8"/>
    <mergeCell ref="X7:AA8"/>
    <mergeCell ref="AB7:AG8"/>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
  <sheetViews>
    <sheetView showGridLines="0" zoomScale="60" zoomScaleNormal="60" workbookViewId="0">
      <selection activeCell="E11" sqref="E11:F15"/>
    </sheetView>
  </sheetViews>
  <sheetFormatPr baseColWidth="10" defaultColWidth="11.42578125" defaultRowHeight="14.25" x14ac:dyDescent="0.2"/>
  <cols>
    <col min="1" max="1" width="21.140625" style="2079" customWidth="1"/>
    <col min="2" max="3" width="11.85546875" style="2079" customWidth="1"/>
    <col min="4" max="4" width="19.42578125" style="2079" customWidth="1"/>
    <col min="5" max="6" width="11.85546875" style="2079" customWidth="1"/>
    <col min="7" max="7" width="21.5703125" style="2079" customWidth="1"/>
    <col min="8" max="9" width="11.85546875" style="2079" customWidth="1"/>
    <col min="10" max="10" width="22" style="2079" customWidth="1"/>
    <col min="11" max="11" width="33" style="2079" customWidth="1"/>
    <col min="12" max="12" width="20.5703125" style="2079" customWidth="1"/>
    <col min="13" max="13" width="25.28515625" style="2079" customWidth="1"/>
    <col min="14" max="14" width="43.42578125" style="2079" customWidth="1"/>
    <col min="15" max="15" width="21.7109375" style="2079" customWidth="1"/>
    <col min="16" max="16" width="35.85546875" style="2079" customWidth="1"/>
    <col min="17" max="17" width="24.140625" style="2079" customWidth="1"/>
    <col min="18" max="18" width="23.28515625" style="2079" customWidth="1"/>
    <col min="19" max="19" width="29.140625" style="2079" customWidth="1"/>
    <col min="20" max="20" width="26.5703125" style="2079" customWidth="1"/>
    <col min="21" max="21" width="43.85546875" style="2079" customWidth="1"/>
    <col min="22" max="22" width="23.85546875" style="2079" customWidth="1"/>
    <col min="23" max="23" width="19" style="2079" customWidth="1"/>
    <col min="24" max="24" width="26.5703125" style="2079" customWidth="1"/>
    <col min="25" max="40" width="10.7109375" style="2079" customWidth="1"/>
    <col min="41" max="41" width="28" style="2079" customWidth="1"/>
    <col min="42" max="42" width="22.5703125" style="2079" customWidth="1"/>
    <col min="43" max="43" width="37.5703125" style="2079" customWidth="1"/>
    <col min="44" max="56" width="14.85546875" style="2079" customWidth="1"/>
    <col min="57" max="16384" width="11.42578125" style="2079"/>
  </cols>
  <sheetData>
    <row r="1" spans="1:43" ht="30" customHeight="1" x14ac:dyDescent="0.2">
      <c r="A1" s="4059" t="s">
        <v>2543</v>
      </c>
      <c r="B1" s="4060"/>
      <c r="C1" s="4060"/>
      <c r="D1" s="4060"/>
      <c r="E1" s="4060"/>
      <c r="F1" s="4060"/>
      <c r="G1" s="4060"/>
      <c r="H1" s="4060"/>
      <c r="I1" s="4060"/>
      <c r="J1" s="4060"/>
      <c r="K1" s="4060"/>
      <c r="L1" s="4060"/>
      <c r="M1" s="4060"/>
      <c r="N1" s="4060"/>
      <c r="O1" s="4060"/>
      <c r="P1" s="4060"/>
      <c r="Q1" s="4060"/>
      <c r="R1" s="4060"/>
      <c r="S1" s="4060"/>
      <c r="T1" s="4060"/>
      <c r="U1" s="4060"/>
      <c r="V1" s="4060"/>
      <c r="W1" s="4060"/>
      <c r="X1" s="4060"/>
      <c r="Y1" s="4060"/>
      <c r="Z1" s="4060"/>
      <c r="AA1" s="4060"/>
      <c r="AB1" s="4060"/>
      <c r="AC1" s="4060"/>
      <c r="AD1" s="4060"/>
      <c r="AE1" s="4060"/>
      <c r="AF1" s="4060"/>
      <c r="AG1" s="4060"/>
      <c r="AH1" s="4060"/>
      <c r="AI1" s="4060"/>
      <c r="AJ1" s="4060"/>
      <c r="AK1" s="4060"/>
      <c r="AL1" s="4060"/>
      <c r="AM1" s="4060"/>
      <c r="AN1" s="4060"/>
      <c r="AO1" s="4060"/>
      <c r="AP1" s="2113" t="s">
        <v>0</v>
      </c>
      <c r="AQ1" s="2114" t="s">
        <v>1</v>
      </c>
    </row>
    <row r="2" spans="1:43" ht="30" customHeight="1" x14ac:dyDescent="0.2">
      <c r="A2" s="4059"/>
      <c r="B2" s="4060"/>
      <c r="C2" s="4060"/>
      <c r="D2" s="4060"/>
      <c r="E2" s="4060"/>
      <c r="F2" s="4060"/>
      <c r="G2" s="4060"/>
      <c r="H2" s="4060"/>
      <c r="I2" s="4060"/>
      <c r="J2" s="4060"/>
      <c r="K2" s="4060"/>
      <c r="L2" s="4060"/>
      <c r="M2" s="4060"/>
      <c r="N2" s="4060"/>
      <c r="O2" s="4060"/>
      <c r="P2" s="4060"/>
      <c r="Q2" s="4060"/>
      <c r="R2" s="4060"/>
      <c r="S2" s="4060"/>
      <c r="T2" s="4060"/>
      <c r="U2" s="4060"/>
      <c r="V2" s="4060"/>
      <c r="W2" s="4060"/>
      <c r="X2" s="4060"/>
      <c r="Y2" s="4060"/>
      <c r="Z2" s="4060"/>
      <c r="AA2" s="4060"/>
      <c r="AB2" s="4060"/>
      <c r="AC2" s="4060"/>
      <c r="AD2" s="4060"/>
      <c r="AE2" s="4060"/>
      <c r="AF2" s="4060"/>
      <c r="AG2" s="4060"/>
      <c r="AH2" s="4060"/>
      <c r="AI2" s="4060"/>
      <c r="AJ2" s="4060"/>
      <c r="AK2" s="4060"/>
      <c r="AL2" s="4060"/>
      <c r="AM2" s="4060"/>
      <c r="AN2" s="4060"/>
      <c r="AO2" s="4060"/>
      <c r="AP2" s="2115" t="s">
        <v>2</v>
      </c>
      <c r="AQ2" s="2116">
        <v>6</v>
      </c>
    </row>
    <row r="3" spans="1:43" ht="30" customHeight="1" x14ac:dyDescent="0.2">
      <c r="A3" s="4059"/>
      <c r="B3" s="4060"/>
      <c r="C3" s="4060"/>
      <c r="D3" s="4060"/>
      <c r="E3" s="4060"/>
      <c r="F3" s="4060"/>
      <c r="G3" s="4060"/>
      <c r="H3" s="4060"/>
      <c r="I3" s="4060"/>
      <c r="J3" s="4060"/>
      <c r="K3" s="4060"/>
      <c r="L3" s="4060"/>
      <c r="M3" s="4060"/>
      <c r="N3" s="4060"/>
      <c r="O3" s="4060"/>
      <c r="P3" s="4060"/>
      <c r="Q3" s="4060"/>
      <c r="R3" s="4060"/>
      <c r="S3" s="4060"/>
      <c r="T3" s="4060"/>
      <c r="U3" s="4060"/>
      <c r="V3" s="4060"/>
      <c r="W3" s="4060"/>
      <c r="X3" s="4060"/>
      <c r="Y3" s="4060"/>
      <c r="Z3" s="4060"/>
      <c r="AA3" s="4060"/>
      <c r="AB3" s="4060"/>
      <c r="AC3" s="4060"/>
      <c r="AD3" s="4060"/>
      <c r="AE3" s="4060"/>
      <c r="AF3" s="4060"/>
      <c r="AG3" s="4060"/>
      <c r="AH3" s="4060"/>
      <c r="AI3" s="4060"/>
      <c r="AJ3" s="4060"/>
      <c r="AK3" s="4060"/>
      <c r="AL3" s="4060"/>
      <c r="AM3" s="4060"/>
      <c r="AN3" s="4060"/>
      <c r="AO3" s="4060"/>
      <c r="AP3" s="2080" t="s">
        <v>4</v>
      </c>
      <c r="AQ3" s="2117" t="s">
        <v>5</v>
      </c>
    </row>
    <row r="4" spans="1:43" s="2082" customFormat="1" ht="30" customHeight="1" x14ac:dyDescent="0.2">
      <c r="A4" s="4061"/>
      <c r="B4" s="4062"/>
      <c r="C4" s="4062"/>
      <c r="D4" s="4062"/>
      <c r="E4" s="4062"/>
      <c r="F4" s="4062"/>
      <c r="G4" s="4062"/>
      <c r="H4" s="4062"/>
      <c r="I4" s="4062"/>
      <c r="J4" s="4062"/>
      <c r="K4" s="4062"/>
      <c r="L4" s="4062"/>
      <c r="M4" s="4062"/>
      <c r="N4" s="4062"/>
      <c r="O4" s="4062"/>
      <c r="P4" s="4062"/>
      <c r="Q4" s="4062"/>
      <c r="R4" s="4062"/>
      <c r="S4" s="4062"/>
      <c r="T4" s="4062"/>
      <c r="U4" s="4062"/>
      <c r="V4" s="4062"/>
      <c r="W4" s="4062"/>
      <c r="X4" s="4062"/>
      <c r="Y4" s="4062"/>
      <c r="Z4" s="4062"/>
      <c r="AA4" s="4062"/>
      <c r="AB4" s="4062"/>
      <c r="AC4" s="4062"/>
      <c r="AD4" s="4062"/>
      <c r="AE4" s="4062"/>
      <c r="AF4" s="4062"/>
      <c r="AG4" s="4062"/>
      <c r="AH4" s="4062"/>
      <c r="AI4" s="4062"/>
      <c r="AJ4" s="4062"/>
      <c r="AK4" s="4062"/>
      <c r="AL4" s="4062"/>
      <c r="AM4" s="4062"/>
      <c r="AN4" s="4062"/>
      <c r="AO4" s="4062"/>
      <c r="AP4" s="2080" t="s">
        <v>6</v>
      </c>
      <c r="AQ4" s="2081" t="s">
        <v>162</v>
      </c>
    </row>
    <row r="5" spans="1:43" ht="50.25" customHeight="1" x14ac:dyDescent="0.2">
      <c r="A5" s="4063" t="s">
        <v>8</v>
      </c>
      <c r="B5" s="4064"/>
      <c r="C5" s="4064"/>
      <c r="D5" s="4064"/>
      <c r="E5" s="4064"/>
      <c r="F5" s="4064"/>
      <c r="G5" s="4064"/>
      <c r="H5" s="4064"/>
      <c r="I5" s="4064"/>
      <c r="J5" s="4064"/>
      <c r="K5" s="4064"/>
      <c r="L5" s="4064"/>
      <c r="M5" s="4064"/>
      <c r="N5" s="1965"/>
      <c r="O5" s="1965"/>
      <c r="P5" s="4067" t="s">
        <v>9</v>
      </c>
      <c r="Q5" s="4067"/>
      <c r="R5" s="4067"/>
      <c r="S5" s="4067"/>
      <c r="T5" s="4067"/>
      <c r="U5" s="4067"/>
      <c r="V5" s="4067"/>
      <c r="W5" s="4067"/>
      <c r="X5" s="4067"/>
      <c r="Y5" s="4067"/>
      <c r="Z5" s="4067"/>
      <c r="AA5" s="4067"/>
      <c r="AB5" s="4067"/>
      <c r="AC5" s="4067"/>
      <c r="AD5" s="4067"/>
      <c r="AE5" s="4067"/>
      <c r="AF5" s="4067"/>
      <c r="AG5" s="4067"/>
      <c r="AH5" s="4067"/>
      <c r="AI5" s="4067"/>
      <c r="AJ5" s="4067"/>
      <c r="AK5" s="4067"/>
      <c r="AL5" s="4067"/>
      <c r="AM5" s="4067"/>
      <c r="AN5" s="4067"/>
      <c r="AO5" s="4067"/>
      <c r="AP5" s="4067"/>
      <c r="AQ5" s="4068"/>
    </row>
    <row r="6" spans="1:43" ht="47.25" customHeight="1" x14ac:dyDescent="0.2">
      <c r="A6" s="4065"/>
      <c r="B6" s="4066"/>
      <c r="C6" s="4066"/>
      <c r="D6" s="4066"/>
      <c r="E6" s="4066"/>
      <c r="F6" s="4066"/>
      <c r="G6" s="4066"/>
      <c r="H6" s="4066"/>
      <c r="I6" s="4066"/>
      <c r="J6" s="4066"/>
      <c r="K6" s="4066"/>
      <c r="L6" s="4066"/>
      <c r="M6" s="4066"/>
      <c r="N6" s="1965"/>
      <c r="O6" s="2083"/>
      <c r="P6" s="4069"/>
      <c r="Q6" s="4070"/>
      <c r="R6" s="4070"/>
      <c r="S6" s="4070"/>
      <c r="T6" s="4070"/>
      <c r="U6" s="4070"/>
      <c r="V6" s="4070"/>
      <c r="W6" s="4070"/>
      <c r="X6" s="4071"/>
      <c r="Y6" s="628"/>
      <c r="Z6" s="628"/>
      <c r="AA6" s="628"/>
      <c r="AB6" s="628"/>
      <c r="AC6" s="628"/>
      <c r="AD6" s="628"/>
      <c r="AE6" s="628"/>
      <c r="AF6" s="628"/>
      <c r="AG6" s="628"/>
      <c r="AH6" s="628"/>
      <c r="AI6" s="628"/>
      <c r="AJ6" s="628"/>
      <c r="AK6" s="628"/>
      <c r="AL6" s="628"/>
      <c r="AM6" s="628"/>
      <c r="AN6" s="628"/>
      <c r="AO6" s="4069"/>
      <c r="AP6" s="4070"/>
      <c r="AQ6" s="4072"/>
    </row>
    <row r="7" spans="1:43" ht="15.75" customHeight="1" x14ac:dyDescent="0.2">
      <c r="A7" s="4057" t="s">
        <v>11</v>
      </c>
      <c r="B7" s="4058" t="s">
        <v>12</v>
      </c>
      <c r="C7" s="4058"/>
      <c r="D7" s="4058" t="s">
        <v>11</v>
      </c>
      <c r="E7" s="4058" t="s">
        <v>13</v>
      </c>
      <c r="F7" s="4058"/>
      <c r="G7" s="4058" t="s">
        <v>11</v>
      </c>
      <c r="H7" s="4058" t="s">
        <v>14</v>
      </c>
      <c r="I7" s="4058"/>
      <c r="J7" s="4058" t="s">
        <v>11</v>
      </c>
      <c r="K7" s="4058" t="s">
        <v>15</v>
      </c>
      <c r="L7" s="4058" t="s">
        <v>16</v>
      </c>
      <c r="M7" s="4073" t="s">
        <v>17</v>
      </c>
      <c r="N7" s="4058" t="s">
        <v>18</v>
      </c>
      <c r="O7" s="4075" t="s">
        <v>163</v>
      </c>
      <c r="P7" s="4058" t="s">
        <v>9</v>
      </c>
      <c r="Q7" s="4058" t="s">
        <v>20</v>
      </c>
      <c r="R7" s="4058" t="s">
        <v>21</v>
      </c>
      <c r="S7" s="4058" t="s">
        <v>22</v>
      </c>
      <c r="T7" s="4058" t="s">
        <v>23</v>
      </c>
      <c r="U7" s="4058" t="s">
        <v>24</v>
      </c>
      <c r="V7" s="4073" t="s">
        <v>21</v>
      </c>
      <c r="W7" s="4075" t="s">
        <v>11</v>
      </c>
      <c r="X7" s="4058" t="s">
        <v>25</v>
      </c>
      <c r="Y7" s="2942" t="s">
        <v>26</v>
      </c>
      <c r="Z7" s="2943"/>
      <c r="AA7" s="2944" t="s">
        <v>27</v>
      </c>
      <c r="AB7" s="2945"/>
      <c r="AC7" s="2945"/>
      <c r="AD7" s="2945"/>
      <c r="AE7" s="2946" t="s">
        <v>28</v>
      </c>
      <c r="AF7" s="2947"/>
      <c r="AG7" s="2947"/>
      <c r="AH7" s="2947"/>
      <c r="AI7" s="2947"/>
      <c r="AJ7" s="2947"/>
      <c r="AK7" s="2944" t="s">
        <v>29</v>
      </c>
      <c r="AL7" s="2945"/>
      <c r="AM7" s="2945"/>
      <c r="AN7" s="2988" t="s">
        <v>30</v>
      </c>
      <c r="AO7" s="4079" t="s">
        <v>31</v>
      </c>
      <c r="AP7" s="4079" t="s">
        <v>32</v>
      </c>
      <c r="AQ7" s="4077" t="s">
        <v>33</v>
      </c>
    </row>
    <row r="8" spans="1:43" ht="187.5" customHeight="1" x14ac:dyDescent="0.2">
      <c r="A8" s="4057"/>
      <c r="B8" s="4058"/>
      <c r="C8" s="4058"/>
      <c r="D8" s="4058"/>
      <c r="E8" s="4058"/>
      <c r="F8" s="4058"/>
      <c r="G8" s="4058"/>
      <c r="H8" s="4058"/>
      <c r="I8" s="4058"/>
      <c r="J8" s="4058"/>
      <c r="K8" s="4058"/>
      <c r="L8" s="4058"/>
      <c r="M8" s="4074"/>
      <c r="N8" s="4058"/>
      <c r="O8" s="4076"/>
      <c r="P8" s="4058"/>
      <c r="Q8" s="4058"/>
      <c r="R8" s="4058"/>
      <c r="S8" s="4058"/>
      <c r="T8" s="4058"/>
      <c r="U8" s="4058"/>
      <c r="V8" s="4078"/>
      <c r="W8" s="4076"/>
      <c r="X8" s="4058"/>
      <c r="Y8" s="2084" t="s">
        <v>34</v>
      </c>
      <c r="Z8" s="2085" t="s">
        <v>35</v>
      </c>
      <c r="AA8" s="400" t="s">
        <v>36</v>
      </c>
      <c r="AB8" s="2084" t="s">
        <v>121</v>
      </c>
      <c r="AC8" s="400" t="s">
        <v>38</v>
      </c>
      <c r="AD8" s="2084" t="s">
        <v>123</v>
      </c>
      <c r="AE8" s="2084" t="s">
        <v>40</v>
      </c>
      <c r="AF8" s="2084" t="s">
        <v>41</v>
      </c>
      <c r="AG8" s="2084" t="s">
        <v>42</v>
      </c>
      <c r="AH8" s="2084" t="s">
        <v>43</v>
      </c>
      <c r="AI8" s="2084" t="s">
        <v>44</v>
      </c>
      <c r="AJ8" s="2084" t="s">
        <v>45</v>
      </c>
      <c r="AK8" s="2084" t="s">
        <v>46</v>
      </c>
      <c r="AL8" s="2084" t="s">
        <v>47</v>
      </c>
      <c r="AM8" s="2084" t="s">
        <v>48</v>
      </c>
      <c r="AN8" s="2989"/>
      <c r="AO8" s="4080"/>
      <c r="AP8" s="4080"/>
      <c r="AQ8" s="4077"/>
    </row>
    <row r="9" spans="1:43" ht="15.75" x14ac:dyDescent="0.2">
      <c r="A9" s="2086">
        <v>5</v>
      </c>
      <c r="B9" s="675" t="s">
        <v>49</v>
      </c>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2087"/>
      <c r="AH9" s="2087"/>
      <c r="AI9" s="2087"/>
      <c r="AJ9" s="2087"/>
      <c r="AK9" s="2087"/>
      <c r="AL9" s="2087"/>
      <c r="AM9" s="2087"/>
      <c r="AN9" s="2087"/>
      <c r="AO9" s="2087"/>
      <c r="AP9" s="2087"/>
      <c r="AQ9" s="2088"/>
    </row>
    <row r="10" spans="1:43" s="2092" customFormat="1" ht="15.75" x14ac:dyDescent="0.2">
      <c r="A10" s="3109"/>
      <c r="B10" s="3053"/>
      <c r="C10" s="3053"/>
      <c r="D10" s="2089">
        <v>25</v>
      </c>
      <c r="E10" s="4081" t="s">
        <v>949</v>
      </c>
      <c r="F10" s="4081"/>
      <c r="G10" s="4081"/>
      <c r="H10" s="4081"/>
      <c r="I10" s="4081"/>
      <c r="J10" s="4081"/>
      <c r="K10" s="4081"/>
      <c r="L10" s="4081"/>
      <c r="M10" s="4081"/>
      <c r="N10" s="4081"/>
      <c r="O10" s="4081"/>
      <c r="P10" s="4081"/>
      <c r="Q10" s="4081"/>
      <c r="R10" s="4081"/>
      <c r="S10" s="4081"/>
      <c r="T10" s="4081"/>
      <c r="U10" s="4081"/>
      <c r="V10" s="4081"/>
      <c r="W10" s="4081"/>
      <c r="X10" s="4081"/>
      <c r="Y10" s="4081"/>
      <c r="Z10" s="4081"/>
      <c r="AA10" s="4081"/>
      <c r="AB10" s="4081"/>
      <c r="AC10" s="4081"/>
      <c r="AD10" s="4081"/>
      <c r="AE10" s="4081"/>
      <c r="AF10" s="4081"/>
      <c r="AG10" s="2090"/>
      <c r="AH10" s="2090"/>
      <c r="AI10" s="2090"/>
      <c r="AJ10" s="2090"/>
      <c r="AK10" s="2090"/>
      <c r="AL10" s="2090"/>
      <c r="AM10" s="2090"/>
      <c r="AN10" s="2090"/>
      <c r="AO10" s="2090"/>
      <c r="AP10" s="2090"/>
      <c r="AQ10" s="2091"/>
    </row>
    <row r="11" spans="1:43" s="2092" customFormat="1" ht="15.75" x14ac:dyDescent="0.2">
      <c r="A11" s="3109"/>
      <c r="B11" s="3053"/>
      <c r="C11" s="3053"/>
      <c r="D11" s="3053"/>
      <c r="E11" s="3053"/>
      <c r="F11" s="3053"/>
      <c r="G11" s="2093">
        <v>83</v>
      </c>
      <c r="H11" s="4082" t="s">
        <v>950</v>
      </c>
      <c r="I11" s="4083"/>
      <c r="J11" s="4083"/>
      <c r="K11" s="4083"/>
      <c r="L11" s="4083"/>
      <c r="M11" s="4083"/>
      <c r="N11" s="4083"/>
      <c r="O11" s="4083"/>
      <c r="P11" s="4083"/>
      <c r="Q11" s="4083"/>
      <c r="R11" s="4083"/>
      <c r="S11" s="4083"/>
      <c r="T11" s="4083"/>
      <c r="U11" s="4083"/>
      <c r="V11" s="4083"/>
      <c r="W11" s="4083"/>
      <c r="X11" s="4083"/>
      <c r="Y11" s="4083"/>
      <c r="Z11" s="4083"/>
      <c r="AA11" s="4083"/>
      <c r="AB11" s="4083"/>
      <c r="AC11" s="4083"/>
      <c r="AD11" s="4083"/>
      <c r="AE11" s="4083"/>
      <c r="AF11" s="4083"/>
      <c r="AG11" s="2094"/>
      <c r="AH11" s="2094"/>
      <c r="AI11" s="2094"/>
      <c r="AJ11" s="2094"/>
      <c r="AK11" s="2094"/>
      <c r="AL11" s="2094"/>
      <c r="AM11" s="2094"/>
      <c r="AN11" s="2094"/>
      <c r="AO11" s="2094"/>
      <c r="AP11" s="2094"/>
      <c r="AQ11" s="2095"/>
    </row>
    <row r="12" spans="1:43" ht="168" customHeight="1" x14ac:dyDescent="0.2">
      <c r="A12" s="3109"/>
      <c r="B12" s="3053"/>
      <c r="C12" s="3053"/>
      <c r="D12" s="3053"/>
      <c r="E12" s="3053"/>
      <c r="F12" s="3053"/>
      <c r="G12" s="3053"/>
      <c r="H12" s="3053"/>
      <c r="I12" s="3053"/>
      <c r="J12" s="3055">
        <v>243</v>
      </c>
      <c r="K12" s="4084" t="s">
        <v>2317</v>
      </c>
      <c r="L12" s="3045" t="s">
        <v>2318</v>
      </c>
      <c r="M12" s="3053">
        <v>6</v>
      </c>
      <c r="N12" s="3055" t="s">
        <v>2319</v>
      </c>
      <c r="O12" s="3055" t="s">
        <v>2320</v>
      </c>
      <c r="P12" s="3045" t="s">
        <v>2321</v>
      </c>
      <c r="Q12" s="4088">
        <f>SUM(V12:V15)/R12</f>
        <v>1</v>
      </c>
      <c r="R12" s="4090">
        <f>SUM(V12:V15)</f>
        <v>71548128</v>
      </c>
      <c r="S12" s="3045" t="s">
        <v>2322</v>
      </c>
      <c r="T12" s="2691" t="s">
        <v>2323</v>
      </c>
      <c r="U12" s="1940" t="s">
        <v>2324</v>
      </c>
      <c r="V12" s="2096">
        <f>17887032-1777032</f>
        <v>16110000</v>
      </c>
      <c r="W12" s="1945">
        <v>20</v>
      </c>
      <c r="X12" s="3055" t="s">
        <v>846</v>
      </c>
      <c r="Y12" s="3016">
        <v>292684</v>
      </c>
      <c r="Z12" s="3016">
        <v>282326</v>
      </c>
      <c r="AA12" s="3016">
        <v>135912</v>
      </c>
      <c r="AB12" s="3016">
        <v>45122</v>
      </c>
      <c r="AC12" s="3016">
        <v>307101</v>
      </c>
      <c r="AD12" s="3016">
        <v>86875</v>
      </c>
      <c r="AE12" s="3016">
        <v>2145</v>
      </c>
      <c r="AF12" s="3016">
        <v>12718</v>
      </c>
      <c r="AG12" s="3016">
        <v>26</v>
      </c>
      <c r="AH12" s="3016">
        <v>37</v>
      </c>
      <c r="AI12" s="3016"/>
      <c r="AJ12" s="3016"/>
      <c r="AK12" s="3016">
        <v>53164</v>
      </c>
      <c r="AL12" s="3016">
        <v>16982</v>
      </c>
      <c r="AM12" s="3016">
        <v>60013</v>
      </c>
      <c r="AN12" s="3016">
        <f>+Y12+Z12</f>
        <v>575010</v>
      </c>
      <c r="AO12" s="4092">
        <v>43467</v>
      </c>
      <c r="AP12" s="4092">
        <v>43830</v>
      </c>
      <c r="AQ12" s="4094" t="s">
        <v>2325</v>
      </c>
    </row>
    <row r="13" spans="1:43" ht="83.25" customHeight="1" x14ac:dyDescent="0.2">
      <c r="A13" s="3109"/>
      <c r="B13" s="3053"/>
      <c r="C13" s="3053"/>
      <c r="D13" s="3053"/>
      <c r="E13" s="3053"/>
      <c r="F13" s="3053"/>
      <c r="G13" s="3053"/>
      <c r="H13" s="3053"/>
      <c r="I13" s="3053"/>
      <c r="J13" s="3115"/>
      <c r="K13" s="4085"/>
      <c r="L13" s="3046"/>
      <c r="M13" s="3053"/>
      <c r="N13" s="3115"/>
      <c r="O13" s="3115"/>
      <c r="P13" s="3046"/>
      <c r="Q13" s="4089"/>
      <c r="R13" s="4091"/>
      <c r="S13" s="3046"/>
      <c r="T13" s="3131"/>
      <c r="U13" s="1940" t="s">
        <v>2326</v>
      </c>
      <c r="V13" s="2096">
        <v>17887032</v>
      </c>
      <c r="W13" s="1945">
        <v>20</v>
      </c>
      <c r="X13" s="3115"/>
      <c r="Y13" s="3017"/>
      <c r="Z13" s="3017"/>
      <c r="AA13" s="3017"/>
      <c r="AB13" s="3017"/>
      <c r="AC13" s="3017"/>
      <c r="AD13" s="3017"/>
      <c r="AE13" s="3017"/>
      <c r="AF13" s="3017"/>
      <c r="AG13" s="3017"/>
      <c r="AH13" s="3017"/>
      <c r="AI13" s="3017"/>
      <c r="AJ13" s="3017"/>
      <c r="AK13" s="3017"/>
      <c r="AL13" s="3017"/>
      <c r="AM13" s="3017"/>
      <c r="AN13" s="3017"/>
      <c r="AO13" s="4093"/>
      <c r="AP13" s="4093"/>
      <c r="AQ13" s="4095"/>
    </row>
    <row r="14" spans="1:43" ht="109.5" customHeight="1" x14ac:dyDescent="0.2">
      <c r="A14" s="3109"/>
      <c r="B14" s="3053"/>
      <c r="C14" s="3053"/>
      <c r="D14" s="3053"/>
      <c r="E14" s="3053"/>
      <c r="F14" s="3053"/>
      <c r="G14" s="3053"/>
      <c r="H14" s="3053"/>
      <c r="I14" s="3053"/>
      <c r="J14" s="3115"/>
      <c r="K14" s="4085"/>
      <c r="L14" s="3046"/>
      <c r="M14" s="3053"/>
      <c r="N14" s="3115"/>
      <c r="O14" s="3115"/>
      <c r="P14" s="3046"/>
      <c r="Q14" s="4089"/>
      <c r="R14" s="4091"/>
      <c r="S14" s="3048"/>
      <c r="T14" s="4086" t="s">
        <v>2327</v>
      </c>
      <c r="U14" s="2097" t="s">
        <v>2328</v>
      </c>
      <c r="V14" s="2096">
        <f>17887032+888516</f>
        <v>18775548</v>
      </c>
      <c r="W14" s="1945"/>
      <c r="X14" s="3115"/>
      <c r="Y14" s="3017"/>
      <c r="Z14" s="3017"/>
      <c r="AA14" s="3017"/>
      <c r="AB14" s="3017"/>
      <c r="AC14" s="3017"/>
      <c r="AD14" s="3017"/>
      <c r="AE14" s="3017"/>
      <c r="AF14" s="3017"/>
      <c r="AG14" s="3017"/>
      <c r="AH14" s="3017"/>
      <c r="AI14" s="3017"/>
      <c r="AJ14" s="3017"/>
      <c r="AK14" s="3017"/>
      <c r="AL14" s="3017"/>
      <c r="AM14" s="3017"/>
      <c r="AN14" s="3017"/>
      <c r="AO14" s="4093"/>
      <c r="AP14" s="4093"/>
      <c r="AQ14" s="4095"/>
    </row>
    <row r="15" spans="1:43" ht="80.25" customHeight="1" thickBot="1" x14ac:dyDescent="0.25">
      <c r="A15" s="3109"/>
      <c r="B15" s="3053"/>
      <c r="C15" s="3053"/>
      <c r="D15" s="3053"/>
      <c r="E15" s="3053"/>
      <c r="F15" s="3053"/>
      <c r="G15" s="3053"/>
      <c r="H15" s="3053"/>
      <c r="I15" s="3053"/>
      <c r="J15" s="3115"/>
      <c r="K15" s="4085"/>
      <c r="L15" s="3046"/>
      <c r="M15" s="3053"/>
      <c r="N15" s="3115"/>
      <c r="O15" s="3115"/>
      <c r="P15" s="3046"/>
      <c r="Q15" s="4089"/>
      <c r="R15" s="4091"/>
      <c r="S15" s="3048"/>
      <c r="T15" s="4087"/>
      <c r="U15" s="2098" t="s">
        <v>2329</v>
      </c>
      <c r="V15" s="2112">
        <f>17887032+888516</f>
        <v>18775548</v>
      </c>
      <c r="W15" s="1945">
        <v>20</v>
      </c>
      <c r="X15" s="3115"/>
      <c r="Y15" s="3017"/>
      <c r="Z15" s="3017"/>
      <c r="AA15" s="3017"/>
      <c r="AB15" s="3017"/>
      <c r="AC15" s="3017"/>
      <c r="AD15" s="3017"/>
      <c r="AE15" s="3017"/>
      <c r="AF15" s="3017"/>
      <c r="AG15" s="3017"/>
      <c r="AH15" s="3017"/>
      <c r="AI15" s="3017"/>
      <c r="AJ15" s="3017"/>
      <c r="AK15" s="3017"/>
      <c r="AL15" s="3017"/>
      <c r="AM15" s="3017"/>
      <c r="AN15" s="3017"/>
      <c r="AO15" s="4093"/>
      <c r="AP15" s="4093"/>
      <c r="AQ15" s="4095"/>
    </row>
    <row r="16" spans="1:43" s="2105" customFormat="1" ht="16.5" thickBot="1" x14ac:dyDescent="0.3">
      <c r="A16" s="2099"/>
      <c r="B16" s="300"/>
      <c r="C16" s="300"/>
      <c r="D16" s="300"/>
      <c r="E16" s="300"/>
      <c r="F16" s="300"/>
      <c r="G16" s="3722" t="s">
        <v>945</v>
      </c>
      <c r="H16" s="3722"/>
      <c r="I16" s="3722"/>
      <c r="J16" s="3722"/>
      <c r="K16" s="3722"/>
      <c r="L16" s="3722"/>
      <c r="M16" s="3722"/>
      <c r="N16" s="3722"/>
      <c r="O16" s="3722"/>
      <c r="P16" s="3722"/>
      <c r="Q16" s="3723"/>
      <c r="R16" s="617">
        <f>SUM(R12)</f>
        <v>71548128</v>
      </c>
      <c r="S16" s="2099"/>
      <c r="T16" s="2100"/>
      <c r="U16" s="2101"/>
      <c r="V16" s="302">
        <f>SUM(V12:V15)</f>
        <v>71548128</v>
      </c>
      <c r="W16" s="303"/>
      <c r="X16" s="420"/>
      <c r="Y16" s="420"/>
      <c r="Z16" s="420"/>
      <c r="AA16" s="420"/>
      <c r="AB16" s="420"/>
      <c r="AC16" s="420"/>
      <c r="AD16" s="420"/>
      <c r="AE16" s="420"/>
      <c r="AF16" s="420"/>
      <c r="AG16" s="420"/>
      <c r="AH16" s="420"/>
      <c r="AI16" s="420"/>
      <c r="AJ16" s="420"/>
      <c r="AK16" s="420"/>
      <c r="AL16" s="420"/>
      <c r="AM16" s="420"/>
      <c r="AN16" s="420"/>
      <c r="AO16" s="2102"/>
      <c r="AP16" s="2103"/>
      <c r="AQ16" s="2104"/>
    </row>
    <row r="17" spans="13:22" ht="14.25" customHeight="1" x14ac:dyDescent="0.2">
      <c r="R17" s="2106"/>
    </row>
    <row r="18" spans="13:22" x14ac:dyDescent="0.2">
      <c r="R18" s="2107"/>
    </row>
    <row r="19" spans="13:22" x14ac:dyDescent="0.2">
      <c r="V19" s="2107"/>
    </row>
    <row r="22" spans="13:22" ht="15.75" x14ac:dyDescent="0.25">
      <c r="M22" s="2108" t="s">
        <v>2330</v>
      </c>
      <c r="N22" s="2109"/>
      <c r="O22" s="2109"/>
      <c r="P22" s="2109"/>
      <c r="S22" s="2110"/>
    </row>
    <row r="23" spans="13:22" ht="15.75" x14ac:dyDescent="0.25">
      <c r="M23" s="2111" t="s">
        <v>2325</v>
      </c>
      <c r="S23" s="2110"/>
    </row>
  </sheetData>
  <sheetProtection password="A60F" sheet="1" objects="1" scenarios="1"/>
  <mergeCells count="75">
    <mergeCell ref="AH12:AH15"/>
    <mergeCell ref="AC12:AC15"/>
    <mergeCell ref="AD12:AD15"/>
    <mergeCell ref="AE12:AE15"/>
    <mergeCell ref="AF12:AF15"/>
    <mergeCell ref="AG12:AG15"/>
    <mergeCell ref="AO12:AO15"/>
    <mergeCell ref="AP12:AP15"/>
    <mergeCell ref="AQ12:AQ15"/>
    <mergeCell ref="AI12:AI15"/>
    <mergeCell ref="AJ12:AJ15"/>
    <mergeCell ref="AK12:AK15"/>
    <mergeCell ref="AL12:AL15"/>
    <mergeCell ref="AM12:AM15"/>
    <mergeCell ref="AN12:AN15"/>
    <mergeCell ref="Z12:Z15"/>
    <mergeCell ref="AA12:AA15"/>
    <mergeCell ref="T14:T15"/>
    <mergeCell ref="G16:Q16"/>
    <mergeCell ref="Q12:Q15"/>
    <mergeCell ref="R12:R15"/>
    <mergeCell ref="S12:S15"/>
    <mergeCell ref="T12:T13"/>
    <mergeCell ref="X12:X15"/>
    <mergeCell ref="P12:P15"/>
    <mergeCell ref="A10:A15"/>
    <mergeCell ref="B10:C15"/>
    <mergeCell ref="E10:AF10"/>
    <mergeCell ref="D11:D15"/>
    <mergeCell ref="E11:F15"/>
    <mergeCell ref="H11:AF11"/>
    <mergeCell ref="G12:G15"/>
    <mergeCell ref="H12:I15"/>
    <mergeCell ref="J12:J15"/>
    <mergeCell ref="K12:K15"/>
    <mergeCell ref="L12:L15"/>
    <mergeCell ref="M12:M15"/>
    <mergeCell ref="N12:N15"/>
    <mergeCell ref="O12:O15"/>
    <mergeCell ref="AB12:AB15"/>
    <mergeCell ref="Y12:Y15"/>
    <mergeCell ref="AQ7:AQ8"/>
    <mergeCell ref="U7:U8"/>
    <mergeCell ref="V7:V8"/>
    <mergeCell ref="W7:W8"/>
    <mergeCell ref="X7:X8"/>
    <mergeCell ref="Y7:Z7"/>
    <mergeCell ref="AA7:AD7"/>
    <mergeCell ref="AE7:AJ7"/>
    <mergeCell ref="AK7:AM7"/>
    <mergeCell ref="AN7:AN8"/>
    <mergeCell ref="AO7:AO8"/>
    <mergeCell ref="AP7:AP8"/>
    <mergeCell ref="T7:T8"/>
    <mergeCell ref="H7:I8"/>
    <mergeCell ref="J7:J8"/>
    <mergeCell ref="K7:K8"/>
    <mergeCell ref="L7:L8"/>
    <mergeCell ref="M7:M8"/>
    <mergeCell ref="N7:N8"/>
    <mergeCell ref="O7:O8"/>
    <mergeCell ref="P7:P8"/>
    <mergeCell ref="Q7:Q8"/>
    <mergeCell ref="R7:R8"/>
    <mergeCell ref="S7:S8"/>
    <mergeCell ref="A1:AO4"/>
    <mergeCell ref="A5:M6"/>
    <mergeCell ref="P5:AQ5"/>
    <mergeCell ref="P6:X6"/>
    <mergeCell ref="AO6:AQ6"/>
    <mergeCell ref="A7:A8"/>
    <mergeCell ref="B7:C8"/>
    <mergeCell ref="D7:D8"/>
    <mergeCell ref="E7:F8"/>
    <mergeCell ref="G7:G8"/>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V373"/>
  <sheetViews>
    <sheetView showGridLines="0" zoomScale="70" zoomScaleNormal="70" workbookViewId="0">
      <selection sqref="A1:AO4"/>
    </sheetView>
  </sheetViews>
  <sheetFormatPr baseColWidth="10" defaultColWidth="30" defaultRowHeight="14.25" x14ac:dyDescent="0.2"/>
  <cols>
    <col min="1" max="10" width="14.42578125" style="1188" customWidth="1"/>
    <col min="11" max="11" width="37" style="1346" customWidth="1"/>
    <col min="12" max="12" width="22.28515625" style="1221" customWidth="1"/>
    <col min="13" max="13" width="23.42578125" style="1221" customWidth="1"/>
    <col min="14" max="14" width="34.7109375" style="2511" customWidth="1"/>
    <col min="15" max="15" width="21.7109375" style="1221" customWidth="1"/>
    <col min="16" max="16" width="24.85546875" style="1346" customWidth="1"/>
    <col min="17" max="17" width="18.28515625" style="1347" customWidth="1"/>
    <col min="18" max="18" width="25.85546875" style="2511" customWidth="1"/>
    <col min="19" max="19" width="31" style="1221" customWidth="1"/>
    <col min="20" max="20" width="24.140625" style="1346" customWidth="1"/>
    <col min="21" max="21" width="58.7109375" style="1348" customWidth="1"/>
    <col min="22" max="22" width="24.28515625" style="1348" customWidth="1"/>
    <col min="23" max="23" width="20.28515625" style="1347" customWidth="1"/>
    <col min="24" max="24" width="34.5703125" style="1347" customWidth="1"/>
    <col min="25" max="25" width="11.28515625" style="1349" customWidth="1"/>
    <col min="26" max="26" width="9.5703125" style="1349" customWidth="1"/>
    <col min="27" max="27" width="13.85546875" style="1350" customWidth="1"/>
    <col min="28" max="28" width="14.5703125" style="1349" customWidth="1"/>
    <col min="29" max="29" width="12.28515625" style="1349" customWidth="1"/>
    <col min="30" max="31" width="30" style="1349"/>
    <col min="32" max="32" width="30" style="1351"/>
    <col min="33" max="33" width="30" style="1349"/>
    <col min="34" max="34" width="10.140625" style="1350" customWidth="1"/>
    <col min="35" max="35" width="13.28515625" style="1349" customWidth="1"/>
    <col min="36" max="36" width="13.85546875" style="1349" customWidth="1"/>
    <col min="37" max="37" width="10.7109375" style="1350" customWidth="1"/>
    <col min="38" max="38" width="15.42578125" style="1350" customWidth="1"/>
    <col min="39" max="39" width="16.5703125" style="1350" customWidth="1"/>
    <col min="40" max="40" width="9.7109375" style="1350" customWidth="1"/>
    <col min="41" max="41" width="16" style="1188" customWidth="1"/>
    <col min="42" max="43" width="20.140625" style="1188" customWidth="1"/>
    <col min="44" max="44" width="40.28515625" style="2593" customWidth="1"/>
    <col min="45" max="16384" width="30" style="1188"/>
  </cols>
  <sheetData>
    <row r="1" spans="1:44" s="362" customFormat="1" ht="26.25" customHeight="1" x14ac:dyDescent="0.25">
      <c r="A1" s="4096" t="s">
        <v>2565</v>
      </c>
      <c r="B1" s="4097"/>
      <c r="C1" s="4097"/>
      <c r="D1" s="4097"/>
      <c r="E1" s="4097"/>
      <c r="F1" s="4097"/>
      <c r="G1" s="4097"/>
      <c r="H1" s="4097"/>
      <c r="I1" s="4097"/>
      <c r="J1" s="4097"/>
      <c r="K1" s="4097"/>
      <c r="L1" s="4097"/>
      <c r="M1" s="4097"/>
      <c r="N1" s="4097"/>
      <c r="O1" s="4097"/>
      <c r="P1" s="4097"/>
      <c r="Q1" s="4097"/>
      <c r="R1" s="4097"/>
      <c r="S1" s="4097"/>
      <c r="T1" s="4097"/>
      <c r="U1" s="4097"/>
      <c r="V1" s="4097"/>
      <c r="W1" s="4097"/>
      <c r="X1" s="4097"/>
      <c r="Y1" s="4097"/>
      <c r="Z1" s="4097"/>
      <c r="AA1" s="4097"/>
      <c r="AB1" s="4097"/>
      <c r="AC1" s="4097"/>
      <c r="AD1" s="4097"/>
      <c r="AE1" s="4097"/>
      <c r="AF1" s="4097"/>
      <c r="AG1" s="4097"/>
      <c r="AH1" s="4097"/>
      <c r="AI1" s="4097"/>
      <c r="AJ1" s="4097"/>
      <c r="AK1" s="4097"/>
      <c r="AL1" s="4097"/>
      <c r="AM1" s="4097"/>
      <c r="AN1" s="4097"/>
      <c r="AO1" s="4097"/>
      <c r="AP1" s="613" t="s">
        <v>0</v>
      </c>
      <c r="AQ1" s="1174" t="s">
        <v>1</v>
      </c>
      <c r="AR1" s="1867"/>
    </row>
    <row r="2" spans="1:44" s="362" customFormat="1" ht="26.25" customHeight="1" x14ac:dyDescent="0.25">
      <c r="A2" s="4098"/>
      <c r="B2" s="3892"/>
      <c r="C2" s="3892"/>
      <c r="D2" s="3892"/>
      <c r="E2" s="3892"/>
      <c r="F2" s="3892"/>
      <c r="G2" s="3892"/>
      <c r="H2" s="3892"/>
      <c r="I2" s="3892"/>
      <c r="J2" s="3892"/>
      <c r="K2" s="3892"/>
      <c r="L2" s="3892"/>
      <c r="M2" s="3892"/>
      <c r="N2" s="3892"/>
      <c r="O2" s="3892"/>
      <c r="P2" s="3892"/>
      <c r="Q2" s="3892"/>
      <c r="R2" s="3892"/>
      <c r="S2" s="3892"/>
      <c r="T2" s="3892"/>
      <c r="U2" s="3892"/>
      <c r="V2" s="3892"/>
      <c r="W2" s="3892"/>
      <c r="X2" s="3892"/>
      <c r="Y2" s="3892"/>
      <c r="Z2" s="3892"/>
      <c r="AA2" s="3892"/>
      <c r="AB2" s="3892"/>
      <c r="AC2" s="3892"/>
      <c r="AD2" s="3892"/>
      <c r="AE2" s="3892"/>
      <c r="AF2" s="3892"/>
      <c r="AG2" s="3892"/>
      <c r="AH2" s="3892"/>
      <c r="AI2" s="3892"/>
      <c r="AJ2" s="3892"/>
      <c r="AK2" s="3892"/>
      <c r="AL2" s="3892"/>
      <c r="AM2" s="3892"/>
      <c r="AN2" s="3892"/>
      <c r="AO2" s="3892"/>
      <c r="AP2" s="614" t="s">
        <v>2</v>
      </c>
      <c r="AQ2" s="1175">
        <v>6</v>
      </c>
      <c r="AR2" s="1867"/>
    </row>
    <row r="3" spans="1:44" s="362" customFormat="1" ht="26.25" customHeight="1" x14ac:dyDescent="0.25">
      <c r="A3" s="4098"/>
      <c r="B3" s="3892"/>
      <c r="C3" s="3892"/>
      <c r="D3" s="3892"/>
      <c r="E3" s="3892"/>
      <c r="F3" s="3892"/>
      <c r="G3" s="3892"/>
      <c r="H3" s="3892"/>
      <c r="I3" s="3892"/>
      <c r="J3" s="3892"/>
      <c r="K3" s="3892"/>
      <c r="L3" s="3892"/>
      <c r="M3" s="3892"/>
      <c r="N3" s="3892"/>
      <c r="O3" s="3892"/>
      <c r="P3" s="3892"/>
      <c r="Q3" s="3892"/>
      <c r="R3" s="3892"/>
      <c r="S3" s="3892"/>
      <c r="T3" s="3892"/>
      <c r="U3" s="3892"/>
      <c r="V3" s="3892"/>
      <c r="W3" s="3892"/>
      <c r="X3" s="3892"/>
      <c r="Y3" s="3892"/>
      <c r="Z3" s="3892"/>
      <c r="AA3" s="3892"/>
      <c r="AB3" s="3892"/>
      <c r="AC3" s="3892"/>
      <c r="AD3" s="3892"/>
      <c r="AE3" s="3892"/>
      <c r="AF3" s="3892"/>
      <c r="AG3" s="3892"/>
      <c r="AH3" s="3892"/>
      <c r="AI3" s="3892"/>
      <c r="AJ3" s="3892"/>
      <c r="AK3" s="3892"/>
      <c r="AL3" s="3892"/>
      <c r="AM3" s="3892"/>
      <c r="AN3" s="3892"/>
      <c r="AO3" s="3892"/>
      <c r="AP3" s="615" t="s">
        <v>4</v>
      </c>
      <c r="AQ3" s="1176" t="s">
        <v>5</v>
      </c>
      <c r="AR3" s="1867"/>
    </row>
    <row r="4" spans="1:44" s="363" customFormat="1" ht="26.25" customHeight="1" x14ac:dyDescent="0.2">
      <c r="A4" s="4099"/>
      <c r="B4" s="4100"/>
      <c r="C4" s="4100"/>
      <c r="D4" s="4100"/>
      <c r="E4" s="4100"/>
      <c r="F4" s="4100"/>
      <c r="G4" s="4100"/>
      <c r="H4" s="4100"/>
      <c r="I4" s="4100"/>
      <c r="J4" s="4100"/>
      <c r="K4" s="4100"/>
      <c r="L4" s="4100"/>
      <c r="M4" s="4100"/>
      <c r="N4" s="4100"/>
      <c r="O4" s="4100"/>
      <c r="P4" s="4100"/>
      <c r="Q4" s="4100"/>
      <c r="R4" s="4100"/>
      <c r="S4" s="4100"/>
      <c r="T4" s="4100"/>
      <c r="U4" s="4100"/>
      <c r="V4" s="4100"/>
      <c r="W4" s="4100"/>
      <c r="X4" s="4100"/>
      <c r="Y4" s="4100"/>
      <c r="Z4" s="4100"/>
      <c r="AA4" s="4100"/>
      <c r="AB4" s="4100"/>
      <c r="AC4" s="4100"/>
      <c r="AD4" s="4100"/>
      <c r="AE4" s="4100"/>
      <c r="AF4" s="4100"/>
      <c r="AG4" s="4100"/>
      <c r="AH4" s="4100"/>
      <c r="AI4" s="4100"/>
      <c r="AJ4" s="4100"/>
      <c r="AK4" s="4100"/>
      <c r="AL4" s="4100"/>
      <c r="AM4" s="4100"/>
      <c r="AN4" s="4100"/>
      <c r="AO4" s="4100"/>
      <c r="AP4" s="616" t="s">
        <v>6</v>
      </c>
      <c r="AQ4" s="1177" t="s">
        <v>162</v>
      </c>
      <c r="AR4" s="2595"/>
    </row>
    <row r="5" spans="1:44" s="362" customFormat="1" ht="26.25" customHeight="1" x14ac:dyDescent="0.2">
      <c r="A5" s="3085" t="s">
        <v>8</v>
      </c>
      <c r="B5" s="3086"/>
      <c r="C5" s="3086"/>
      <c r="D5" s="3086"/>
      <c r="E5" s="3086"/>
      <c r="F5" s="3086"/>
      <c r="G5" s="3086"/>
      <c r="H5" s="3086"/>
      <c r="I5" s="3086"/>
      <c r="J5" s="3086"/>
      <c r="K5" s="3086"/>
      <c r="L5" s="3086"/>
      <c r="M5" s="3086"/>
      <c r="N5" s="3086"/>
      <c r="O5" s="3612"/>
      <c r="P5" s="3611" t="s">
        <v>9</v>
      </c>
      <c r="Q5" s="3086"/>
      <c r="R5" s="3086"/>
      <c r="S5" s="3086"/>
      <c r="T5" s="3086"/>
      <c r="U5" s="3086"/>
      <c r="V5" s="3086"/>
      <c r="W5" s="3086"/>
      <c r="X5" s="3086"/>
      <c r="Y5" s="3086"/>
      <c r="Z5" s="3086"/>
      <c r="AA5" s="3086"/>
      <c r="AB5" s="3086"/>
      <c r="AC5" s="3086"/>
      <c r="AD5" s="3086"/>
      <c r="AE5" s="3086"/>
      <c r="AF5" s="3086"/>
      <c r="AG5" s="3086"/>
      <c r="AH5" s="3086"/>
      <c r="AI5" s="3086"/>
      <c r="AJ5" s="3086"/>
      <c r="AK5" s="3086"/>
      <c r="AL5" s="3086"/>
      <c r="AM5" s="3086"/>
      <c r="AN5" s="3086"/>
      <c r="AO5" s="3086"/>
      <c r="AP5" s="3086"/>
      <c r="AQ5" s="4101"/>
      <c r="AR5" s="1867"/>
    </row>
    <row r="6" spans="1:44" s="362" customFormat="1" ht="26.25" customHeight="1" x14ac:dyDescent="0.2">
      <c r="A6" s="3087"/>
      <c r="B6" s="3070"/>
      <c r="C6" s="3070"/>
      <c r="D6" s="3070"/>
      <c r="E6" s="3070"/>
      <c r="F6" s="3070"/>
      <c r="G6" s="3070"/>
      <c r="H6" s="3070"/>
      <c r="I6" s="3070"/>
      <c r="J6" s="3070"/>
      <c r="K6" s="3070"/>
      <c r="L6" s="3070"/>
      <c r="M6" s="3070"/>
      <c r="N6" s="3070"/>
      <c r="O6" s="3071"/>
      <c r="P6" s="3613"/>
      <c r="Q6" s="3893"/>
      <c r="R6" s="3893"/>
      <c r="S6" s="3893"/>
      <c r="T6" s="3893"/>
      <c r="U6" s="3893"/>
      <c r="V6" s="3893"/>
      <c r="W6" s="3893"/>
      <c r="X6" s="3893"/>
      <c r="Y6" s="3893"/>
      <c r="Z6" s="3893"/>
      <c r="AA6" s="3893"/>
      <c r="AB6" s="3893"/>
      <c r="AC6" s="3893"/>
      <c r="AD6" s="3893"/>
      <c r="AE6" s="3893"/>
      <c r="AF6" s="3893"/>
      <c r="AG6" s="3893"/>
      <c r="AH6" s="3893"/>
      <c r="AI6" s="3893"/>
      <c r="AJ6" s="3893"/>
      <c r="AK6" s="3893"/>
      <c r="AL6" s="3893"/>
      <c r="AM6" s="3893"/>
      <c r="AN6" s="3893"/>
      <c r="AO6" s="3893"/>
      <c r="AP6" s="3893"/>
      <c r="AQ6" s="4102"/>
      <c r="AR6" s="1867"/>
    </row>
    <row r="7" spans="1:44" s="1690" customFormat="1" ht="26.25" customHeight="1" x14ac:dyDescent="0.25">
      <c r="A7" s="4103" t="s">
        <v>11</v>
      </c>
      <c r="B7" s="3624" t="s">
        <v>12</v>
      </c>
      <c r="C7" s="3624"/>
      <c r="D7" s="3624" t="s">
        <v>11</v>
      </c>
      <c r="E7" s="4104" t="s">
        <v>13</v>
      </c>
      <c r="F7" s="4104"/>
      <c r="G7" s="3624" t="s">
        <v>11</v>
      </c>
      <c r="H7" s="3624" t="s">
        <v>14</v>
      </c>
      <c r="I7" s="3624"/>
      <c r="J7" s="3624" t="s">
        <v>11</v>
      </c>
      <c r="K7" s="3624" t="s">
        <v>15</v>
      </c>
      <c r="L7" s="3624" t="s">
        <v>16</v>
      </c>
      <c r="M7" s="4127" t="s">
        <v>17</v>
      </c>
      <c r="N7" s="3624" t="s">
        <v>18</v>
      </c>
      <c r="O7" s="3062" t="s">
        <v>163</v>
      </c>
      <c r="P7" s="3624" t="s">
        <v>9</v>
      </c>
      <c r="Q7" s="3624" t="s">
        <v>20</v>
      </c>
      <c r="R7" s="3624" t="s">
        <v>21</v>
      </c>
      <c r="S7" s="3624" t="s">
        <v>22</v>
      </c>
      <c r="T7" s="3624" t="s">
        <v>23</v>
      </c>
      <c r="U7" s="3624" t="s">
        <v>24</v>
      </c>
      <c r="V7" s="4127" t="s">
        <v>21</v>
      </c>
      <c r="W7" s="3062" t="s">
        <v>11</v>
      </c>
      <c r="X7" s="3624" t="s">
        <v>25</v>
      </c>
      <c r="Y7" s="4125" t="s">
        <v>26</v>
      </c>
      <c r="Z7" s="4126"/>
      <c r="AA7" s="4109" t="s">
        <v>27</v>
      </c>
      <c r="AB7" s="4110"/>
      <c r="AC7" s="4110"/>
      <c r="AD7" s="4110"/>
      <c r="AE7" s="4111" t="s">
        <v>28</v>
      </c>
      <c r="AF7" s="4112"/>
      <c r="AG7" s="4112"/>
      <c r="AH7" s="4112"/>
      <c r="AI7" s="4112"/>
      <c r="AJ7" s="4112"/>
      <c r="AK7" s="4109" t="s">
        <v>29</v>
      </c>
      <c r="AL7" s="4110"/>
      <c r="AM7" s="4110"/>
      <c r="AN7" s="4105" t="s">
        <v>30</v>
      </c>
      <c r="AO7" s="4107" t="s">
        <v>31</v>
      </c>
      <c r="AP7" s="4107" t="s">
        <v>32</v>
      </c>
      <c r="AQ7" s="3100" t="s">
        <v>33</v>
      </c>
      <c r="AR7" s="2596"/>
    </row>
    <row r="8" spans="1:44" s="1690" customFormat="1" ht="116.25" customHeight="1" x14ac:dyDescent="0.25">
      <c r="A8" s="4103"/>
      <c r="B8" s="3624"/>
      <c r="C8" s="3624"/>
      <c r="D8" s="3624"/>
      <c r="E8" s="4104"/>
      <c r="F8" s="4104"/>
      <c r="G8" s="3624"/>
      <c r="H8" s="3624"/>
      <c r="I8" s="3624"/>
      <c r="J8" s="3624"/>
      <c r="K8" s="3624"/>
      <c r="L8" s="3624"/>
      <c r="M8" s="4130"/>
      <c r="N8" s="3624"/>
      <c r="O8" s="3063"/>
      <c r="P8" s="3624"/>
      <c r="Q8" s="3624"/>
      <c r="R8" s="3624"/>
      <c r="S8" s="3624"/>
      <c r="T8" s="3624"/>
      <c r="U8" s="3624"/>
      <c r="V8" s="4128"/>
      <c r="W8" s="3063"/>
      <c r="X8" s="3624"/>
      <c r="Y8" s="1178" t="s">
        <v>34</v>
      </c>
      <c r="Z8" s="1178" t="s">
        <v>35</v>
      </c>
      <c r="AA8" s="1178" t="s">
        <v>36</v>
      </c>
      <c r="AB8" s="1178" t="s">
        <v>121</v>
      </c>
      <c r="AC8" s="1178" t="s">
        <v>2536</v>
      </c>
      <c r="AD8" s="1178" t="s">
        <v>123</v>
      </c>
      <c r="AE8" s="1178" t="s">
        <v>40</v>
      </c>
      <c r="AF8" s="1178" t="s">
        <v>41</v>
      </c>
      <c r="AG8" s="1178" t="s">
        <v>42</v>
      </c>
      <c r="AH8" s="1178" t="s">
        <v>43</v>
      </c>
      <c r="AI8" s="1178" t="s">
        <v>44</v>
      </c>
      <c r="AJ8" s="1178" t="s">
        <v>45</v>
      </c>
      <c r="AK8" s="1178" t="s">
        <v>46</v>
      </c>
      <c r="AL8" s="1178" t="s">
        <v>47</v>
      </c>
      <c r="AM8" s="1178" t="s">
        <v>48</v>
      </c>
      <c r="AN8" s="4106"/>
      <c r="AO8" s="4108"/>
      <c r="AP8" s="4108"/>
      <c r="AQ8" s="3101"/>
      <c r="AR8" s="2596"/>
    </row>
    <row r="9" spans="1:44" ht="15" x14ac:dyDescent="0.2">
      <c r="A9" s="1179">
        <v>3</v>
      </c>
      <c r="B9" s="1180" t="s">
        <v>165</v>
      </c>
      <c r="C9" s="1180"/>
      <c r="D9" s="1180"/>
      <c r="E9" s="1180"/>
      <c r="F9" s="1180"/>
      <c r="G9" s="1180"/>
      <c r="H9" s="1180"/>
      <c r="I9" s="1180"/>
      <c r="J9" s="1180"/>
      <c r="K9" s="1181"/>
      <c r="L9" s="1180"/>
      <c r="M9" s="1180"/>
      <c r="N9" s="1182"/>
      <c r="O9" s="1180"/>
      <c r="P9" s="1181"/>
      <c r="Q9" s="1180"/>
      <c r="R9" s="1182"/>
      <c r="S9" s="1180"/>
      <c r="T9" s="1181"/>
      <c r="U9" s="1181"/>
      <c r="V9" s="1183"/>
      <c r="W9" s="1182"/>
      <c r="X9" s="1182"/>
      <c r="Y9" s="1184"/>
      <c r="Z9" s="1184"/>
      <c r="AA9" s="1185"/>
      <c r="AB9" s="1184"/>
      <c r="AC9" s="1184"/>
      <c r="AD9" s="1184"/>
      <c r="AE9" s="1184"/>
      <c r="AF9" s="1186"/>
      <c r="AG9" s="1184"/>
      <c r="AH9" s="1185"/>
      <c r="AI9" s="1184"/>
      <c r="AJ9" s="1184"/>
      <c r="AK9" s="1185"/>
      <c r="AL9" s="1185"/>
      <c r="AM9" s="1185"/>
      <c r="AN9" s="1185"/>
      <c r="AO9" s="1180"/>
      <c r="AP9" s="1180"/>
      <c r="AQ9" s="1187"/>
    </row>
    <row r="10" spans="1:44" ht="13.5" customHeight="1" x14ac:dyDescent="0.2">
      <c r="A10" s="4113"/>
      <c r="B10" s="4114"/>
      <c r="C10" s="4115"/>
      <c r="D10" s="1189">
        <v>11</v>
      </c>
      <c r="E10" s="1190" t="s">
        <v>166</v>
      </c>
      <c r="F10" s="1190"/>
      <c r="G10" s="1191"/>
      <c r="H10" s="1191"/>
      <c r="I10" s="1191"/>
      <c r="J10" s="1191"/>
      <c r="K10" s="1192"/>
      <c r="L10" s="1191"/>
      <c r="M10" s="1191"/>
      <c r="N10" s="1193"/>
      <c r="O10" s="1191"/>
      <c r="P10" s="1192"/>
      <c r="Q10" s="1191"/>
      <c r="R10" s="1193"/>
      <c r="S10" s="1191"/>
      <c r="T10" s="1192"/>
      <c r="U10" s="1192"/>
      <c r="V10" s="1194"/>
      <c r="W10" s="1193"/>
      <c r="X10" s="1193"/>
      <c r="Y10" s="1195"/>
      <c r="Z10" s="1195"/>
      <c r="AA10" s="1196"/>
      <c r="AB10" s="1195"/>
      <c r="AC10" s="1195"/>
      <c r="AD10" s="1195"/>
      <c r="AE10" s="1195"/>
      <c r="AF10" s="1197"/>
      <c r="AG10" s="1195"/>
      <c r="AH10" s="1196"/>
      <c r="AI10" s="1195"/>
      <c r="AJ10" s="1195"/>
      <c r="AK10" s="1196"/>
      <c r="AL10" s="1196"/>
      <c r="AM10" s="1196"/>
      <c r="AN10" s="1196"/>
      <c r="AO10" s="1191"/>
      <c r="AP10" s="1191"/>
      <c r="AQ10" s="1198"/>
    </row>
    <row r="11" spans="1:44" ht="27.75" customHeight="1" x14ac:dyDescent="0.2">
      <c r="A11" s="1199"/>
      <c r="B11" s="1200"/>
      <c r="C11" s="1201"/>
      <c r="D11" s="1202"/>
      <c r="E11" s="1202"/>
      <c r="F11" s="1203"/>
      <c r="G11" s="1204">
        <v>35</v>
      </c>
      <c r="H11" s="1205" t="s">
        <v>167</v>
      </c>
      <c r="I11" s="1205"/>
      <c r="J11" s="1205"/>
      <c r="K11" s="1206"/>
      <c r="L11" s="1205"/>
      <c r="M11" s="1205"/>
      <c r="N11" s="1207"/>
      <c r="O11" s="1205"/>
      <c r="P11" s="1206"/>
      <c r="Q11" s="1205"/>
      <c r="R11" s="1207"/>
      <c r="S11" s="1205"/>
      <c r="T11" s="1206"/>
      <c r="U11" s="1206"/>
      <c r="V11" s="1208"/>
      <c r="W11" s="1207"/>
      <c r="X11" s="1207"/>
      <c r="Y11" s="1209"/>
      <c r="Z11" s="1209"/>
      <c r="AA11" s="1210"/>
      <c r="AB11" s="1209"/>
      <c r="AC11" s="1209"/>
      <c r="AD11" s="1209"/>
      <c r="AE11" s="1209"/>
      <c r="AF11" s="1211"/>
      <c r="AG11" s="1209"/>
      <c r="AH11" s="1210"/>
      <c r="AI11" s="1209"/>
      <c r="AJ11" s="1209"/>
      <c r="AK11" s="1210"/>
      <c r="AL11" s="1210"/>
      <c r="AM11" s="1210"/>
      <c r="AN11" s="1210"/>
      <c r="AO11" s="1205"/>
      <c r="AP11" s="1205"/>
      <c r="AQ11" s="1212"/>
    </row>
    <row r="12" spans="1:44" s="1221" customFormat="1" ht="29.25" customHeight="1" x14ac:dyDescent="0.2">
      <c r="A12" s="1213"/>
      <c r="B12" s="1214"/>
      <c r="C12" s="1215"/>
      <c r="D12" s="1214"/>
      <c r="E12" s="1214"/>
      <c r="F12" s="1215"/>
      <c r="G12" s="1216"/>
      <c r="H12" s="1217"/>
      <c r="I12" s="1218"/>
      <c r="J12" s="4116">
        <v>127</v>
      </c>
      <c r="K12" s="4119" t="s">
        <v>168</v>
      </c>
      <c r="L12" s="4122" t="s">
        <v>169</v>
      </c>
      <c r="M12" s="4122">
        <v>1</v>
      </c>
      <c r="N12" s="4122" t="s">
        <v>170</v>
      </c>
      <c r="O12" s="4122" t="s">
        <v>171</v>
      </c>
      <c r="P12" s="4119" t="s">
        <v>172</v>
      </c>
      <c r="Q12" s="4139">
        <f>SUM(V12:V21)/R12</f>
        <v>0.32142857142857145</v>
      </c>
      <c r="R12" s="4142">
        <f>SUM(V12:V45)</f>
        <v>196000000</v>
      </c>
      <c r="S12" s="4119" t="s">
        <v>173</v>
      </c>
      <c r="T12" s="4145" t="s">
        <v>174</v>
      </c>
      <c r="U12" s="4137" t="s">
        <v>175</v>
      </c>
      <c r="V12" s="1219">
        <v>4000000</v>
      </c>
      <c r="W12" s="1220">
        <v>61</v>
      </c>
      <c r="X12" s="4122" t="s">
        <v>176</v>
      </c>
      <c r="Y12" s="4122" t="s">
        <v>177</v>
      </c>
      <c r="Z12" s="4122" t="s">
        <v>177</v>
      </c>
      <c r="AA12" s="4131">
        <v>64149</v>
      </c>
      <c r="AB12" s="4134" t="s">
        <v>177</v>
      </c>
      <c r="AC12" s="4154" t="s">
        <v>177</v>
      </c>
      <c r="AD12" s="4134" t="s">
        <v>177</v>
      </c>
      <c r="AE12" s="4134" t="s">
        <v>177</v>
      </c>
      <c r="AF12" s="4134" t="s">
        <v>177</v>
      </c>
      <c r="AG12" s="4134" t="s">
        <v>177</v>
      </c>
      <c r="AH12" s="4134" t="s">
        <v>177</v>
      </c>
      <c r="AI12" s="4134" t="s">
        <v>177</v>
      </c>
      <c r="AJ12" s="4154" t="s">
        <v>177</v>
      </c>
      <c r="AK12" s="4134" t="s">
        <v>177</v>
      </c>
      <c r="AL12" s="4134" t="s">
        <v>177</v>
      </c>
      <c r="AM12" s="4154" t="s">
        <v>177</v>
      </c>
      <c r="AN12" s="4154" t="s">
        <v>177</v>
      </c>
      <c r="AO12" s="4148">
        <v>43467</v>
      </c>
      <c r="AP12" s="4148">
        <v>43830</v>
      </c>
      <c r="AQ12" s="4151" t="s">
        <v>178</v>
      </c>
      <c r="AR12" s="2593"/>
    </row>
    <row r="13" spans="1:44" s="1221" customFormat="1" ht="30.75" customHeight="1" x14ac:dyDescent="0.2">
      <c r="A13" s="1213"/>
      <c r="B13" s="1214"/>
      <c r="C13" s="1215"/>
      <c r="D13" s="1214"/>
      <c r="E13" s="1214"/>
      <c r="F13" s="1215"/>
      <c r="G13" s="1222"/>
      <c r="H13" s="1214"/>
      <c r="I13" s="1215"/>
      <c r="J13" s="4117"/>
      <c r="K13" s="4120"/>
      <c r="L13" s="4123"/>
      <c r="M13" s="4123"/>
      <c r="N13" s="4123"/>
      <c r="O13" s="4123"/>
      <c r="P13" s="4120"/>
      <c r="Q13" s="4140"/>
      <c r="R13" s="4143"/>
      <c r="S13" s="4120"/>
      <c r="T13" s="4146"/>
      <c r="U13" s="4138"/>
      <c r="V13" s="1219">
        <f>15000000-559600</f>
        <v>14440400</v>
      </c>
      <c r="W13" s="1220">
        <v>98</v>
      </c>
      <c r="X13" s="4123"/>
      <c r="Y13" s="4123"/>
      <c r="Z13" s="4123"/>
      <c r="AA13" s="4132"/>
      <c r="AB13" s="4135"/>
      <c r="AC13" s="4155"/>
      <c r="AD13" s="4135"/>
      <c r="AE13" s="4135"/>
      <c r="AF13" s="4135"/>
      <c r="AG13" s="4135"/>
      <c r="AH13" s="4135"/>
      <c r="AI13" s="4135"/>
      <c r="AJ13" s="4155"/>
      <c r="AK13" s="4135"/>
      <c r="AL13" s="4135"/>
      <c r="AM13" s="4155"/>
      <c r="AN13" s="4155"/>
      <c r="AO13" s="4149"/>
      <c r="AP13" s="4149"/>
      <c r="AQ13" s="4152"/>
      <c r="AR13" s="2593"/>
    </row>
    <row r="14" spans="1:44" s="1221" customFormat="1" ht="92.25" customHeight="1" x14ac:dyDescent="0.2">
      <c r="A14" s="1213"/>
      <c r="B14" s="1214"/>
      <c r="C14" s="1215"/>
      <c r="D14" s="1214"/>
      <c r="E14" s="1214"/>
      <c r="F14" s="1215"/>
      <c r="G14" s="1222"/>
      <c r="H14" s="1214"/>
      <c r="I14" s="1215"/>
      <c r="J14" s="4117"/>
      <c r="K14" s="4120"/>
      <c r="L14" s="4123"/>
      <c r="M14" s="4123"/>
      <c r="N14" s="4123"/>
      <c r="O14" s="4123"/>
      <c r="P14" s="4120"/>
      <c r="Q14" s="4140"/>
      <c r="R14" s="4143"/>
      <c r="S14" s="4120"/>
      <c r="T14" s="4146"/>
      <c r="U14" s="1223" t="s">
        <v>179</v>
      </c>
      <c r="V14" s="1219">
        <v>4000000</v>
      </c>
      <c r="W14" s="1220">
        <v>61</v>
      </c>
      <c r="X14" s="4123"/>
      <c r="Y14" s="4123"/>
      <c r="Z14" s="4123"/>
      <c r="AA14" s="4132"/>
      <c r="AB14" s="4135"/>
      <c r="AC14" s="4155"/>
      <c r="AD14" s="4135"/>
      <c r="AE14" s="4135"/>
      <c r="AF14" s="4135"/>
      <c r="AG14" s="4135"/>
      <c r="AH14" s="4135"/>
      <c r="AI14" s="4135"/>
      <c r="AJ14" s="4155"/>
      <c r="AK14" s="4135"/>
      <c r="AL14" s="4135"/>
      <c r="AM14" s="4155"/>
      <c r="AN14" s="4155"/>
      <c r="AO14" s="4149"/>
      <c r="AP14" s="4149"/>
      <c r="AQ14" s="4152"/>
      <c r="AR14" s="2593"/>
    </row>
    <row r="15" spans="1:44" s="1221" customFormat="1" ht="29.25" customHeight="1" x14ac:dyDescent="0.2">
      <c r="A15" s="1213"/>
      <c r="B15" s="1214"/>
      <c r="C15" s="1215"/>
      <c r="D15" s="1214"/>
      <c r="E15" s="1214"/>
      <c r="F15" s="1215"/>
      <c r="G15" s="1222"/>
      <c r="H15" s="1214"/>
      <c r="I15" s="1215"/>
      <c r="J15" s="4117"/>
      <c r="K15" s="4120"/>
      <c r="L15" s="4123"/>
      <c r="M15" s="4123"/>
      <c r="N15" s="4123"/>
      <c r="O15" s="4123"/>
      <c r="P15" s="4120"/>
      <c r="Q15" s="4140"/>
      <c r="R15" s="4143"/>
      <c r="S15" s="4120"/>
      <c r="T15" s="4146"/>
      <c r="U15" s="4137" t="s">
        <v>180</v>
      </c>
      <c r="V15" s="1219">
        <v>4000000</v>
      </c>
      <c r="W15" s="1220">
        <v>61</v>
      </c>
      <c r="X15" s="4123"/>
      <c r="Y15" s="4123"/>
      <c r="Z15" s="4123"/>
      <c r="AA15" s="4132"/>
      <c r="AB15" s="4135"/>
      <c r="AC15" s="4155"/>
      <c r="AD15" s="4135"/>
      <c r="AE15" s="4135"/>
      <c r="AF15" s="4135"/>
      <c r="AG15" s="4135"/>
      <c r="AH15" s="4135"/>
      <c r="AI15" s="4135"/>
      <c r="AJ15" s="4155"/>
      <c r="AK15" s="4135"/>
      <c r="AL15" s="4135"/>
      <c r="AM15" s="4155"/>
      <c r="AN15" s="4155"/>
      <c r="AO15" s="4149"/>
      <c r="AP15" s="4149"/>
      <c r="AQ15" s="4152"/>
      <c r="AR15" s="2593"/>
    </row>
    <row r="16" spans="1:44" s="1221" customFormat="1" ht="30" customHeight="1" x14ac:dyDescent="0.2">
      <c r="A16" s="1213"/>
      <c r="B16" s="1214"/>
      <c r="C16" s="1215"/>
      <c r="D16" s="1214"/>
      <c r="E16" s="1214"/>
      <c r="F16" s="1215"/>
      <c r="G16" s="1222"/>
      <c r="H16" s="1214"/>
      <c r="I16" s="1215"/>
      <c r="J16" s="4117"/>
      <c r="K16" s="4120"/>
      <c r="L16" s="4123"/>
      <c r="M16" s="4123"/>
      <c r="N16" s="4123"/>
      <c r="O16" s="4123"/>
      <c r="P16" s="4120"/>
      <c r="Q16" s="4140"/>
      <c r="R16" s="4143"/>
      <c r="S16" s="4120"/>
      <c r="T16" s="4146"/>
      <c r="U16" s="4138"/>
      <c r="V16" s="1219">
        <f>10000000+279800</f>
        <v>10279800</v>
      </c>
      <c r="W16" s="1220">
        <v>98</v>
      </c>
      <c r="X16" s="4123"/>
      <c r="Y16" s="4123"/>
      <c r="Z16" s="4123"/>
      <c r="AA16" s="4132"/>
      <c r="AB16" s="4135"/>
      <c r="AC16" s="4155"/>
      <c r="AD16" s="4135"/>
      <c r="AE16" s="4135"/>
      <c r="AF16" s="4135"/>
      <c r="AG16" s="4135"/>
      <c r="AH16" s="4135"/>
      <c r="AI16" s="4135"/>
      <c r="AJ16" s="4155"/>
      <c r="AK16" s="4135"/>
      <c r="AL16" s="4135"/>
      <c r="AM16" s="4155"/>
      <c r="AN16" s="4155"/>
      <c r="AO16" s="4149"/>
      <c r="AP16" s="4149"/>
      <c r="AQ16" s="4152"/>
      <c r="AR16" s="2593"/>
    </row>
    <row r="17" spans="1:44" s="1221" customFormat="1" ht="29.25" customHeight="1" x14ac:dyDescent="0.2">
      <c r="A17" s="1213"/>
      <c r="B17" s="1214"/>
      <c r="C17" s="1215"/>
      <c r="D17" s="1214"/>
      <c r="E17" s="1214"/>
      <c r="F17" s="1215"/>
      <c r="G17" s="1222"/>
      <c r="H17" s="1214"/>
      <c r="I17" s="1215"/>
      <c r="J17" s="4117"/>
      <c r="K17" s="4120"/>
      <c r="L17" s="4123"/>
      <c r="M17" s="4123"/>
      <c r="N17" s="4123"/>
      <c r="O17" s="4123"/>
      <c r="P17" s="4120"/>
      <c r="Q17" s="4140"/>
      <c r="R17" s="4143"/>
      <c r="S17" s="4120"/>
      <c r="T17" s="4146"/>
      <c r="U17" s="4137" t="s">
        <v>181</v>
      </c>
      <c r="V17" s="1219">
        <v>1000000</v>
      </c>
      <c r="W17" s="1220">
        <v>61</v>
      </c>
      <c r="X17" s="4123"/>
      <c r="Y17" s="4123"/>
      <c r="Z17" s="4123"/>
      <c r="AA17" s="4132"/>
      <c r="AB17" s="4135"/>
      <c r="AC17" s="4155"/>
      <c r="AD17" s="4135"/>
      <c r="AE17" s="4135"/>
      <c r="AF17" s="4135"/>
      <c r="AG17" s="4135"/>
      <c r="AH17" s="4135"/>
      <c r="AI17" s="4135"/>
      <c r="AJ17" s="4155"/>
      <c r="AK17" s="4135"/>
      <c r="AL17" s="4135"/>
      <c r="AM17" s="4155"/>
      <c r="AN17" s="4155"/>
      <c r="AO17" s="4149"/>
      <c r="AP17" s="4149"/>
      <c r="AQ17" s="4152"/>
      <c r="AR17" s="2593"/>
    </row>
    <row r="18" spans="1:44" s="1221" customFormat="1" ht="37.5" customHeight="1" x14ac:dyDescent="0.2">
      <c r="A18" s="1213"/>
      <c r="B18" s="1214"/>
      <c r="C18" s="1215"/>
      <c r="D18" s="1214"/>
      <c r="E18" s="1214"/>
      <c r="F18" s="1215"/>
      <c r="G18" s="1222"/>
      <c r="H18" s="1214"/>
      <c r="I18" s="1215"/>
      <c r="J18" s="4117"/>
      <c r="K18" s="4120"/>
      <c r="L18" s="4123"/>
      <c r="M18" s="4123"/>
      <c r="N18" s="4123"/>
      <c r="O18" s="4123"/>
      <c r="P18" s="4120"/>
      <c r="Q18" s="4140"/>
      <c r="R18" s="4143"/>
      <c r="S18" s="4120"/>
      <c r="T18" s="4146"/>
      <c r="U18" s="4138"/>
      <c r="V18" s="1219">
        <f>10000000+279800</f>
        <v>10279800</v>
      </c>
      <c r="W18" s="1220">
        <v>98</v>
      </c>
      <c r="X18" s="4123"/>
      <c r="Y18" s="4123"/>
      <c r="Z18" s="4123"/>
      <c r="AA18" s="4132"/>
      <c r="AB18" s="4135"/>
      <c r="AC18" s="4155"/>
      <c r="AD18" s="4135"/>
      <c r="AE18" s="4135"/>
      <c r="AF18" s="4135"/>
      <c r="AG18" s="4135"/>
      <c r="AH18" s="4135"/>
      <c r="AI18" s="4135"/>
      <c r="AJ18" s="4155"/>
      <c r="AK18" s="4135"/>
      <c r="AL18" s="4135"/>
      <c r="AM18" s="4155"/>
      <c r="AN18" s="4155"/>
      <c r="AO18" s="4149"/>
      <c r="AP18" s="4149"/>
      <c r="AQ18" s="4152"/>
      <c r="AR18" s="2593"/>
    </row>
    <row r="19" spans="1:44" s="1221" customFormat="1" ht="57" x14ac:dyDescent="0.2">
      <c r="A19" s="1213"/>
      <c r="B19" s="1214"/>
      <c r="C19" s="1215"/>
      <c r="D19" s="1214"/>
      <c r="E19" s="1214"/>
      <c r="F19" s="1215"/>
      <c r="G19" s="1222"/>
      <c r="H19" s="1214"/>
      <c r="I19" s="1215"/>
      <c r="J19" s="4117"/>
      <c r="K19" s="4120"/>
      <c r="L19" s="4123"/>
      <c r="M19" s="4123"/>
      <c r="N19" s="4123"/>
      <c r="O19" s="4123"/>
      <c r="P19" s="4120"/>
      <c r="Q19" s="4140"/>
      <c r="R19" s="4143"/>
      <c r="S19" s="4120"/>
      <c r="T19" s="4146"/>
      <c r="U19" s="1223" t="s">
        <v>182</v>
      </c>
      <c r="V19" s="1219">
        <v>4000000</v>
      </c>
      <c r="W19" s="1220">
        <v>61</v>
      </c>
      <c r="X19" s="4123"/>
      <c r="Y19" s="4123"/>
      <c r="Z19" s="4123"/>
      <c r="AA19" s="4132"/>
      <c r="AB19" s="4135"/>
      <c r="AC19" s="4155"/>
      <c r="AD19" s="4135"/>
      <c r="AE19" s="4135"/>
      <c r="AF19" s="4135"/>
      <c r="AG19" s="4135"/>
      <c r="AH19" s="4135"/>
      <c r="AI19" s="4135"/>
      <c r="AJ19" s="4155"/>
      <c r="AK19" s="4135"/>
      <c r="AL19" s="4135"/>
      <c r="AM19" s="4155"/>
      <c r="AN19" s="4155"/>
      <c r="AO19" s="4149"/>
      <c r="AP19" s="4149"/>
      <c r="AQ19" s="4152"/>
      <c r="AR19" s="2593"/>
    </row>
    <row r="20" spans="1:44" s="1221" customFormat="1" ht="42.75" x14ac:dyDescent="0.2">
      <c r="A20" s="1213"/>
      <c r="B20" s="1214"/>
      <c r="C20" s="1215"/>
      <c r="D20" s="1214"/>
      <c r="E20" s="1214"/>
      <c r="F20" s="1215"/>
      <c r="G20" s="1222"/>
      <c r="H20" s="1214"/>
      <c r="I20" s="1215"/>
      <c r="J20" s="4117"/>
      <c r="K20" s="4120"/>
      <c r="L20" s="4123"/>
      <c r="M20" s="4123"/>
      <c r="N20" s="4123"/>
      <c r="O20" s="4123"/>
      <c r="P20" s="4120"/>
      <c r="Q20" s="4140"/>
      <c r="R20" s="4143"/>
      <c r="S20" s="4120"/>
      <c r="T20" s="4146"/>
      <c r="U20" s="1223" t="s">
        <v>183</v>
      </c>
      <c r="V20" s="1219">
        <v>7000000</v>
      </c>
      <c r="W20" s="1220">
        <v>61</v>
      </c>
      <c r="X20" s="4123"/>
      <c r="Y20" s="4123"/>
      <c r="Z20" s="4123"/>
      <c r="AA20" s="4132"/>
      <c r="AB20" s="4135"/>
      <c r="AC20" s="4155"/>
      <c r="AD20" s="4135"/>
      <c r="AE20" s="4135"/>
      <c r="AF20" s="4135"/>
      <c r="AG20" s="4135"/>
      <c r="AH20" s="4135"/>
      <c r="AI20" s="4135"/>
      <c r="AJ20" s="4155"/>
      <c r="AK20" s="4135"/>
      <c r="AL20" s="4135"/>
      <c r="AM20" s="4155"/>
      <c r="AN20" s="4155"/>
      <c r="AO20" s="4149"/>
      <c r="AP20" s="4149"/>
      <c r="AQ20" s="4152"/>
      <c r="AR20" s="2593"/>
    </row>
    <row r="21" spans="1:44" s="1221" customFormat="1" ht="68.25" customHeight="1" x14ac:dyDescent="0.2">
      <c r="A21" s="1213"/>
      <c r="B21" s="1214"/>
      <c r="C21" s="1215"/>
      <c r="D21" s="1214"/>
      <c r="E21" s="1214"/>
      <c r="F21" s="1215"/>
      <c r="G21" s="1222"/>
      <c r="H21" s="1214"/>
      <c r="I21" s="1215"/>
      <c r="J21" s="4118"/>
      <c r="K21" s="4121"/>
      <c r="L21" s="4124"/>
      <c r="M21" s="4124"/>
      <c r="N21" s="4123"/>
      <c r="O21" s="4123"/>
      <c r="P21" s="4120"/>
      <c r="Q21" s="4141"/>
      <c r="R21" s="4143"/>
      <c r="S21" s="4120"/>
      <c r="T21" s="4147"/>
      <c r="U21" s="1223" t="s">
        <v>184</v>
      </c>
      <c r="V21" s="1219">
        <v>4000000</v>
      </c>
      <c r="W21" s="1220">
        <v>61</v>
      </c>
      <c r="X21" s="4123"/>
      <c r="Y21" s="4123"/>
      <c r="Z21" s="4123"/>
      <c r="AA21" s="4132"/>
      <c r="AB21" s="4135"/>
      <c r="AC21" s="4155"/>
      <c r="AD21" s="4135"/>
      <c r="AE21" s="4135"/>
      <c r="AF21" s="4135"/>
      <c r="AG21" s="4135"/>
      <c r="AH21" s="4135"/>
      <c r="AI21" s="4135"/>
      <c r="AJ21" s="4155"/>
      <c r="AK21" s="4135"/>
      <c r="AL21" s="4135"/>
      <c r="AM21" s="4155"/>
      <c r="AN21" s="4155"/>
      <c r="AO21" s="4149"/>
      <c r="AP21" s="4149"/>
      <c r="AQ21" s="4152"/>
      <c r="AR21" s="2594"/>
    </row>
    <row r="22" spans="1:44" s="1221" customFormat="1" ht="48.75" customHeight="1" x14ac:dyDescent="0.2">
      <c r="A22" s="1213"/>
      <c r="B22" s="1214"/>
      <c r="C22" s="1215"/>
      <c r="D22" s="1214"/>
      <c r="E22" s="1214"/>
      <c r="F22" s="1215"/>
      <c r="G22" s="1222"/>
      <c r="H22" s="1214"/>
      <c r="I22" s="1215"/>
      <c r="J22" s="4116">
        <v>128</v>
      </c>
      <c r="K22" s="4119" t="s">
        <v>185</v>
      </c>
      <c r="L22" s="4122" t="s">
        <v>169</v>
      </c>
      <c r="M22" s="4122">
        <v>1</v>
      </c>
      <c r="N22" s="4123"/>
      <c r="O22" s="4123"/>
      <c r="P22" s="4120"/>
      <c r="Q22" s="4139">
        <f>+SUM(V22:V31)/R12</f>
        <v>0.20918367346938777</v>
      </c>
      <c r="R22" s="4143"/>
      <c r="S22" s="4120"/>
      <c r="T22" s="4119" t="s">
        <v>186</v>
      </c>
      <c r="U22" s="4137" t="s">
        <v>187</v>
      </c>
      <c r="V22" s="1219">
        <v>5600000</v>
      </c>
      <c r="W22" s="1220">
        <v>61</v>
      </c>
      <c r="X22" s="4123"/>
      <c r="Y22" s="4123"/>
      <c r="Z22" s="4123"/>
      <c r="AA22" s="4132"/>
      <c r="AB22" s="4135"/>
      <c r="AC22" s="4155"/>
      <c r="AD22" s="4135"/>
      <c r="AE22" s="4135"/>
      <c r="AF22" s="4135"/>
      <c r="AG22" s="4135"/>
      <c r="AH22" s="4135"/>
      <c r="AI22" s="4135"/>
      <c r="AJ22" s="4155"/>
      <c r="AK22" s="4135"/>
      <c r="AL22" s="4135"/>
      <c r="AM22" s="4155"/>
      <c r="AN22" s="4155"/>
      <c r="AO22" s="4149"/>
      <c r="AP22" s="4149"/>
      <c r="AQ22" s="4152"/>
      <c r="AR22" s="2593"/>
    </row>
    <row r="23" spans="1:44" s="1221" customFormat="1" ht="26.25" customHeight="1" x14ac:dyDescent="0.2">
      <c r="A23" s="1213"/>
      <c r="B23" s="1214"/>
      <c r="C23" s="1215"/>
      <c r="D23" s="1214"/>
      <c r="E23" s="1214"/>
      <c r="F23" s="1215"/>
      <c r="G23" s="1222"/>
      <c r="H23" s="1214"/>
      <c r="I23" s="1215"/>
      <c r="J23" s="4117"/>
      <c r="K23" s="4120"/>
      <c r="L23" s="4123"/>
      <c r="M23" s="4123"/>
      <c r="N23" s="4123"/>
      <c r="O23" s="4123"/>
      <c r="P23" s="4120"/>
      <c r="Q23" s="4140"/>
      <c r="R23" s="4143"/>
      <c r="S23" s="4120"/>
      <c r="T23" s="4120"/>
      <c r="U23" s="4138"/>
      <c r="V23" s="1219">
        <v>2000000</v>
      </c>
      <c r="W23" s="1220">
        <v>98</v>
      </c>
      <c r="X23" s="4123"/>
      <c r="Y23" s="4123"/>
      <c r="Z23" s="4123"/>
      <c r="AA23" s="4132"/>
      <c r="AB23" s="4135"/>
      <c r="AC23" s="4155"/>
      <c r="AD23" s="4135"/>
      <c r="AE23" s="4135"/>
      <c r="AF23" s="4135"/>
      <c r="AG23" s="4135"/>
      <c r="AH23" s="4135"/>
      <c r="AI23" s="4135"/>
      <c r="AJ23" s="4155"/>
      <c r="AK23" s="4135"/>
      <c r="AL23" s="4135"/>
      <c r="AM23" s="4155"/>
      <c r="AN23" s="4155"/>
      <c r="AO23" s="4149"/>
      <c r="AP23" s="4149"/>
      <c r="AQ23" s="4152"/>
      <c r="AR23" s="2593"/>
    </row>
    <row r="24" spans="1:44" s="1221" customFormat="1" ht="50.25" customHeight="1" x14ac:dyDescent="0.2">
      <c r="A24" s="1213"/>
      <c r="B24" s="1214"/>
      <c r="C24" s="1215"/>
      <c r="D24" s="1214"/>
      <c r="E24" s="1214"/>
      <c r="F24" s="1215"/>
      <c r="G24" s="1222"/>
      <c r="H24" s="1214"/>
      <c r="I24" s="1215"/>
      <c r="J24" s="4117"/>
      <c r="K24" s="4120"/>
      <c r="L24" s="4123"/>
      <c r="M24" s="4123"/>
      <c r="N24" s="4123"/>
      <c r="O24" s="4123"/>
      <c r="P24" s="4120"/>
      <c r="Q24" s="4140"/>
      <c r="R24" s="4143"/>
      <c r="S24" s="4120"/>
      <c r="T24" s="4120"/>
      <c r="U24" s="4137" t="s">
        <v>188</v>
      </c>
      <c r="V24" s="1219">
        <v>5600000</v>
      </c>
      <c r="W24" s="1220">
        <v>61</v>
      </c>
      <c r="X24" s="4123"/>
      <c r="Y24" s="4123"/>
      <c r="Z24" s="4123"/>
      <c r="AA24" s="4132"/>
      <c r="AB24" s="4135"/>
      <c r="AC24" s="4155"/>
      <c r="AD24" s="4135"/>
      <c r="AE24" s="4135"/>
      <c r="AF24" s="4135"/>
      <c r="AG24" s="4135"/>
      <c r="AH24" s="4135"/>
      <c r="AI24" s="4135"/>
      <c r="AJ24" s="4155"/>
      <c r="AK24" s="4135"/>
      <c r="AL24" s="4135"/>
      <c r="AM24" s="4155"/>
      <c r="AN24" s="4155"/>
      <c r="AO24" s="4149"/>
      <c r="AP24" s="4149"/>
      <c r="AQ24" s="4152"/>
      <c r="AR24" s="2593"/>
    </row>
    <row r="25" spans="1:44" s="1221" customFormat="1" ht="28.5" customHeight="1" x14ac:dyDescent="0.2">
      <c r="A25" s="1213"/>
      <c r="B25" s="1214"/>
      <c r="C25" s="1215"/>
      <c r="D25" s="1214"/>
      <c r="E25" s="1214"/>
      <c r="F25" s="1215"/>
      <c r="G25" s="1222"/>
      <c r="H25" s="1214"/>
      <c r="I25" s="1215"/>
      <c r="J25" s="4117"/>
      <c r="K25" s="4120"/>
      <c r="L25" s="4123"/>
      <c r="M25" s="4123"/>
      <c r="N25" s="4123"/>
      <c r="O25" s="4123"/>
      <c r="P25" s="4120"/>
      <c r="Q25" s="4140"/>
      <c r="R25" s="4143"/>
      <c r="S25" s="4120"/>
      <c r="T25" s="4120"/>
      <c r="U25" s="4138"/>
      <c r="V25" s="1219">
        <v>2000000</v>
      </c>
      <c r="W25" s="1220">
        <v>98</v>
      </c>
      <c r="X25" s="4123"/>
      <c r="Y25" s="4123"/>
      <c r="Z25" s="4123"/>
      <c r="AA25" s="4132"/>
      <c r="AB25" s="4135"/>
      <c r="AC25" s="4155"/>
      <c r="AD25" s="4135"/>
      <c r="AE25" s="4135"/>
      <c r="AF25" s="4135"/>
      <c r="AG25" s="4135"/>
      <c r="AH25" s="4135"/>
      <c r="AI25" s="4135"/>
      <c r="AJ25" s="4155"/>
      <c r="AK25" s="4135"/>
      <c r="AL25" s="4135"/>
      <c r="AM25" s="4155"/>
      <c r="AN25" s="4155"/>
      <c r="AO25" s="4149"/>
      <c r="AP25" s="4149"/>
      <c r="AQ25" s="4152"/>
      <c r="AR25" s="2593"/>
    </row>
    <row r="26" spans="1:44" s="1221" customFormat="1" ht="27.75" customHeight="1" x14ac:dyDescent="0.2">
      <c r="A26" s="1213"/>
      <c r="B26" s="1214"/>
      <c r="C26" s="1215"/>
      <c r="D26" s="1214"/>
      <c r="E26" s="1214"/>
      <c r="F26" s="1215"/>
      <c r="G26" s="1222"/>
      <c r="H26" s="1214"/>
      <c r="I26" s="1215"/>
      <c r="J26" s="4117"/>
      <c r="K26" s="4120"/>
      <c r="L26" s="4123"/>
      <c r="M26" s="4123"/>
      <c r="N26" s="4123"/>
      <c r="O26" s="4123"/>
      <c r="P26" s="4120"/>
      <c r="Q26" s="4140"/>
      <c r="R26" s="4143"/>
      <c r="S26" s="4120"/>
      <c r="T26" s="4120"/>
      <c r="U26" s="4137" t="s">
        <v>189</v>
      </c>
      <c r="V26" s="1219">
        <v>5600000</v>
      </c>
      <c r="W26" s="1220">
        <v>61</v>
      </c>
      <c r="X26" s="4123"/>
      <c r="Y26" s="4123"/>
      <c r="Z26" s="4123"/>
      <c r="AA26" s="4132"/>
      <c r="AB26" s="4135"/>
      <c r="AC26" s="4155"/>
      <c r="AD26" s="4135"/>
      <c r="AE26" s="4135"/>
      <c r="AF26" s="4135"/>
      <c r="AG26" s="4135"/>
      <c r="AH26" s="4135"/>
      <c r="AI26" s="4135"/>
      <c r="AJ26" s="4155"/>
      <c r="AK26" s="4135"/>
      <c r="AL26" s="4135"/>
      <c r="AM26" s="4155"/>
      <c r="AN26" s="4155"/>
      <c r="AO26" s="4149"/>
      <c r="AP26" s="4149"/>
      <c r="AQ26" s="4152"/>
      <c r="AR26" s="2593"/>
    </row>
    <row r="27" spans="1:44" s="1221" customFormat="1" ht="28.5" customHeight="1" x14ac:dyDescent="0.2">
      <c r="A27" s="1213"/>
      <c r="B27" s="1214"/>
      <c r="C27" s="1215"/>
      <c r="D27" s="1214"/>
      <c r="E27" s="1214"/>
      <c r="F27" s="1215"/>
      <c r="G27" s="1222"/>
      <c r="H27" s="1214"/>
      <c r="I27" s="1215"/>
      <c r="J27" s="4117"/>
      <c r="K27" s="4120"/>
      <c r="L27" s="4123"/>
      <c r="M27" s="4123"/>
      <c r="N27" s="4123"/>
      <c r="O27" s="4123"/>
      <c r="P27" s="4120"/>
      <c r="Q27" s="4140"/>
      <c r="R27" s="4143"/>
      <c r="S27" s="4120"/>
      <c r="T27" s="4120"/>
      <c r="U27" s="4138"/>
      <c r="V27" s="1219">
        <v>3000000</v>
      </c>
      <c r="W27" s="1220">
        <v>98</v>
      </c>
      <c r="X27" s="4123"/>
      <c r="Y27" s="4123"/>
      <c r="Z27" s="4123"/>
      <c r="AA27" s="4132"/>
      <c r="AB27" s="4135"/>
      <c r="AC27" s="4155"/>
      <c r="AD27" s="4135"/>
      <c r="AE27" s="4135"/>
      <c r="AF27" s="4135"/>
      <c r="AG27" s="4135"/>
      <c r="AH27" s="4135"/>
      <c r="AI27" s="4135"/>
      <c r="AJ27" s="4155"/>
      <c r="AK27" s="4135"/>
      <c r="AL27" s="4135"/>
      <c r="AM27" s="4155"/>
      <c r="AN27" s="4155"/>
      <c r="AO27" s="4149"/>
      <c r="AP27" s="4149"/>
      <c r="AQ27" s="4152"/>
      <c r="AR27" s="2593"/>
    </row>
    <row r="28" spans="1:44" s="1221" customFormat="1" ht="30.75" customHeight="1" x14ac:dyDescent="0.2">
      <c r="A28" s="1213"/>
      <c r="B28" s="1214"/>
      <c r="C28" s="1215"/>
      <c r="D28" s="1214"/>
      <c r="E28" s="1214"/>
      <c r="F28" s="1215"/>
      <c r="G28" s="1222"/>
      <c r="H28" s="1214"/>
      <c r="I28" s="1215"/>
      <c r="J28" s="4117"/>
      <c r="K28" s="4120"/>
      <c r="L28" s="4123"/>
      <c r="M28" s="4123"/>
      <c r="N28" s="4123"/>
      <c r="O28" s="4123"/>
      <c r="P28" s="4120"/>
      <c r="Q28" s="4140"/>
      <c r="R28" s="4143"/>
      <c r="S28" s="4120"/>
      <c r="T28" s="4120"/>
      <c r="U28" s="4137" t="s">
        <v>190</v>
      </c>
      <c r="V28" s="1219">
        <v>5600000</v>
      </c>
      <c r="W28" s="1220">
        <v>61</v>
      </c>
      <c r="X28" s="4123"/>
      <c r="Y28" s="4123"/>
      <c r="Z28" s="4123"/>
      <c r="AA28" s="4132"/>
      <c r="AB28" s="4135"/>
      <c r="AC28" s="4155"/>
      <c r="AD28" s="4135"/>
      <c r="AE28" s="4135"/>
      <c r="AF28" s="4135"/>
      <c r="AG28" s="4135"/>
      <c r="AH28" s="4135"/>
      <c r="AI28" s="4135"/>
      <c r="AJ28" s="4155"/>
      <c r="AK28" s="4135"/>
      <c r="AL28" s="4135"/>
      <c r="AM28" s="4155"/>
      <c r="AN28" s="4155"/>
      <c r="AO28" s="4149"/>
      <c r="AP28" s="4149"/>
      <c r="AQ28" s="4152"/>
      <c r="AR28" s="2593"/>
    </row>
    <row r="29" spans="1:44" s="1221" customFormat="1" ht="28.5" customHeight="1" x14ac:dyDescent="0.2">
      <c r="A29" s="1213"/>
      <c r="B29" s="1214"/>
      <c r="C29" s="1215"/>
      <c r="D29" s="1214"/>
      <c r="E29" s="1214"/>
      <c r="F29" s="1215"/>
      <c r="G29" s="1222"/>
      <c r="H29" s="1214"/>
      <c r="I29" s="1215"/>
      <c r="J29" s="4117"/>
      <c r="K29" s="4120"/>
      <c r="L29" s="4123"/>
      <c r="M29" s="4123"/>
      <c r="N29" s="4123"/>
      <c r="O29" s="4123"/>
      <c r="P29" s="4120"/>
      <c r="Q29" s="4140"/>
      <c r="R29" s="4143"/>
      <c r="S29" s="4120"/>
      <c r="T29" s="4120"/>
      <c r="U29" s="4138"/>
      <c r="V29" s="1219">
        <v>3000000</v>
      </c>
      <c r="W29" s="1220">
        <v>98</v>
      </c>
      <c r="X29" s="4123"/>
      <c r="Y29" s="4123"/>
      <c r="Z29" s="4123"/>
      <c r="AA29" s="4132"/>
      <c r="AB29" s="4135"/>
      <c r="AC29" s="4155"/>
      <c r="AD29" s="4135"/>
      <c r="AE29" s="4135"/>
      <c r="AF29" s="4135"/>
      <c r="AG29" s="4135"/>
      <c r="AH29" s="4135"/>
      <c r="AI29" s="4135"/>
      <c r="AJ29" s="4155"/>
      <c r="AK29" s="4135"/>
      <c r="AL29" s="4135"/>
      <c r="AM29" s="4155"/>
      <c r="AN29" s="4155"/>
      <c r="AO29" s="4149"/>
      <c r="AP29" s="4149"/>
      <c r="AQ29" s="4152"/>
      <c r="AR29" s="2593"/>
    </row>
    <row r="30" spans="1:44" s="1221" customFormat="1" ht="28.5" customHeight="1" x14ac:dyDescent="0.2">
      <c r="A30" s="1213"/>
      <c r="B30" s="1214"/>
      <c r="C30" s="1215"/>
      <c r="D30" s="1214"/>
      <c r="E30" s="1214"/>
      <c r="F30" s="1215"/>
      <c r="G30" s="1222"/>
      <c r="H30" s="1214"/>
      <c r="I30" s="1215"/>
      <c r="J30" s="4117"/>
      <c r="K30" s="4120"/>
      <c r="L30" s="4123"/>
      <c r="M30" s="4123"/>
      <c r="N30" s="4123"/>
      <c r="O30" s="4123"/>
      <c r="P30" s="4120"/>
      <c r="Q30" s="4140"/>
      <c r="R30" s="4143"/>
      <c r="S30" s="4120"/>
      <c r="T30" s="4120"/>
      <c r="U30" s="4137" t="s">
        <v>191</v>
      </c>
      <c r="V30" s="1219">
        <v>5600000</v>
      </c>
      <c r="W30" s="1220">
        <v>61</v>
      </c>
      <c r="X30" s="4123"/>
      <c r="Y30" s="4123"/>
      <c r="Z30" s="4123"/>
      <c r="AA30" s="4132"/>
      <c r="AB30" s="4135"/>
      <c r="AC30" s="4155"/>
      <c r="AD30" s="4135"/>
      <c r="AE30" s="4135"/>
      <c r="AF30" s="4135"/>
      <c r="AG30" s="4135"/>
      <c r="AH30" s="4135"/>
      <c r="AI30" s="4135"/>
      <c r="AJ30" s="4155"/>
      <c r="AK30" s="4135"/>
      <c r="AL30" s="4135"/>
      <c r="AM30" s="4155"/>
      <c r="AN30" s="4155"/>
      <c r="AO30" s="4149"/>
      <c r="AP30" s="4149"/>
      <c r="AQ30" s="4152"/>
      <c r="AR30" s="2593"/>
    </row>
    <row r="31" spans="1:44" s="1221" customFormat="1" ht="30.75" customHeight="1" x14ac:dyDescent="0.2">
      <c r="A31" s="1213"/>
      <c r="B31" s="1214"/>
      <c r="C31" s="1215"/>
      <c r="D31" s="1214"/>
      <c r="E31" s="1214"/>
      <c r="F31" s="1215"/>
      <c r="G31" s="1222"/>
      <c r="H31" s="1214"/>
      <c r="I31" s="1215"/>
      <c r="J31" s="4117"/>
      <c r="K31" s="4120"/>
      <c r="L31" s="4123"/>
      <c r="M31" s="4123"/>
      <c r="N31" s="4123"/>
      <c r="O31" s="4123"/>
      <c r="P31" s="4120"/>
      <c r="Q31" s="4140"/>
      <c r="R31" s="4143"/>
      <c r="S31" s="4120"/>
      <c r="T31" s="4120"/>
      <c r="U31" s="4138"/>
      <c r="V31" s="1219">
        <v>3000000</v>
      </c>
      <c r="W31" s="1220">
        <v>98</v>
      </c>
      <c r="X31" s="4123"/>
      <c r="Y31" s="4123"/>
      <c r="Z31" s="4123"/>
      <c r="AA31" s="4132"/>
      <c r="AB31" s="4135"/>
      <c r="AC31" s="4155"/>
      <c r="AD31" s="4135"/>
      <c r="AE31" s="4135"/>
      <c r="AF31" s="4135"/>
      <c r="AG31" s="4135"/>
      <c r="AH31" s="4135"/>
      <c r="AI31" s="4135"/>
      <c r="AJ31" s="4155"/>
      <c r="AK31" s="4135"/>
      <c r="AL31" s="4135"/>
      <c r="AM31" s="4155"/>
      <c r="AN31" s="4155"/>
      <c r="AO31" s="4149"/>
      <c r="AP31" s="4149"/>
      <c r="AQ31" s="4152"/>
      <c r="AR31" s="2593"/>
    </row>
    <row r="32" spans="1:44" s="1221" customFormat="1" ht="42" customHeight="1" x14ac:dyDescent="0.2">
      <c r="A32" s="1213"/>
      <c r="B32" s="1214"/>
      <c r="C32" s="1215"/>
      <c r="D32" s="1214"/>
      <c r="E32" s="1214"/>
      <c r="F32" s="1215"/>
      <c r="G32" s="1222"/>
      <c r="H32" s="1214"/>
      <c r="I32" s="1215"/>
      <c r="J32" s="4129">
        <v>129</v>
      </c>
      <c r="K32" s="4119" t="s">
        <v>192</v>
      </c>
      <c r="L32" s="4122" t="s">
        <v>169</v>
      </c>
      <c r="M32" s="4122">
        <v>6</v>
      </c>
      <c r="N32" s="4123"/>
      <c r="O32" s="4123"/>
      <c r="P32" s="4120"/>
      <c r="Q32" s="4139">
        <f>SUM(V32:V45)/R12</f>
        <v>0.46938775510204084</v>
      </c>
      <c r="R32" s="4143"/>
      <c r="S32" s="4120"/>
      <c r="T32" s="4119" t="s">
        <v>193</v>
      </c>
      <c r="U32" s="4137" t="s">
        <v>194</v>
      </c>
      <c r="V32" s="1219">
        <v>6000000</v>
      </c>
      <c r="W32" s="1220">
        <v>61</v>
      </c>
      <c r="X32" s="4123"/>
      <c r="Y32" s="4123"/>
      <c r="Z32" s="4123"/>
      <c r="AA32" s="4132"/>
      <c r="AB32" s="4135"/>
      <c r="AC32" s="4155"/>
      <c r="AD32" s="4135"/>
      <c r="AE32" s="4135"/>
      <c r="AF32" s="4135"/>
      <c r="AG32" s="4135"/>
      <c r="AH32" s="4135"/>
      <c r="AI32" s="4135"/>
      <c r="AJ32" s="4155"/>
      <c r="AK32" s="4135"/>
      <c r="AL32" s="4135"/>
      <c r="AM32" s="4155"/>
      <c r="AN32" s="4155"/>
      <c r="AO32" s="4149"/>
      <c r="AP32" s="4149"/>
      <c r="AQ32" s="4152"/>
      <c r="AR32" s="2593"/>
    </row>
    <row r="33" spans="1:44" s="1221" customFormat="1" ht="28.5" customHeight="1" x14ac:dyDescent="0.2">
      <c r="A33" s="1213"/>
      <c r="B33" s="1214"/>
      <c r="C33" s="1215"/>
      <c r="D33" s="1214"/>
      <c r="E33" s="1214"/>
      <c r="F33" s="1215"/>
      <c r="G33" s="1222"/>
      <c r="H33" s="1214"/>
      <c r="I33" s="1215"/>
      <c r="J33" s="4129"/>
      <c r="K33" s="4120"/>
      <c r="L33" s="4123"/>
      <c r="M33" s="4123"/>
      <c r="N33" s="4123"/>
      <c r="O33" s="4123"/>
      <c r="P33" s="4120"/>
      <c r="Q33" s="4140"/>
      <c r="R33" s="4143"/>
      <c r="S33" s="4120"/>
      <c r="T33" s="4120"/>
      <c r="U33" s="4138"/>
      <c r="V33" s="1219">
        <v>3000000</v>
      </c>
      <c r="W33" s="1220">
        <v>98</v>
      </c>
      <c r="X33" s="4123"/>
      <c r="Y33" s="4123"/>
      <c r="Z33" s="4123"/>
      <c r="AA33" s="4132"/>
      <c r="AB33" s="4135"/>
      <c r="AC33" s="4155"/>
      <c r="AD33" s="4135"/>
      <c r="AE33" s="4135"/>
      <c r="AF33" s="4135"/>
      <c r="AG33" s="4135"/>
      <c r="AH33" s="4135"/>
      <c r="AI33" s="4135"/>
      <c r="AJ33" s="4155"/>
      <c r="AK33" s="4135"/>
      <c r="AL33" s="4135"/>
      <c r="AM33" s="4155"/>
      <c r="AN33" s="4155"/>
      <c r="AO33" s="4149"/>
      <c r="AP33" s="4149"/>
      <c r="AQ33" s="4152"/>
      <c r="AR33" s="2593"/>
    </row>
    <row r="34" spans="1:44" s="1221" customFormat="1" ht="33" customHeight="1" x14ac:dyDescent="0.2">
      <c r="A34" s="1213"/>
      <c r="B34" s="1214"/>
      <c r="C34" s="1215"/>
      <c r="D34" s="1214"/>
      <c r="E34" s="1214"/>
      <c r="F34" s="1215"/>
      <c r="G34" s="1222"/>
      <c r="H34" s="1214"/>
      <c r="I34" s="1215"/>
      <c r="J34" s="4129"/>
      <c r="K34" s="4120"/>
      <c r="L34" s="4123"/>
      <c r="M34" s="4123"/>
      <c r="N34" s="4123"/>
      <c r="O34" s="4123"/>
      <c r="P34" s="4120"/>
      <c r="Q34" s="4140"/>
      <c r="R34" s="4143"/>
      <c r="S34" s="4120"/>
      <c r="T34" s="4120"/>
      <c r="U34" s="4137" t="s">
        <v>195</v>
      </c>
      <c r="V34" s="1219">
        <v>6000000</v>
      </c>
      <c r="W34" s="1220">
        <v>61</v>
      </c>
      <c r="X34" s="4123"/>
      <c r="Y34" s="4123"/>
      <c r="Z34" s="4123"/>
      <c r="AA34" s="4132"/>
      <c r="AB34" s="4135"/>
      <c r="AC34" s="4155"/>
      <c r="AD34" s="4135"/>
      <c r="AE34" s="4135"/>
      <c r="AF34" s="4135"/>
      <c r="AG34" s="4135"/>
      <c r="AH34" s="4135"/>
      <c r="AI34" s="4135"/>
      <c r="AJ34" s="4155"/>
      <c r="AK34" s="4135"/>
      <c r="AL34" s="4135"/>
      <c r="AM34" s="4155"/>
      <c r="AN34" s="4155"/>
      <c r="AO34" s="4149"/>
      <c r="AP34" s="4149"/>
      <c r="AQ34" s="4152"/>
      <c r="AR34" s="2593"/>
    </row>
    <row r="35" spans="1:44" s="1221" customFormat="1" ht="22.5" customHeight="1" x14ac:dyDescent="0.2">
      <c r="A35" s="1213"/>
      <c r="B35" s="1214"/>
      <c r="C35" s="1215"/>
      <c r="D35" s="1214"/>
      <c r="E35" s="1214"/>
      <c r="F35" s="1215"/>
      <c r="G35" s="1222"/>
      <c r="H35" s="1214"/>
      <c r="I35" s="1215"/>
      <c r="J35" s="4129"/>
      <c r="K35" s="4120"/>
      <c r="L35" s="4123"/>
      <c r="M35" s="4123"/>
      <c r="N35" s="4123"/>
      <c r="O35" s="4123"/>
      <c r="P35" s="4120"/>
      <c r="Q35" s="4140"/>
      <c r="R35" s="4143"/>
      <c r="S35" s="4120"/>
      <c r="T35" s="4120"/>
      <c r="U35" s="4138"/>
      <c r="V35" s="1219">
        <v>3000000</v>
      </c>
      <c r="W35" s="1220">
        <v>98</v>
      </c>
      <c r="X35" s="4123"/>
      <c r="Y35" s="4123"/>
      <c r="Z35" s="4123"/>
      <c r="AA35" s="4132"/>
      <c r="AB35" s="4135"/>
      <c r="AC35" s="4155"/>
      <c r="AD35" s="4135"/>
      <c r="AE35" s="4135"/>
      <c r="AF35" s="4135"/>
      <c r="AG35" s="4135"/>
      <c r="AH35" s="4135"/>
      <c r="AI35" s="4135"/>
      <c r="AJ35" s="4155"/>
      <c r="AK35" s="4135"/>
      <c r="AL35" s="4135"/>
      <c r="AM35" s="4155"/>
      <c r="AN35" s="4155"/>
      <c r="AO35" s="4149"/>
      <c r="AP35" s="4149"/>
      <c r="AQ35" s="4152"/>
      <c r="AR35" s="2593"/>
    </row>
    <row r="36" spans="1:44" s="1221" customFormat="1" ht="28.5" customHeight="1" x14ac:dyDescent="0.2">
      <c r="A36" s="1213"/>
      <c r="B36" s="1214"/>
      <c r="C36" s="1215"/>
      <c r="D36" s="1214"/>
      <c r="E36" s="1214"/>
      <c r="F36" s="1215"/>
      <c r="G36" s="1222"/>
      <c r="H36" s="1214"/>
      <c r="I36" s="1215"/>
      <c r="J36" s="4129"/>
      <c r="K36" s="4120"/>
      <c r="L36" s="4123"/>
      <c r="M36" s="4123"/>
      <c r="N36" s="4123"/>
      <c r="O36" s="4123"/>
      <c r="P36" s="4120"/>
      <c r="Q36" s="4140"/>
      <c r="R36" s="4143"/>
      <c r="S36" s="4120"/>
      <c r="T36" s="4120"/>
      <c r="U36" s="4137" t="s">
        <v>196</v>
      </c>
      <c r="V36" s="1219">
        <v>6000000</v>
      </c>
      <c r="W36" s="1220">
        <v>61</v>
      </c>
      <c r="X36" s="4123"/>
      <c r="Y36" s="4123"/>
      <c r="Z36" s="4123"/>
      <c r="AA36" s="4132"/>
      <c r="AB36" s="4135"/>
      <c r="AC36" s="4155"/>
      <c r="AD36" s="4135"/>
      <c r="AE36" s="4135"/>
      <c r="AF36" s="4135"/>
      <c r="AG36" s="4135"/>
      <c r="AH36" s="4135"/>
      <c r="AI36" s="4135"/>
      <c r="AJ36" s="4155"/>
      <c r="AK36" s="4135"/>
      <c r="AL36" s="4135"/>
      <c r="AM36" s="4155"/>
      <c r="AN36" s="4155"/>
      <c r="AO36" s="4149"/>
      <c r="AP36" s="4149"/>
      <c r="AQ36" s="4152"/>
      <c r="AR36" s="2593"/>
    </row>
    <row r="37" spans="1:44" s="1221" customFormat="1" ht="38.25" customHeight="1" x14ac:dyDescent="0.2">
      <c r="A37" s="1213"/>
      <c r="B37" s="1214"/>
      <c r="C37" s="1215"/>
      <c r="D37" s="1214"/>
      <c r="E37" s="1214"/>
      <c r="F37" s="1215"/>
      <c r="G37" s="1222"/>
      <c r="H37" s="1214"/>
      <c r="I37" s="1215"/>
      <c r="J37" s="4129"/>
      <c r="K37" s="4120"/>
      <c r="L37" s="4123"/>
      <c r="M37" s="4123"/>
      <c r="N37" s="4123"/>
      <c r="O37" s="4123"/>
      <c r="P37" s="4120"/>
      <c r="Q37" s="4140"/>
      <c r="R37" s="4143"/>
      <c r="S37" s="4120"/>
      <c r="T37" s="4120"/>
      <c r="U37" s="4138"/>
      <c r="V37" s="1219">
        <v>3000000</v>
      </c>
      <c r="W37" s="1220">
        <v>98</v>
      </c>
      <c r="X37" s="4123"/>
      <c r="Y37" s="4123"/>
      <c r="Z37" s="4123"/>
      <c r="AA37" s="4132"/>
      <c r="AB37" s="4135"/>
      <c r="AC37" s="4155"/>
      <c r="AD37" s="4135"/>
      <c r="AE37" s="4135"/>
      <c r="AF37" s="4135"/>
      <c r="AG37" s="4135"/>
      <c r="AH37" s="4135"/>
      <c r="AI37" s="4135"/>
      <c r="AJ37" s="4155"/>
      <c r="AK37" s="4135"/>
      <c r="AL37" s="4135"/>
      <c r="AM37" s="4155"/>
      <c r="AN37" s="4155"/>
      <c r="AO37" s="4149"/>
      <c r="AP37" s="4149"/>
      <c r="AQ37" s="4152"/>
      <c r="AR37" s="2593"/>
    </row>
    <row r="38" spans="1:44" s="1221" customFormat="1" ht="39" customHeight="1" x14ac:dyDescent="0.2">
      <c r="A38" s="1213"/>
      <c r="B38" s="1214"/>
      <c r="C38" s="1215"/>
      <c r="D38" s="1214"/>
      <c r="E38" s="1214"/>
      <c r="F38" s="1215"/>
      <c r="G38" s="1222"/>
      <c r="H38" s="1214"/>
      <c r="I38" s="1215"/>
      <c r="J38" s="4129"/>
      <c r="K38" s="4120"/>
      <c r="L38" s="4123"/>
      <c r="M38" s="4123"/>
      <c r="N38" s="4123"/>
      <c r="O38" s="4123"/>
      <c r="P38" s="4120"/>
      <c r="Q38" s="4140"/>
      <c r="R38" s="4143"/>
      <c r="S38" s="4120"/>
      <c r="T38" s="4120"/>
      <c r="U38" s="4137" t="s">
        <v>197</v>
      </c>
      <c r="V38" s="1219">
        <v>28000000</v>
      </c>
      <c r="W38" s="1220">
        <v>61</v>
      </c>
      <c r="X38" s="4123"/>
      <c r="Y38" s="4123"/>
      <c r="Z38" s="4123"/>
      <c r="AA38" s="4132"/>
      <c r="AB38" s="4135"/>
      <c r="AC38" s="4155"/>
      <c r="AD38" s="4135"/>
      <c r="AE38" s="4135"/>
      <c r="AF38" s="4135"/>
      <c r="AG38" s="4135"/>
      <c r="AH38" s="4135"/>
      <c r="AI38" s="4135"/>
      <c r="AJ38" s="4155"/>
      <c r="AK38" s="4135"/>
      <c r="AL38" s="4135"/>
      <c r="AM38" s="4155"/>
      <c r="AN38" s="4155"/>
      <c r="AO38" s="4149"/>
      <c r="AP38" s="4149"/>
      <c r="AQ38" s="4152"/>
      <c r="AR38" s="2593"/>
    </row>
    <row r="39" spans="1:44" s="1221" customFormat="1" ht="36" customHeight="1" x14ac:dyDescent="0.2">
      <c r="A39" s="1213"/>
      <c r="B39" s="1214"/>
      <c r="C39" s="1215"/>
      <c r="D39" s="1214"/>
      <c r="E39" s="1214"/>
      <c r="F39" s="1215"/>
      <c r="G39" s="1222"/>
      <c r="H39" s="1214"/>
      <c r="I39" s="1215"/>
      <c r="J39" s="4129"/>
      <c r="K39" s="4120"/>
      <c r="L39" s="4123"/>
      <c r="M39" s="4123"/>
      <c r="N39" s="4123"/>
      <c r="O39" s="4123"/>
      <c r="P39" s="4120"/>
      <c r="Q39" s="4140"/>
      <c r="R39" s="4143"/>
      <c r="S39" s="4120"/>
      <c r="T39" s="4120"/>
      <c r="U39" s="4138"/>
      <c r="V39" s="1219">
        <v>3000000</v>
      </c>
      <c r="W39" s="1220">
        <v>98</v>
      </c>
      <c r="X39" s="4123"/>
      <c r="Y39" s="4123"/>
      <c r="Z39" s="4123"/>
      <c r="AA39" s="4132"/>
      <c r="AB39" s="4135"/>
      <c r="AC39" s="4155"/>
      <c r="AD39" s="4135"/>
      <c r="AE39" s="4135"/>
      <c r="AF39" s="4135"/>
      <c r="AG39" s="4135"/>
      <c r="AH39" s="4135"/>
      <c r="AI39" s="4135"/>
      <c r="AJ39" s="4155"/>
      <c r="AK39" s="4135"/>
      <c r="AL39" s="4135"/>
      <c r="AM39" s="4155"/>
      <c r="AN39" s="4155"/>
      <c r="AO39" s="4149"/>
      <c r="AP39" s="4149"/>
      <c r="AQ39" s="4152"/>
      <c r="AR39" s="2593"/>
    </row>
    <row r="40" spans="1:44" s="1221" customFormat="1" ht="36" customHeight="1" x14ac:dyDescent="0.2">
      <c r="A40" s="1213"/>
      <c r="B40" s="1214"/>
      <c r="C40" s="1215"/>
      <c r="D40" s="1214"/>
      <c r="E40" s="1214"/>
      <c r="F40" s="1215"/>
      <c r="G40" s="1222"/>
      <c r="H40" s="1214"/>
      <c r="I40" s="1215"/>
      <c r="J40" s="4129"/>
      <c r="K40" s="4120"/>
      <c r="L40" s="4123"/>
      <c r="M40" s="4123"/>
      <c r="N40" s="4123"/>
      <c r="O40" s="4123"/>
      <c r="P40" s="4120"/>
      <c r="Q40" s="4140"/>
      <c r="R40" s="4143"/>
      <c r="S40" s="4120"/>
      <c r="T40" s="4120"/>
      <c r="U40" s="4137" t="s">
        <v>198</v>
      </c>
      <c r="V40" s="1219">
        <v>6000000</v>
      </c>
      <c r="W40" s="1220">
        <v>61</v>
      </c>
      <c r="X40" s="4123"/>
      <c r="Y40" s="4123"/>
      <c r="Z40" s="4123"/>
      <c r="AA40" s="4132"/>
      <c r="AB40" s="4135"/>
      <c r="AC40" s="4155"/>
      <c r="AD40" s="4135"/>
      <c r="AE40" s="4135"/>
      <c r="AF40" s="4135"/>
      <c r="AG40" s="4135"/>
      <c r="AH40" s="4135"/>
      <c r="AI40" s="4135"/>
      <c r="AJ40" s="4155"/>
      <c r="AK40" s="4135"/>
      <c r="AL40" s="4135"/>
      <c r="AM40" s="4155"/>
      <c r="AN40" s="4155"/>
      <c r="AO40" s="4149"/>
      <c r="AP40" s="4149"/>
      <c r="AQ40" s="4152"/>
      <c r="AR40" s="2593"/>
    </row>
    <row r="41" spans="1:44" s="1221" customFormat="1" ht="24" customHeight="1" x14ac:dyDescent="0.2">
      <c r="A41" s="1213"/>
      <c r="B41" s="1214"/>
      <c r="C41" s="1215"/>
      <c r="D41" s="1214"/>
      <c r="E41" s="1214"/>
      <c r="F41" s="1215"/>
      <c r="G41" s="1222"/>
      <c r="H41" s="1214"/>
      <c r="I41" s="1215"/>
      <c r="J41" s="4129"/>
      <c r="K41" s="4120"/>
      <c r="L41" s="4123"/>
      <c r="M41" s="4123"/>
      <c r="N41" s="4123"/>
      <c r="O41" s="4123"/>
      <c r="P41" s="4120"/>
      <c r="Q41" s="4140"/>
      <c r="R41" s="4143"/>
      <c r="S41" s="4120"/>
      <c r="T41" s="4120"/>
      <c r="U41" s="4138"/>
      <c r="V41" s="1219">
        <v>3500000</v>
      </c>
      <c r="W41" s="1220">
        <v>98</v>
      </c>
      <c r="X41" s="4123"/>
      <c r="Y41" s="4123"/>
      <c r="Z41" s="4123"/>
      <c r="AA41" s="4132"/>
      <c r="AB41" s="4135"/>
      <c r="AC41" s="4155"/>
      <c r="AD41" s="4135"/>
      <c r="AE41" s="4135"/>
      <c r="AF41" s="4135"/>
      <c r="AG41" s="4135"/>
      <c r="AH41" s="4135"/>
      <c r="AI41" s="4135"/>
      <c r="AJ41" s="4155"/>
      <c r="AK41" s="4135"/>
      <c r="AL41" s="4135"/>
      <c r="AM41" s="4155"/>
      <c r="AN41" s="4155"/>
      <c r="AO41" s="4149"/>
      <c r="AP41" s="4149"/>
      <c r="AQ41" s="4152"/>
      <c r="AR41" s="2593"/>
    </row>
    <row r="42" spans="1:44" s="1221" customFormat="1" ht="33" customHeight="1" x14ac:dyDescent="0.2">
      <c r="A42" s="1213"/>
      <c r="B42" s="1214"/>
      <c r="C42" s="1215"/>
      <c r="D42" s="1214"/>
      <c r="E42" s="1214"/>
      <c r="F42" s="1215"/>
      <c r="G42" s="1222"/>
      <c r="H42" s="1214"/>
      <c r="I42" s="1215"/>
      <c r="J42" s="4129"/>
      <c r="K42" s="4120"/>
      <c r="L42" s="4123"/>
      <c r="M42" s="4123"/>
      <c r="N42" s="4123"/>
      <c r="O42" s="4123"/>
      <c r="P42" s="4120"/>
      <c r="Q42" s="4140"/>
      <c r="R42" s="4143"/>
      <c r="S42" s="4120"/>
      <c r="T42" s="4120"/>
      <c r="U42" s="4137" t="s">
        <v>199</v>
      </c>
      <c r="V42" s="1219">
        <v>6000000</v>
      </c>
      <c r="W42" s="1220">
        <v>61</v>
      </c>
      <c r="X42" s="4123"/>
      <c r="Y42" s="4123"/>
      <c r="Z42" s="4123"/>
      <c r="AA42" s="4132"/>
      <c r="AB42" s="4135"/>
      <c r="AC42" s="4155"/>
      <c r="AD42" s="4135"/>
      <c r="AE42" s="4135"/>
      <c r="AF42" s="4135"/>
      <c r="AG42" s="4135"/>
      <c r="AH42" s="4135"/>
      <c r="AI42" s="4135"/>
      <c r="AJ42" s="4155"/>
      <c r="AK42" s="4135"/>
      <c r="AL42" s="4135"/>
      <c r="AM42" s="4155"/>
      <c r="AN42" s="4155"/>
      <c r="AO42" s="4149"/>
      <c r="AP42" s="4149"/>
      <c r="AQ42" s="4152"/>
      <c r="AR42" s="2593"/>
    </row>
    <row r="43" spans="1:44" s="1221" customFormat="1" ht="33" customHeight="1" x14ac:dyDescent="0.2">
      <c r="A43" s="1213"/>
      <c r="B43" s="1214"/>
      <c r="C43" s="1215"/>
      <c r="D43" s="1214"/>
      <c r="E43" s="1214"/>
      <c r="F43" s="1215"/>
      <c r="G43" s="1222"/>
      <c r="H43" s="1214"/>
      <c r="I43" s="1215"/>
      <c r="J43" s="4129"/>
      <c r="K43" s="4120"/>
      <c r="L43" s="4123"/>
      <c r="M43" s="4123"/>
      <c r="N43" s="4123"/>
      <c r="O43" s="4123"/>
      <c r="P43" s="4120"/>
      <c r="Q43" s="4140"/>
      <c r="R43" s="4143"/>
      <c r="S43" s="4120"/>
      <c r="T43" s="4120"/>
      <c r="U43" s="4138"/>
      <c r="V43" s="1219">
        <v>3500000</v>
      </c>
      <c r="W43" s="1220">
        <v>98</v>
      </c>
      <c r="X43" s="4123"/>
      <c r="Y43" s="4123"/>
      <c r="Z43" s="4123"/>
      <c r="AA43" s="4132"/>
      <c r="AB43" s="4135"/>
      <c r="AC43" s="4155"/>
      <c r="AD43" s="4135"/>
      <c r="AE43" s="4135"/>
      <c r="AF43" s="4135"/>
      <c r="AG43" s="4135"/>
      <c r="AH43" s="4135"/>
      <c r="AI43" s="4135"/>
      <c r="AJ43" s="4155"/>
      <c r="AK43" s="4135"/>
      <c r="AL43" s="4135"/>
      <c r="AM43" s="4155"/>
      <c r="AN43" s="4155"/>
      <c r="AO43" s="4149"/>
      <c r="AP43" s="4149"/>
      <c r="AQ43" s="4152"/>
      <c r="AR43" s="2593"/>
    </row>
    <row r="44" spans="1:44" s="1221" customFormat="1" ht="33" customHeight="1" x14ac:dyDescent="0.2">
      <c r="A44" s="1213"/>
      <c r="B44" s="1214"/>
      <c r="C44" s="1215"/>
      <c r="D44" s="1214"/>
      <c r="E44" s="1214"/>
      <c r="F44" s="1215"/>
      <c r="G44" s="1222"/>
      <c r="H44" s="1214"/>
      <c r="I44" s="1215"/>
      <c r="J44" s="4129"/>
      <c r="K44" s="4120"/>
      <c r="L44" s="4123"/>
      <c r="M44" s="4123"/>
      <c r="N44" s="4123"/>
      <c r="O44" s="4123"/>
      <c r="P44" s="4120"/>
      <c r="Q44" s="4140"/>
      <c r="R44" s="4143"/>
      <c r="S44" s="4120"/>
      <c r="T44" s="4120"/>
      <c r="U44" s="4137" t="s">
        <v>200</v>
      </c>
      <c r="V44" s="1219">
        <v>12000000</v>
      </c>
      <c r="W44" s="1220">
        <v>61</v>
      </c>
      <c r="X44" s="4123"/>
      <c r="Y44" s="4123"/>
      <c r="Z44" s="4123"/>
      <c r="AA44" s="4132"/>
      <c r="AB44" s="4135"/>
      <c r="AC44" s="4155"/>
      <c r="AD44" s="4135"/>
      <c r="AE44" s="4135"/>
      <c r="AF44" s="4135"/>
      <c r="AG44" s="4135"/>
      <c r="AH44" s="4135"/>
      <c r="AI44" s="4135"/>
      <c r="AJ44" s="4155"/>
      <c r="AK44" s="4135"/>
      <c r="AL44" s="4135"/>
      <c r="AM44" s="4155"/>
      <c r="AN44" s="4155"/>
      <c r="AO44" s="4149"/>
      <c r="AP44" s="4149"/>
      <c r="AQ44" s="4152"/>
      <c r="AR44" s="2593"/>
    </row>
    <row r="45" spans="1:44" s="1221" customFormat="1" ht="28.5" customHeight="1" x14ac:dyDescent="0.2">
      <c r="A45" s="1213"/>
      <c r="B45" s="1214"/>
      <c r="C45" s="1215"/>
      <c r="D45" s="1224"/>
      <c r="E45" s="1224"/>
      <c r="F45" s="1225"/>
      <c r="G45" s="1226"/>
      <c r="H45" s="1224"/>
      <c r="I45" s="1225"/>
      <c r="J45" s="4129"/>
      <c r="K45" s="4121"/>
      <c r="L45" s="4124"/>
      <c r="M45" s="4124"/>
      <c r="N45" s="4124"/>
      <c r="O45" s="4124"/>
      <c r="P45" s="4121"/>
      <c r="Q45" s="4141"/>
      <c r="R45" s="4144"/>
      <c r="S45" s="4121"/>
      <c r="T45" s="4121"/>
      <c r="U45" s="4138"/>
      <c r="V45" s="1219">
        <v>3000000</v>
      </c>
      <c r="W45" s="1220">
        <v>98</v>
      </c>
      <c r="X45" s="4124"/>
      <c r="Y45" s="4124"/>
      <c r="Z45" s="4124"/>
      <c r="AA45" s="4133"/>
      <c r="AB45" s="4136"/>
      <c r="AC45" s="4156"/>
      <c r="AD45" s="4136"/>
      <c r="AE45" s="4136"/>
      <c r="AF45" s="4136"/>
      <c r="AG45" s="4136"/>
      <c r="AH45" s="4136"/>
      <c r="AI45" s="4136"/>
      <c r="AJ45" s="4156"/>
      <c r="AK45" s="4136"/>
      <c r="AL45" s="4136"/>
      <c r="AM45" s="4156"/>
      <c r="AN45" s="4156"/>
      <c r="AO45" s="4150"/>
      <c r="AP45" s="4150"/>
      <c r="AQ45" s="4153"/>
      <c r="AR45" s="2593"/>
    </row>
    <row r="46" spans="1:44" ht="36" customHeight="1" x14ac:dyDescent="0.2">
      <c r="A46" s="1199"/>
      <c r="C46" s="1227"/>
      <c r="D46" s="1228">
        <v>12</v>
      </c>
      <c r="E46" s="1229" t="s">
        <v>201</v>
      </c>
      <c r="F46" s="1230"/>
      <c r="G46" s="1191"/>
      <c r="H46" s="1191"/>
      <c r="I46" s="1191"/>
      <c r="J46" s="1191"/>
      <c r="K46" s="1192"/>
      <c r="L46" s="1191"/>
      <c r="M46" s="1191"/>
      <c r="N46" s="1193"/>
      <c r="O46" s="1191"/>
      <c r="P46" s="1192"/>
      <c r="Q46" s="1191"/>
      <c r="R46" s="1231"/>
      <c r="S46" s="1191"/>
      <c r="T46" s="1192"/>
      <c r="U46" s="1192"/>
      <c r="V46" s="1232"/>
      <c r="W46" s="1233"/>
      <c r="X46" s="1193"/>
      <c r="Y46" s="1193"/>
      <c r="Z46" s="1193"/>
      <c r="AA46" s="1193"/>
      <c r="AB46" s="1193"/>
      <c r="AC46" s="1193"/>
      <c r="AD46" s="1193"/>
      <c r="AE46" s="1193"/>
      <c r="AF46" s="1193"/>
      <c r="AG46" s="1193"/>
      <c r="AH46" s="1193"/>
      <c r="AI46" s="1193"/>
      <c r="AJ46" s="1193"/>
      <c r="AK46" s="1193"/>
      <c r="AL46" s="1193"/>
      <c r="AM46" s="1193"/>
      <c r="AN46" s="1193"/>
      <c r="AO46" s="1191"/>
      <c r="AP46" s="1191"/>
      <c r="AQ46" s="1198"/>
    </row>
    <row r="47" spans="1:44" ht="36" customHeight="1" x14ac:dyDescent="0.2">
      <c r="A47" s="1199"/>
      <c r="B47" s="1200"/>
      <c r="C47" s="1201"/>
      <c r="D47" s="1202"/>
      <c r="E47" s="1202"/>
      <c r="F47" s="1203"/>
      <c r="G47" s="1234">
        <v>36</v>
      </c>
      <c r="H47" s="1205" t="s">
        <v>202</v>
      </c>
      <c r="I47" s="1205"/>
      <c r="J47" s="1205"/>
      <c r="K47" s="1206"/>
      <c r="L47" s="1205"/>
      <c r="M47" s="1205"/>
      <c r="N47" s="1207"/>
      <c r="O47" s="1205"/>
      <c r="P47" s="1206"/>
      <c r="Q47" s="1205"/>
      <c r="R47" s="1235"/>
      <c r="S47" s="1205"/>
      <c r="T47" s="1206"/>
      <c r="U47" s="1206"/>
      <c r="V47" s="1236"/>
      <c r="W47" s="1237"/>
      <c r="X47" s="1207"/>
      <c r="Y47" s="1207"/>
      <c r="Z47" s="1207"/>
      <c r="AA47" s="1207"/>
      <c r="AB47" s="1207"/>
      <c r="AC47" s="1207"/>
      <c r="AD47" s="1207"/>
      <c r="AE47" s="1207"/>
      <c r="AF47" s="1207"/>
      <c r="AG47" s="1207"/>
      <c r="AH47" s="1207"/>
      <c r="AI47" s="1207"/>
      <c r="AJ47" s="1207"/>
      <c r="AK47" s="1207"/>
      <c r="AL47" s="1207"/>
      <c r="AM47" s="1207"/>
      <c r="AN47" s="1207"/>
      <c r="AO47" s="1205"/>
      <c r="AP47" s="1205"/>
      <c r="AQ47" s="1212"/>
    </row>
    <row r="48" spans="1:44" s="1221" customFormat="1" ht="68.25" customHeight="1" x14ac:dyDescent="0.2">
      <c r="A48" s="1213"/>
      <c r="B48" s="1214"/>
      <c r="C48" s="1215"/>
      <c r="D48" s="1214"/>
      <c r="E48" s="1214"/>
      <c r="F48" s="1215"/>
      <c r="G48" s="1216"/>
      <c r="H48" s="1217"/>
      <c r="I48" s="1218"/>
      <c r="J48" s="4116">
        <v>130</v>
      </c>
      <c r="K48" s="4122" t="s">
        <v>203</v>
      </c>
      <c r="L48" s="4122" t="s">
        <v>169</v>
      </c>
      <c r="M48" s="4122">
        <v>1</v>
      </c>
      <c r="N48" s="4122" t="s">
        <v>204</v>
      </c>
      <c r="O48" s="4122" t="s">
        <v>205</v>
      </c>
      <c r="P48" s="4119" t="s">
        <v>206</v>
      </c>
      <c r="Q48" s="4139">
        <f>(V48+V49)/R48</f>
        <v>0.40517241379310343</v>
      </c>
      <c r="R48" s="4142">
        <f>SUM(V48:V53)</f>
        <v>232000000</v>
      </c>
      <c r="S48" s="4119" t="s">
        <v>207</v>
      </c>
      <c r="T48" s="4122" t="s">
        <v>208</v>
      </c>
      <c r="U48" s="4137" t="s">
        <v>209</v>
      </c>
      <c r="V48" s="1522">
        <f>60000000+24000000</f>
        <v>84000000</v>
      </c>
      <c r="W48" s="1220">
        <v>61</v>
      </c>
      <c r="X48" s="4122" t="s">
        <v>210</v>
      </c>
      <c r="Y48" s="4131">
        <v>292684</v>
      </c>
      <c r="Z48" s="4131">
        <v>282326</v>
      </c>
      <c r="AA48" s="4157">
        <v>135912</v>
      </c>
      <c r="AB48" s="4160">
        <v>45122</v>
      </c>
      <c r="AC48" s="4160">
        <v>307101</v>
      </c>
      <c r="AD48" s="4160">
        <v>86875</v>
      </c>
      <c r="AE48" s="4160">
        <v>2145</v>
      </c>
      <c r="AF48" s="4160">
        <v>12718</v>
      </c>
      <c r="AG48" s="4160">
        <v>26</v>
      </c>
      <c r="AH48" s="4160">
        <v>37</v>
      </c>
      <c r="AI48" s="4160">
        <v>16897</v>
      </c>
      <c r="AJ48" s="4160" t="s">
        <v>177</v>
      </c>
      <c r="AK48" s="4160">
        <v>53164</v>
      </c>
      <c r="AL48" s="4160">
        <v>16982</v>
      </c>
      <c r="AM48" s="4160">
        <v>60013</v>
      </c>
      <c r="AN48" s="4161">
        <v>575010</v>
      </c>
      <c r="AO48" s="4148">
        <v>43467</v>
      </c>
      <c r="AP48" s="4148">
        <v>43830</v>
      </c>
      <c r="AQ48" s="4151" t="s">
        <v>178</v>
      </c>
      <c r="AR48" s="2594"/>
    </row>
    <row r="49" spans="1:44" s="1221" customFormat="1" ht="51.75" customHeight="1" x14ac:dyDescent="0.2">
      <c r="A49" s="1213"/>
      <c r="B49" s="1214"/>
      <c r="C49" s="1215"/>
      <c r="D49" s="1214"/>
      <c r="E49" s="1214"/>
      <c r="F49" s="1215"/>
      <c r="G49" s="1222"/>
      <c r="H49" s="1214"/>
      <c r="I49" s="1215"/>
      <c r="J49" s="4118"/>
      <c r="K49" s="4124"/>
      <c r="L49" s="4124"/>
      <c r="M49" s="4124"/>
      <c r="N49" s="4123"/>
      <c r="O49" s="4123"/>
      <c r="P49" s="4120"/>
      <c r="Q49" s="4141"/>
      <c r="R49" s="4143"/>
      <c r="S49" s="4120"/>
      <c r="T49" s="4124"/>
      <c r="U49" s="4138"/>
      <c r="V49" s="1522">
        <v>10000000</v>
      </c>
      <c r="W49" s="1220">
        <v>98</v>
      </c>
      <c r="X49" s="4123"/>
      <c r="Y49" s="4132"/>
      <c r="Z49" s="4132"/>
      <c r="AA49" s="4158"/>
      <c r="AB49" s="4160"/>
      <c r="AC49" s="4160"/>
      <c r="AD49" s="4160"/>
      <c r="AE49" s="4160"/>
      <c r="AF49" s="4160"/>
      <c r="AG49" s="4160"/>
      <c r="AH49" s="4160"/>
      <c r="AI49" s="4160"/>
      <c r="AJ49" s="4160"/>
      <c r="AK49" s="4160"/>
      <c r="AL49" s="4160"/>
      <c r="AM49" s="4160"/>
      <c r="AN49" s="4162"/>
      <c r="AO49" s="4149"/>
      <c r="AP49" s="4149"/>
      <c r="AQ49" s="4152"/>
      <c r="AR49" s="2593"/>
    </row>
    <row r="50" spans="1:44" s="1221" customFormat="1" ht="69" customHeight="1" x14ac:dyDescent="0.2">
      <c r="A50" s="1213"/>
      <c r="B50" s="1214"/>
      <c r="C50" s="1215"/>
      <c r="D50" s="1214"/>
      <c r="E50" s="1214"/>
      <c r="F50" s="1215"/>
      <c r="G50" s="1222"/>
      <c r="H50" s="1214"/>
      <c r="I50" s="1215"/>
      <c r="J50" s="4116">
        <v>131</v>
      </c>
      <c r="K50" s="4119" t="s">
        <v>211</v>
      </c>
      <c r="L50" s="4122" t="s">
        <v>169</v>
      </c>
      <c r="M50" s="4122">
        <v>5</v>
      </c>
      <c r="N50" s="4123"/>
      <c r="O50" s="4123"/>
      <c r="P50" s="4120"/>
      <c r="Q50" s="4139">
        <f>SUM(V50:V53)/R48</f>
        <v>0.59482758620689657</v>
      </c>
      <c r="R50" s="4143"/>
      <c r="S50" s="4120"/>
      <c r="T50" s="4119" t="s">
        <v>212</v>
      </c>
      <c r="U50" s="1223" t="s">
        <v>213</v>
      </c>
      <c r="V50" s="1522">
        <f>28000000+1647922</f>
        <v>29647922</v>
      </c>
      <c r="W50" s="1220">
        <v>61</v>
      </c>
      <c r="X50" s="4123"/>
      <c r="Y50" s="4132"/>
      <c r="Z50" s="4132"/>
      <c r="AA50" s="4158"/>
      <c r="AB50" s="4160"/>
      <c r="AC50" s="4160"/>
      <c r="AD50" s="4160"/>
      <c r="AE50" s="4160"/>
      <c r="AF50" s="4160"/>
      <c r="AG50" s="4160"/>
      <c r="AH50" s="4160"/>
      <c r="AI50" s="4160"/>
      <c r="AJ50" s="4160"/>
      <c r="AK50" s="4160"/>
      <c r="AL50" s="4160"/>
      <c r="AM50" s="4160"/>
      <c r="AN50" s="4162"/>
      <c r="AO50" s="4149"/>
      <c r="AP50" s="4149"/>
      <c r="AQ50" s="4152"/>
      <c r="AR50" s="2593"/>
    </row>
    <row r="51" spans="1:44" s="1221" customFormat="1" ht="40.5" customHeight="1" x14ac:dyDescent="0.2">
      <c r="A51" s="1213"/>
      <c r="B51" s="1214"/>
      <c r="C51" s="1215"/>
      <c r="D51" s="1214"/>
      <c r="E51" s="1214"/>
      <c r="F51" s="1215"/>
      <c r="G51" s="1222"/>
      <c r="H51" s="1214"/>
      <c r="I51" s="1215"/>
      <c r="J51" s="4117"/>
      <c r="K51" s="4120"/>
      <c r="L51" s="4123"/>
      <c r="M51" s="4123"/>
      <c r="N51" s="4123"/>
      <c r="O51" s="4123"/>
      <c r="P51" s="4120"/>
      <c r="Q51" s="4140"/>
      <c r="R51" s="4143"/>
      <c r="S51" s="4120"/>
      <c r="T51" s="4120"/>
      <c r="U51" s="4137" t="s">
        <v>214</v>
      </c>
      <c r="V51" s="1522">
        <f>40000000+1647922</f>
        <v>41647922</v>
      </c>
      <c r="W51" s="1220">
        <v>61</v>
      </c>
      <c r="X51" s="4123"/>
      <c r="Y51" s="4132"/>
      <c r="Z51" s="4132"/>
      <c r="AA51" s="4158"/>
      <c r="AB51" s="4160"/>
      <c r="AC51" s="4160"/>
      <c r="AD51" s="4160"/>
      <c r="AE51" s="4160"/>
      <c r="AF51" s="4160"/>
      <c r="AG51" s="4160"/>
      <c r="AH51" s="4160"/>
      <c r="AI51" s="4160"/>
      <c r="AJ51" s="4160"/>
      <c r="AK51" s="4160"/>
      <c r="AL51" s="4160"/>
      <c r="AM51" s="4160"/>
      <c r="AN51" s="4162"/>
      <c r="AO51" s="4149"/>
      <c r="AP51" s="4149"/>
      <c r="AQ51" s="4152"/>
      <c r="AR51" s="2593"/>
    </row>
    <row r="52" spans="1:44" s="1221" customFormat="1" ht="37.5" customHeight="1" x14ac:dyDescent="0.2">
      <c r="A52" s="1213"/>
      <c r="B52" s="1214"/>
      <c r="C52" s="1215"/>
      <c r="D52" s="1214"/>
      <c r="E52" s="1214"/>
      <c r="F52" s="1215"/>
      <c r="G52" s="1222"/>
      <c r="H52" s="1214"/>
      <c r="I52" s="1215"/>
      <c r="J52" s="4117"/>
      <c r="K52" s="4120"/>
      <c r="L52" s="4123"/>
      <c r="M52" s="4123"/>
      <c r="N52" s="4123"/>
      <c r="O52" s="4123"/>
      <c r="P52" s="4120"/>
      <c r="Q52" s="4140"/>
      <c r="R52" s="4143"/>
      <c r="S52" s="4120"/>
      <c r="T52" s="4120"/>
      <c r="U52" s="4138"/>
      <c r="V52" s="1522">
        <v>10000000</v>
      </c>
      <c r="W52" s="1220">
        <v>98</v>
      </c>
      <c r="X52" s="4123"/>
      <c r="Y52" s="4132"/>
      <c r="Z52" s="4132"/>
      <c r="AA52" s="4158"/>
      <c r="AB52" s="4160"/>
      <c r="AC52" s="4160"/>
      <c r="AD52" s="4160"/>
      <c r="AE52" s="4160"/>
      <c r="AF52" s="4160"/>
      <c r="AG52" s="4160"/>
      <c r="AH52" s="4160"/>
      <c r="AI52" s="4160"/>
      <c r="AJ52" s="4160"/>
      <c r="AK52" s="4160"/>
      <c r="AL52" s="4160"/>
      <c r="AM52" s="4160"/>
      <c r="AN52" s="4162"/>
      <c r="AO52" s="4149"/>
      <c r="AP52" s="4149"/>
      <c r="AQ52" s="4152"/>
      <c r="AR52" s="2593"/>
    </row>
    <row r="53" spans="1:44" s="1221" customFormat="1" ht="57" x14ac:dyDescent="0.2">
      <c r="A53" s="1213"/>
      <c r="B53" s="1214"/>
      <c r="C53" s="1215"/>
      <c r="D53" s="1214"/>
      <c r="E53" s="1214"/>
      <c r="F53" s="1215"/>
      <c r="G53" s="1226"/>
      <c r="H53" s="1224"/>
      <c r="I53" s="1225"/>
      <c r="J53" s="4118"/>
      <c r="K53" s="4121"/>
      <c r="L53" s="4124"/>
      <c r="M53" s="4124"/>
      <c r="N53" s="4124"/>
      <c r="O53" s="4124"/>
      <c r="P53" s="4121"/>
      <c r="Q53" s="4141"/>
      <c r="R53" s="4144"/>
      <c r="S53" s="4121"/>
      <c r="T53" s="4121"/>
      <c r="U53" s="1223" t="s">
        <v>215</v>
      </c>
      <c r="V53" s="1522">
        <f>60000000-3295844</f>
        <v>56704156</v>
      </c>
      <c r="W53" s="1220">
        <v>61</v>
      </c>
      <c r="X53" s="4124"/>
      <c r="Y53" s="4133"/>
      <c r="Z53" s="4133"/>
      <c r="AA53" s="4159"/>
      <c r="AB53" s="4160"/>
      <c r="AC53" s="4160"/>
      <c r="AD53" s="4160"/>
      <c r="AE53" s="4160"/>
      <c r="AF53" s="4160"/>
      <c r="AG53" s="4160"/>
      <c r="AH53" s="4160"/>
      <c r="AI53" s="4160"/>
      <c r="AJ53" s="4160"/>
      <c r="AK53" s="4160"/>
      <c r="AL53" s="4160"/>
      <c r="AM53" s="4160"/>
      <c r="AN53" s="4163"/>
      <c r="AO53" s="4150"/>
      <c r="AP53" s="4150"/>
      <c r="AQ53" s="4153"/>
      <c r="AR53" s="2593"/>
    </row>
    <row r="54" spans="1:44" ht="36" customHeight="1" x14ac:dyDescent="0.2">
      <c r="A54" s="1199"/>
      <c r="B54" s="1200"/>
      <c r="C54" s="1201"/>
      <c r="D54" s="1200"/>
      <c r="E54" s="1200"/>
      <c r="F54" s="1201"/>
      <c r="G54" s="1234">
        <v>37</v>
      </c>
      <c r="H54" s="1205" t="s">
        <v>216</v>
      </c>
      <c r="I54" s="1205"/>
      <c r="J54" s="1205"/>
      <c r="K54" s="1206"/>
      <c r="L54" s="1205"/>
      <c r="M54" s="1205"/>
      <c r="N54" s="1207"/>
      <c r="O54" s="1205"/>
      <c r="P54" s="1206"/>
      <c r="Q54" s="1205"/>
      <c r="R54" s="1235"/>
      <c r="S54" s="1205"/>
      <c r="T54" s="1206"/>
      <c r="U54" s="1206"/>
      <c r="V54" s="1236"/>
      <c r="W54" s="1237"/>
      <c r="X54" s="1207"/>
      <c r="Y54" s="1207"/>
      <c r="Z54" s="1207"/>
      <c r="AA54" s="1207"/>
      <c r="AB54" s="1207"/>
      <c r="AC54" s="1207"/>
      <c r="AD54" s="1207"/>
      <c r="AE54" s="1207"/>
      <c r="AF54" s="1207"/>
      <c r="AG54" s="1207"/>
      <c r="AH54" s="1207"/>
      <c r="AI54" s="1207"/>
      <c r="AJ54" s="1207"/>
      <c r="AK54" s="1207"/>
      <c r="AL54" s="1207"/>
      <c r="AM54" s="1207"/>
      <c r="AN54" s="1207"/>
      <c r="AO54" s="1205"/>
      <c r="AP54" s="1205"/>
      <c r="AQ54" s="1212"/>
    </row>
    <row r="55" spans="1:44" s="1221" customFormat="1" ht="42" customHeight="1" x14ac:dyDescent="0.2">
      <c r="A55" s="1238"/>
      <c r="B55" s="1239"/>
      <c r="C55" s="1240"/>
      <c r="D55" s="1239"/>
      <c r="E55" s="1239"/>
      <c r="F55" s="1240"/>
      <c r="G55" s="1241"/>
      <c r="H55" s="1242"/>
      <c r="I55" s="1243"/>
      <c r="J55" s="4116">
        <v>132</v>
      </c>
      <c r="K55" s="4119" t="s">
        <v>217</v>
      </c>
      <c r="L55" s="4122" t="s">
        <v>169</v>
      </c>
      <c r="M55" s="4122">
        <v>8</v>
      </c>
      <c r="N55" s="4122" t="s">
        <v>218</v>
      </c>
      <c r="O55" s="4122" t="s">
        <v>219</v>
      </c>
      <c r="P55" s="4119" t="s">
        <v>220</v>
      </c>
      <c r="Q55" s="4139">
        <f>SUM(V55:V60)/R55</f>
        <v>0.25</v>
      </c>
      <c r="R55" s="4142">
        <f>SUM(V55:V82)</f>
        <v>168000000</v>
      </c>
      <c r="S55" s="4119" t="s">
        <v>221</v>
      </c>
      <c r="T55" s="4119" t="s">
        <v>222</v>
      </c>
      <c r="U55" s="4137" t="s">
        <v>223</v>
      </c>
      <c r="V55" s="1523">
        <v>10000000</v>
      </c>
      <c r="W55" s="1220">
        <v>61</v>
      </c>
      <c r="X55" s="4122" t="s">
        <v>224</v>
      </c>
      <c r="Y55" s="4122">
        <v>292684</v>
      </c>
      <c r="Z55" s="4122">
        <v>282326</v>
      </c>
      <c r="AA55" s="4134">
        <v>135912</v>
      </c>
      <c r="AB55" s="4134">
        <v>45122</v>
      </c>
      <c r="AC55" s="4134">
        <f>SUM(AC48)</f>
        <v>307101</v>
      </c>
      <c r="AD55" s="4134">
        <f>SUM(AD48)</f>
        <v>86875</v>
      </c>
      <c r="AE55" s="4165">
        <v>2145</v>
      </c>
      <c r="AF55" s="4165">
        <v>12718</v>
      </c>
      <c r="AG55" s="4168" t="e">
        <f>SUM(#REF!*0.25)</f>
        <v>#REF!</v>
      </c>
      <c r="AH55" s="4165">
        <v>37</v>
      </c>
      <c r="AI55" s="4165" t="s">
        <v>177</v>
      </c>
      <c r="AJ55" s="4165" t="s">
        <v>177</v>
      </c>
      <c r="AK55" s="4134">
        <v>53164</v>
      </c>
      <c r="AL55" s="4134">
        <v>16982</v>
      </c>
      <c r="AM55" s="4134">
        <v>60013</v>
      </c>
      <c r="AN55" s="4134">
        <v>575010</v>
      </c>
      <c r="AO55" s="4148">
        <v>43467</v>
      </c>
      <c r="AP55" s="4148">
        <v>43830</v>
      </c>
      <c r="AQ55" s="4151" t="s">
        <v>178</v>
      </c>
      <c r="AR55" s="2594"/>
    </row>
    <row r="56" spans="1:44" s="1221" customFormat="1" ht="39.75" customHeight="1" x14ac:dyDescent="0.2">
      <c r="A56" s="1238"/>
      <c r="B56" s="1239"/>
      <c r="C56" s="1240"/>
      <c r="D56" s="1239"/>
      <c r="E56" s="1239"/>
      <c r="F56" s="1240"/>
      <c r="G56" s="1244"/>
      <c r="H56" s="1239"/>
      <c r="I56" s="1240"/>
      <c r="J56" s="4117"/>
      <c r="K56" s="4120"/>
      <c r="L56" s="4123"/>
      <c r="M56" s="4123"/>
      <c r="N56" s="4123"/>
      <c r="O56" s="4123"/>
      <c r="P56" s="4120"/>
      <c r="Q56" s="4140"/>
      <c r="R56" s="4143"/>
      <c r="S56" s="4120"/>
      <c r="T56" s="4120"/>
      <c r="U56" s="4138"/>
      <c r="V56" s="1523">
        <v>7000000</v>
      </c>
      <c r="W56" s="1220">
        <v>98</v>
      </c>
      <c r="X56" s="4123"/>
      <c r="Y56" s="4123"/>
      <c r="Z56" s="4123"/>
      <c r="AA56" s="4135"/>
      <c r="AB56" s="4135"/>
      <c r="AC56" s="4135"/>
      <c r="AD56" s="4135"/>
      <c r="AE56" s="4166"/>
      <c r="AF56" s="4166"/>
      <c r="AG56" s="4169"/>
      <c r="AH56" s="4166"/>
      <c r="AI56" s="4166"/>
      <c r="AJ56" s="4166"/>
      <c r="AK56" s="4135"/>
      <c r="AL56" s="4135"/>
      <c r="AM56" s="4135"/>
      <c r="AN56" s="4135"/>
      <c r="AO56" s="4149"/>
      <c r="AP56" s="4149"/>
      <c r="AQ56" s="4152"/>
      <c r="AR56" s="2594"/>
    </row>
    <row r="57" spans="1:44" s="1221" customFormat="1" ht="29.25" customHeight="1" x14ac:dyDescent="0.2">
      <c r="A57" s="1238"/>
      <c r="B57" s="1239"/>
      <c r="C57" s="1240"/>
      <c r="D57" s="1239"/>
      <c r="E57" s="1239"/>
      <c r="F57" s="1240"/>
      <c r="G57" s="1244"/>
      <c r="H57" s="1239"/>
      <c r="I57" s="1240"/>
      <c r="J57" s="4117"/>
      <c r="K57" s="4120"/>
      <c r="L57" s="4123"/>
      <c r="M57" s="4123"/>
      <c r="N57" s="4123"/>
      <c r="O57" s="4123"/>
      <c r="P57" s="4120"/>
      <c r="Q57" s="4140"/>
      <c r="R57" s="4143"/>
      <c r="S57" s="4120"/>
      <c r="T57" s="4120"/>
      <c r="U57" s="4137" t="s">
        <v>225</v>
      </c>
      <c r="V57" s="1523">
        <v>10000000</v>
      </c>
      <c r="W57" s="1220">
        <v>61</v>
      </c>
      <c r="X57" s="4123"/>
      <c r="Y57" s="4123"/>
      <c r="Z57" s="4123"/>
      <c r="AA57" s="4135"/>
      <c r="AB57" s="4135"/>
      <c r="AC57" s="4135"/>
      <c r="AD57" s="4135"/>
      <c r="AE57" s="4166"/>
      <c r="AF57" s="4166"/>
      <c r="AG57" s="4169"/>
      <c r="AH57" s="4166"/>
      <c r="AI57" s="4166"/>
      <c r="AJ57" s="4166"/>
      <c r="AK57" s="4135"/>
      <c r="AL57" s="4135"/>
      <c r="AM57" s="4135"/>
      <c r="AN57" s="4135"/>
      <c r="AO57" s="4149"/>
      <c r="AP57" s="4149"/>
      <c r="AQ57" s="4152"/>
      <c r="AR57" s="2593"/>
    </row>
    <row r="58" spans="1:44" s="1221" customFormat="1" ht="33" customHeight="1" x14ac:dyDescent="0.2">
      <c r="A58" s="1238"/>
      <c r="B58" s="1239"/>
      <c r="C58" s="1240"/>
      <c r="D58" s="1239"/>
      <c r="E58" s="1239"/>
      <c r="F58" s="1240"/>
      <c r="G58" s="1244"/>
      <c r="H58" s="1239"/>
      <c r="I58" s="1240"/>
      <c r="J58" s="4117"/>
      <c r="K58" s="4120"/>
      <c r="L58" s="4123"/>
      <c r="M58" s="4123"/>
      <c r="N58" s="4123"/>
      <c r="O58" s="4123"/>
      <c r="P58" s="4120"/>
      <c r="Q58" s="4140"/>
      <c r="R58" s="4143"/>
      <c r="S58" s="4120"/>
      <c r="T58" s="4120"/>
      <c r="U58" s="4138"/>
      <c r="V58" s="1523">
        <v>7000000</v>
      </c>
      <c r="W58" s="1220">
        <v>98</v>
      </c>
      <c r="X58" s="4123"/>
      <c r="Y58" s="4123"/>
      <c r="Z58" s="4123"/>
      <c r="AA58" s="4135"/>
      <c r="AB58" s="4135"/>
      <c r="AC58" s="4135"/>
      <c r="AD58" s="4135"/>
      <c r="AE58" s="4166"/>
      <c r="AF58" s="4166"/>
      <c r="AG58" s="4169"/>
      <c r="AH58" s="4166"/>
      <c r="AI58" s="4166"/>
      <c r="AJ58" s="4166"/>
      <c r="AK58" s="4135"/>
      <c r="AL58" s="4135"/>
      <c r="AM58" s="4135"/>
      <c r="AN58" s="4135"/>
      <c r="AO58" s="4149"/>
      <c r="AP58" s="4149"/>
      <c r="AQ58" s="4152"/>
      <c r="AR58" s="2594"/>
    </row>
    <row r="59" spans="1:44" s="1221" customFormat="1" ht="71.25" x14ac:dyDescent="0.2">
      <c r="A59" s="1238"/>
      <c r="B59" s="1239"/>
      <c r="C59" s="1240"/>
      <c r="D59" s="1239"/>
      <c r="E59" s="1239"/>
      <c r="F59" s="1240"/>
      <c r="G59" s="1244"/>
      <c r="H59" s="1239"/>
      <c r="I59" s="1240"/>
      <c r="J59" s="4117"/>
      <c r="K59" s="4120"/>
      <c r="L59" s="4123"/>
      <c r="M59" s="4123"/>
      <c r="N59" s="4123"/>
      <c r="O59" s="4123"/>
      <c r="P59" s="4120"/>
      <c r="Q59" s="4140"/>
      <c r="R59" s="4143"/>
      <c r="S59" s="4120"/>
      <c r="T59" s="4120"/>
      <c r="U59" s="1223" t="s">
        <v>226</v>
      </c>
      <c r="V59" s="1523">
        <v>2000000</v>
      </c>
      <c r="W59" s="1220">
        <v>61</v>
      </c>
      <c r="X59" s="4123"/>
      <c r="Y59" s="4123"/>
      <c r="Z59" s="4123"/>
      <c r="AA59" s="4135"/>
      <c r="AB59" s="4135"/>
      <c r="AC59" s="4135"/>
      <c r="AD59" s="4135"/>
      <c r="AE59" s="4166"/>
      <c r="AF59" s="4166"/>
      <c r="AG59" s="4169"/>
      <c r="AH59" s="4166"/>
      <c r="AI59" s="4166"/>
      <c r="AJ59" s="4166"/>
      <c r="AK59" s="4135"/>
      <c r="AL59" s="4135"/>
      <c r="AM59" s="4135"/>
      <c r="AN59" s="4135"/>
      <c r="AO59" s="4149"/>
      <c r="AP59" s="4149"/>
      <c r="AQ59" s="4152"/>
      <c r="AR59" s="2593"/>
    </row>
    <row r="60" spans="1:44" s="1221" customFormat="1" ht="71.25" x14ac:dyDescent="0.2">
      <c r="A60" s="1238"/>
      <c r="B60" s="1239"/>
      <c r="C60" s="1240"/>
      <c r="D60" s="1239"/>
      <c r="E60" s="1239"/>
      <c r="F60" s="1240"/>
      <c r="G60" s="1244"/>
      <c r="H60" s="1239"/>
      <c r="I60" s="1240"/>
      <c r="J60" s="4118"/>
      <c r="K60" s="4121"/>
      <c r="L60" s="4124"/>
      <c r="M60" s="4124"/>
      <c r="N60" s="4123"/>
      <c r="O60" s="4123"/>
      <c r="P60" s="4120"/>
      <c r="Q60" s="4141"/>
      <c r="R60" s="4143"/>
      <c r="S60" s="4120"/>
      <c r="T60" s="4120"/>
      <c r="U60" s="1223" t="s">
        <v>227</v>
      </c>
      <c r="V60" s="1523">
        <v>6000000</v>
      </c>
      <c r="W60" s="1220">
        <v>61</v>
      </c>
      <c r="X60" s="4123"/>
      <c r="Y60" s="4123"/>
      <c r="Z60" s="4123"/>
      <c r="AA60" s="4135"/>
      <c r="AB60" s="4135"/>
      <c r="AC60" s="4135"/>
      <c r="AD60" s="4135"/>
      <c r="AE60" s="4166"/>
      <c r="AF60" s="4166"/>
      <c r="AG60" s="4169"/>
      <c r="AH60" s="4166"/>
      <c r="AI60" s="4166"/>
      <c r="AJ60" s="4166"/>
      <c r="AK60" s="4135"/>
      <c r="AL60" s="4135"/>
      <c r="AM60" s="4135"/>
      <c r="AN60" s="4135"/>
      <c r="AO60" s="4149"/>
      <c r="AP60" s="4149"/>
      <c r="AQ60" s="4152"/>
      <c r="AR60" s="2593"/>
    </row>
    <row r="61" spans="1:44" s="1221" customFormat="1" ht="42.75" x14ac:dyDescent="0.2">
      <c r="A61" s="1238"/>
      <c r="B61" s="1239"/>
      <c r="C61" s="1240"/>
      <c r="D61" s="1239"/>
      <c r="E61" s="1239"/>
      <c r="F61" s="1240"/>
      <c r="G61" s="1244"/>
      <c r="H61" s="1239"/>
      <c r="I61" s="1240"/>
      <c r="J61" s="4117"/>
      <c r="K61" s="4120"/>
      <c r="L61" s="4123"/>
      <c r="M61" s="4123"/>
      <c r="N61" s="4123"/>
      <c r="O61" s="4123"/>
      <c r="P61" s="4120"/>
      <c r="Q61" s="4164">
        <f>SUM(V61:V65)/R55</f>
        <v>0.16666666666666666</v>
      </c>
      <c r="R61" s="4143"/>
      <c r="S61" s="4120"/>
      <c r="T61" s="4120"/>
      <c r="U61" s="1223" t="s">
        <v>228</v>
      </c>
      <c r="V61" s="1523">
        <v>8000000</v>
      </c>
      <c r="W61" s="1220">
        <v>61</v>
      </c>
      <c r="X61" s="4123"/>
      <c r="Y61" s="4123"/>
      <c r="Z61" s="4123"/>
      <c r="AA61" s="4135"/>
      <c r="AB61" s="4135"/>
      <c r="AC61" s="4135"/>
      <c r="AD61" s="4135"/>
      <c r="AE61" s="4166"/>
      <c r="AF61" s="4166"/>
      <c r="AG61" s="4169"/>
      <c r="AH61" s="4166"/>
      <c r="AI61" s="4166"/>
      <c r="AJ61" s="4166"/>
      <c r="AK61" s="4135"/>
      <c r="AL61" s="4135"/>
      <c r="AM61" s="4135"/>
      <c r="AN61" s="4135"/>
      <c r="AO61" s="4149"/>
      <c r="AP61" s="4149"/>
      <c r="AQ61" s="4152"/>
      <c r="AR61" s="2593"/>
    </row>
    <row r="62" spans="1:44" s="1221" customFormat="1" ht="76.5" customHeight="1" x14ac:dyDescent="0.2">
      <c r="A62" s="1238"/>
      <c r="B62" s="1239"/>
      <c r="C62" s="1240"/>
      <c r="D62" s="1239"/>
      <c r="E62" s="1239"/>
      <c r="F62" s="1240"/>
      <c r="G62" s="1244"/>
      <c r="H62" s="1239"/>
      <c r="I62" s="1240"/>
      <c r="J62" s="4117"/>
      <c r="K62" s="4120"/>
      <c r="L62" s="4123"/>
      <c r="M62" s="4123"/>
      <c r="N62" s="4123"/>
      <c r="O62" s="4123"/>
      <c r="P62" s="4120"/>
      <c r="Q62" s="4164"/>
      <c r="R62" s="4143"/>
      <c r="S62" s="4120"/>
      <c r="T62" s="4120"/>
      <c r="U62" s="1223" t="s">
        <v>229</v>
      </c>
      <c r="V62" s="1523">
        <v>10000000</v>
      </c>
      <c r="W62" s="1220">
        <v>61</v>
      </c>
      <c r="X62" s="4123"/>
      <c r="Y62" s="4123"/>
      <c r="Z62" s="4123"/>
      <c r="AA62" s="4135"/>
      <c r="AB62" s="4135"/>
      <c r="AC62" s="4135"/>
      <c r="AD62" s="4135"/>
      <c r="AE62" s="4166"/>
      <c r="AF62" s="4166"/>
      <c r="AG62" s="4169"/>
      <c r="AH62" s="4166"/>
      <c r="AI62" s="4166"/>
      <c r="AJ62" s="4166"/>
      <c r="AK62" s="4135"/>
      <c r="AL62" s="4135"/>
      <c r="AM62" s="4135"/>
      <c r="AN62" s="4135"/>
      <c r="AO62" s="4149"/>
      <c r="AP62" s="4149"/>
      <c r="AQ62" s="4152"/>
      <c r="AR62" s="2593"/>
    </row>
    <row r="63" spans="1:44" s="1221" customFormat="1" ht="118.5" customHeight="1" x14ac:dyDescent="0.2">
      <c r="A63" s="1238"/>
      <c r="B63" s="1239"/>
      <c r="C63" s="1240"/>
      <c r="D63" s="1239"/>
      <c r="E63" s="1239"/>
      <c r="F63" s="1240"/>
      <c r="G63" s="1244"/>
      <c r="H63" s="1239"/>
      <c r="I63" s="1240"/>
      <c r="J63" s="4117"/>
      <c r="K63" s="4120"/>
      <c r="L63" s="4123"/>
      <c r="M63" s="4123"/>
      <c r="N63" s="4123"/>
      <c r="O63" s="4123"/>
      <c r="P63" s="4120"/>
      <c r="Q63" s="4164"/>
      <c r="R63" s="4143"/>
      <c r="S63" s="4120"/>
      <c r="T63" s="4120"/>
      <c r="U63" s="1223" t="s">
        <v>230</v>
      </c>
      <c r="V63" s="1523">
        <v>2000000</v>
      </c>
      <c r="W63" s="1220">
        <v>61</v>
      </c>
      <c r="X63" s="4123"/>
      <c r="Y63" s="4123"/>
      <c r="Z63" s="4123"/>
      <c r="AA63" s="4135"/>
      <c r="AB63" s="4135"/>
      <c r="AC63" s="4135"/>
      <c r="AD63" s="4135"/>
      <c r="AE63" s="4166"/>
      <c r="AF63" s="4166"/>
      <c r="AG63" s="4169"/>
      <c r="AH63" s="4166"/>
      <c r="AI63" s="4166"/>
      <c r="AJ63" s="4166"/>
      <c r="AK63" s="4135"/>
      <c r="AL63" s="4135"/>
      <c r="AM63" s="4135"/>
      <c r="AN63" s="4135"/>
      <c r="AO63" s="4149"/>
      <c r="AP63" s="4149"/>
      <c r="AQ63" s="4152"/>
      <c r="AR63" s="2593"/>
    </row>
    <row r="64" spans="1:44" s="1221" customFormat="1" ht="57" x14ac:dyDescent="0.2">
      <c r="A64" s="1238"/>
      <c r="B64" s="1239"/>
      <c r="C64" s="1240"/>
      <c r="D64" s="1239"/>
      <c r="E64" s="1239"/>
      <c r="F64" s="1240"/>
      <c r="G64" s="1244"/>
      <c r="H64" s="1239"/>
      <c r="I64" s="1240"/>
      <c r="J64" s="4117"/>
      <c r="K64" s="4120"/>
      <c r="L64" s="4123"/>
      <c r="M64" s="4123"/>
      <c r="N64" s="4123"/>
      <c r="O64" s="4123"/>
      <c r="P64" s="4120"/>
      <c r="Q64" s="4164"/>
      <c r="R64" s="4143"/>
      <c r="S64" s="4120"/>
      <c r="T64" s="4120"/>
      <c r="U64" s="1223" t="s">
        <v>231</v>
      </c>
      <c r="V64" s="1523">
        <v>4000000</v>
      </c>
      <c r="W64" s="1220">
        <v>61</v>
      </c>
      <c r="X64" s="4123"/>
      <c r="Y64" s="4123"/>
      <c r="Z64" s="4123"/>
      <c r="AA64" s="4135"/>
      <c r="AB64" s="4135"/>
      <c r="AC64" s="4135"/>
      <c r="AD64" s="4135"/>
      <c r="AE64" s="4166"/>
      <c r="AF64" s="4166"/>
      <c r="AG64" s="4169"/>
      <c r="AH64" s="4166"/>
      <c r="AI64" s="4166"/>
      <c r="AJ64" s="4166"/>
      <c r="AK64" s="4135"/>
      <c r="AL64" s="4135"/>
      <c r="AM64" s="4135"/>
      <c r="AN64" s="4135"/>
      <c r="AO64" s="4149"/>
      <c r="AP64" s="4149"/>
      <c r="AQ64" s="4152"/>
      <c r="AR64" s="2593"/>
    </row>
    <row r="65" spans="1:44" s="1221" customFormat="1" ht="75" customHeight="1" x14ac:dyDescent="0.2">
      <c r="A65" s="1238"/>
      <c r="B65" s="1239"/>
      <c r="C65" s="1240"/>
      <c r="D65" s="1239"/>
      <c r="E65" s="1239"/>
      <c r="F65" s="1240"/>
      <c r="G65" s="1244"/>
      <c r="H65" s="1239"/>
      <c r="I65" s="1240"/>
      <c r="J65" s="4118"/>
      <c r="K65" s="4121"/>
      <c r="L65" s="4124"/>
      <c r="M65" s="4124"/>
      <c r="N65" s="4123"/>
      <c r="O65" s="4123"/>
      <c r="P65" s="4120"/>
      <c r="Q65" s="4164"/>
      <c r="R65" s="4143"/>
      <c r="S65" s="4120"/>
      <c r="T65" s="4121"/>
      <c r="U65" s="1223" t="s">
        <v>232</v>
      </c>
      <c r="V65" s="1523">
        <v>4000000</v>
      </c>
      <c r="W65" s="1220">
        <v>61</v>
      </c>
      <c r="X65" s="4123"/>
      <c r="Y65" s="4123"/>
      <c r="Z65" s="4123"/>
      <c r="AA65" s="4135"/>
      <c r="AB65" s="4135"/>
      <c r="AC65" s="4135"/>
      <c r="AD65" s="4135"/>
      <c r="AE65" s="4166"/>
      <c r="AF65" s="4166"/>
      <c r="AG65" s="4169"/>
      <c r="AH65" s="4166"/>
      <c r="AI65" s="4166"/>
      <c r="AJ65" s="4166"/>
      <c r="AK65" s="4135"/>
      <c r="AL65" s="4135"/>
      <c r="AM65" s="4135"/>
      <c r="AN65" s="4135"/>
      <c r="AO65" s="4149"/>
      <c r="AP65" s="4149"/>
      <c r="AQ65" s="4152"/>
      <c r="AR65" s="2593"/>
    </row>
    <row r="66" spans="1:44" s="1221" customFormat="1" ht="69.75" customHeight="1" x14ac:dyDescent="0.2">
      <c r="A66" s="1238"/>
      <c r="B66" s="1239"/>
      <c r="C66" s="1240"/>
      <c r="D66" s="1239"/>
      <c r="E66" s="1239"/>
      <c r="F66" s="1240"/>
      <c r="G66" s="1244"/>
      <c r="H66" s="1239"/>
      <c r="I66" s="1240"/>
      <c r="J66" s="4116">
        <v>134</v>
      </c>
      <c r="K66" s="4119" t="s">
        <v>233</v>
      </c>
      <c r="L66" s="4122" t="s">
        <v>169</v>
      </c>
      <c r="M66" s="4122">
        <v>4800</v>
      </c>
      <c r="N66" s="4123"/>
      <c r="O66" s="4123"/>
      <c r="P66" s="4120"/>
      <c r="Q66" s="4139">
        <f>SUM(V66:V77)/R55</f>
        <v>0.39285714285714285</v>
      </c>
      <c r="R66" s="4143"/>
      <c r="S66" s="4120"/>
      <c r="T66" s="4119" t="s">
        <v>234</v>
      </c>
      <c r="U66" s="1223" t="s">
        <v>235</v>
      </c>
      <c r="V66" s="1523">
        <v>5000000</v>
      </c>
      <c r="W66" s="1220">
        <v>61</v>
      </c>
      <c r="X66" s="4123"/>
      <c r="Y66" s="4123"/>
      <c r="Z66" s="4123"/>
      <c r="AA66" s="4135"/>
      <c r="AB66" s="4135"/>
      <c r="AC66" s="4135"/>
      <c r="AD66" s="4135"/>
      <c r="AE66" s="4166"/>
      <c r="AF66" s="4166"/>
      <c r="AG66" s="4169"/>
      <c r="AH66" s="4166"/>
      <c r="AI66" s="4166"/>
      <c r="AJ66" s="4166"/>
      <c r="AK66" s="4135"/>
      <c r="AL66" s="4135"/>
      <c r="AM66" s="4135"/>
      <c r="AN66" s="4135"/>
      <c r="AO66" s="4149"/>
      <c r="AP66" s="4149"/>
      <c r="AQ66" s="4152"/>
      <c r="AR66" s="2593"/>
    </row>
    <row r="67" spans="1:44" s="1221" customFormat="1" ht="54.75" customHeight="1" x14ac:dyDescent="0.2">
      <c r="A67" s="1238"/>
      <c r="B67" s="1239"/>
      <c r="C67" s="1240"/>
      <c r="D67" s="1239"/>
      <c r="E67" s="1239"/>
      <c r="F67" s="1240"/>
      <c r="G67" s="1244"/>
      <c r="H67" s="1239"/>
      <c r="I67" s="1240"/>
      <c r="J67" s="4117"/>
      <c r="K67" s="4120"/>
      <c r="L67" s="4123"/>
      <c r="M67" s="4123"/>
      <c r="N67" s="4123"/>
      <c r="O67" s="4123"/>
      <c r="P67" s="4120"/>
      <c r="Q67" s="4140"/>
      <c r="R67" s="4143"/>
      <c r="S67" s="4120"/>
      <c r="T67" s="4120"/>
      <c r="U67" s="1223" t="s">
        <v>236</v>
      </c>
      <c r="V67" s="1523">
        <v>5000000</v>
      </c>
      <c r="W67" s="1220">
        <v>61</v>
      </c>
      <c r="X67" s="4123"/>
      <c r="Y67" s="4123"/>
      <c r="Z67" s="4123"/>
      <c r="AA67" s="4135"/>
      <c r="AB67" s="4135"/>
      <c r="AC67" s="4135"/>
      <c r="AD67" s="4135"/>
      <c r="AE67" s="4166"/>
      <c r="AF67" s="4166"/>
      <c r="AG67" s="4169"/>
      <c r="AH67" s="4166"/>
      <c r="AI67" s="4166"/>
      <c r="AJ67" s="4166"/>
      <c r="AK67" s="4135"/>
      <c r="AL67" s="4135"/>
      <c r="AM67" s="4135"/>
      <c r="AN67" s="4135"/>
      <c r="AO67" s="4149"/>
      <c r="AP67" s="4149"/>
      <c r="AQ67" s="4152"/>
      <c r="AR67" s="2593"/>
    </row>
    <row r="68" spans="1:44" s="1221" customFormat="1" ht="84.75" customHeight="1" x14ac:dyDescent="0.2">
      <c r="A68" s="1238"/>
      <c r="B68" s="1239"/>
      <c r="C68" s="1240"/>
      <c r="D68" s="1239"/>
      <c r="E68" s="1239"/>
      <c r="F68" s="1240"/>
      <c r="G68" s="1244"/>
      <c r="H68" s="1239"/>
      <c r="I68" s="1240"/>
      <c r="J68" s="4117"/>
      <c r="K68" s="4120"/>
      <c r="L68" s="4123"/>
      <c r="M68" s="4123"/>
      <c r="N68" s="4123"/>
      <c r="O68" s="4123"/>
      <c r="P68" s="4120"/>
      <c r="Q68" s="4140"/>
      <c r="R68" s="4143"/>
      <c r="S68" s="4120"/>
      <c r="T68" s="4120"/>
      <c r="U68" s="1223" t="s">
        <v>237</v>
      </c>
      <c r="V68" s="1523">
        <f>5000000</f>
        <v>5000000</v>
      </c>
      <c r="W68" s="1220">
        <v>61</v>
      </c>
      <c r="X68" s="4123"/>
      <c r="Y68" s="4123"/>
      <c r="Z68" s="4123"/>
      <c r="AA68" s="4135"/>
      <c r="AB68" s="4135"/>
      <c r="AC68" s="4135"/>
      <c r="AD68" s="4135"/>
      <c r="AE68" s="4166"/>
      <c r="AF68" s="4166"/>
      <c r="AG68" s="4169"/>
      <c r="AH68" s="4166"/>
      <c r="AI68" s="4166"/>
      <c r="AJ68" s="4166"/>
      <c r="AK68" s="4135"/>
      <c r="AL68" s="4135"/>
      <c r="AM68" s="4135"/>
      <c r="AN68" s="4135"/>
      <c r="AO68" s="4149"/>
      <c r="AP68" s="4149"/>
      <c r="AQ68" s="4152"/>
      <c r="AR68" s="2593"/>
    </row>
    <row r="69" spans="1:44" s="1221" customFormat="1" ht="67.5" customHeight="1" x14ac:dyDescent="0.2">
      <c r="A69" s="1238"/>
      <c r="B69" s="1239"/>
      <c r="C69" s="1240"/>
      <c r="D69" s="1239"/>
      <c r="E69" s="1239"/>
      <c r="F69" s="1240"/>
      <c r="G69" s="1244"/>
      <c r="H69" s="1239"/>
      <c r="I69" s="1240"/>
      <c r="J69" s="4117"/>
      <c r="K69" s="4120"/>
      <c r="L69" s="4123"/>
      <c r="M69" s="4123"/>
      <c r="N69" s="4123"/>
      <c r="O69" s="4123"/>
      <c r="P69" s="4120"/>
      <c r="Q69" s="4140"/>
      <c r="R69" s="4143"/>
      <c r="S69" s="4120"/>
      <c r="T69" s="4120"/>
      <c r="U69" s="1223" t="s">
        <v>238</v>
      </c>
      <c r="V69" s="1523">
        <f>5000000</f>
        <v>5000000</v>
      </c>
      <c r="W69" s="1220">
        <v>61</v>
      </c>
      <c r="X69" s="4123"/>
      <c r="Y69" s="4123"/>
      <c r="Z69" s="4123"/>
      <c r="AA69" s="4135"/>
      <c r="AB69" s="4135"/>
      <c r="AC69" s="4135"/>
      <c r="AD69" s="4135"/>
      <c r="AE69" s="4166"/>
      <c r="AF69" s="4166"/>
      <c r="AG69" s="4169"/>
      <c r="AH69" s="4166"/>
      <c r="AI69" s="4166"/>
      <c r="AJ69" s="4166"/>
      <c r="AK69" s="4135"/>
      <c r="AL69" s="4135"/>
      <c r="AM69" s="4135"/>
      <c r="AN69" s="4135"/>
      <c r="AO69" s="4149"/>
      <c r="AP69" s="4149"/>
      <c r="AQ69" s="4152"/>
      <c r="AR69" s="2593"/>
    </row>
    <row r="70" spans="1:44" s="1221" customFormat="1" ht="57" x14ac:dyDescent="0.2">
      <c r="A70" s="1238"/>
      <c r="B70" s="1239"/>
      <c r="C70" s="1240"/>
      <c r="D70" s="1239"/>
      <c r="E70" s="1239"/>
      <c r="F70" s="1240"/>
      <c r="G70" s="1244"/>
      <c r="H70" s="1239"/>
      <c r="I70" s="1240"/>
      <c r="J70" s="4117"/>
      <c r="K70" s="4120"/>
      <c r="L70" s="4123"/>
      <c r="M70" s="4123"/>
      <c r="N70" s="4123"/>
      <c r="O70" s="4123"/>
      <c r="P70" s="4120"/>
      <c r="Q70" s="4140"/>
      <c r="R70" s="4143"/>
      <c r="S70" s="4120"/>
      <c r="T70" s="4120"/>
      <c r="U70" s="1223" t="s">
        <v>239</v>
      </c>
      <c r="V70" s="1523">
        <v>5000000</v>
      </c>
      <c r="W70" s="1220">
        <v>61</v>
      </c>
      <c r="X70" s="4123"/>
      <c r="Y70" s="4123"/>
      <c r="Z70" s="4123"/>
      <c r="AA70" s="4135"/>
      <c r="AB70" s="4135"/>
      <c r="AC70" s="4135"/>
      <c r="AD70" s="4135"/>
      <c r="AE70" s="4166"/>
      <c r="AF70" s="4166"/>
      <c r="AG70" s="4169"/>
      <c r="AH70" s="4166"/>
      <c r="AI70" s="4166"/>
      <c r="AJ70" s="4166"/>
      <c r="AK70" s="4135"/>
      <c r="AL70" s="4135"/>
      <c r="AM70" s="4135"/>
      <c r="AN70" s="4135"/>
      <c r="AO70" s="4149"/>
      <c r="AP70" s="4149"/>
      <c r="AQ70" s="4152"/>
      <c r="AR70" s="2593"/>
    </row>
    <row r="71" spans="1:44" s="1221" customFormat="1" ht="42.75" x14ac:dyDescent="0.2">
      <c r="A71" s="1238"/>
      <c r="B71" s="1239"/>
      <c r="C71" s="1240"/>
      <c r="D71" s="1239"/>
      <c r="E71" s="1239"/>
      <c r="F71" s="1240"/>
      <c r="G71" s="1244"/>
      <c r="H71" s="1239"/>
      <c r="I71" s="1240"/>
      <c r="J71" s="4117"/>
      <c r="K71" s="4120"/>
      <c r="L71" s="4123"/>
      <c r="M71" s="4123"/>
      <c r="N71" s="4123"/>
      <c r="O71" s="4123"/>
      <c r="P71" s="4120"/>
      <c r="Q71" s="4140"/>
      <c r="R71" s="4143"/>
      <c r="S71" s="4120"/>
      <c r="T71" s="4120"/>
      <c r="U71" s="1223" t="s">
        <v>240</v>
      </c>
      <c r="V71" s="1523">
        <v>5000000</v>
      </c>
      <c r="W71" s="1220">
        <v>61</v>
      </c>
      <c r="X71" s="4123"/>
      <c r="Y71" s="4123"/>
      <c r="Z71" s="4123"/>
      <c r="AA71" s="4135"/>
      <c r="AB71" s="4135"/>
      <c r="AC71" s="4135"/>
      <c r="AD71" s="4135"/>
      <c r="AE71" s="4166"/>
      <c r="AF71" s="4166"/>
      <c r="AG71" s="4169"/>
      <c r="AH71" s="4166"/>
      <c r="AI71" s="4166"/>
      <c r="AJ71" s="4166"/>
      <c r="AK71" s="4135"/>
      <c r="AL71" s="4135"/>
      <c r="AM71" s="4135"/>
      <c r="AN71" s="4135"/>
      <c r="AO71" s="4149"/>
      <c r="AP71" s="4149"/>
      <c r="AQ71" s="4152"/>
      <c r="AR71" s="2593"/>
    </row>
    <row r="72" spans="1:44" s="1221" customFormat="1" ht="57" x14ac:dyDescent="0.2">
      <c r="A72" s="1238"/>
      <c r="B72" s="1239"/>
      <c r="C72" s="1240"/>
      <c r="D72" s="1239"/>
      <c r="E72" s="1239"/>
      <c r="F72" s="1240"/>
      <c r="G72" s="1244"/>
      <c r="H72" s="1239"/>
      <c r="I72" s="1240"/>
      <c r="J72" s="4117"/>
      <c r="K72" s="4120"/>
      <c r="L72" s="4123"/>
      <c r="M72" s="4123"/>
      <c r="N72" s="4123"/>
      <c r="O72" s="4123"/>
      <c r="P72" s="4120"/>
      <c r="Q72" s="4140"/>
      <c r="R72" s="4143"/>
      <c r="S72" s="4120"/>
      <c r="T72" s="4120"/>
      <c r="U72" s="1223" t="s">
        <v>241</v>
      </c>
      <c r="V72" s="1523">
        <v>5000000</v>
      </c>
      <c r="W72" s="1220">
        <v>61</v>
      </c>
      <c r="X72" s="4123"/>
      <c r="Y72" s="4123"/>
      <c r="Z72" s="4123"/>
      <c r="AA72" s="4135"/>
      <c r="AB72" s="4135"/>
      <c r="AC72" s="4135"/>
      <c r="AD72" s="4135"/>
      <c r="AE72" s="4166"/>
      <c r="AF72" s="4166"/>
      <c r="AG72" s="4169"/>
      <c r="AH72" s="4166"/>
      <c r="AI72" s="4166"/>
      <c r="AJ72" s="4166"/>
      <c r="AK72" s="4135"/>
      <c r="AL72" s="4135"/>
      <c r="AM72" s="4135"/>
      <c r="AN72" s="4135"/>
      <c r="AO72" s="4149"/>
      <c r="AP72" s="4149"/>
      <c r="AQ72" s="4152"/>
      <c r="AR72" s="2593"/>
    </row>
    <row r="73" spans="1:44" s="1221" customFormat="1" ht="42.75" x14ac:dyDescent="0.2">
      <c r="A73" s="1238"/>
      <c r="B73" s="1239"/>
      <c r="C73" s="1240"/>
      <c r="D73" s="1239"/>
      <c r="E73" s="1239"/>
      <c r="F73" s="1240"/>
      <c r="G73" s="1244"/>
      <c r="H73" s="1239"/>
      <c r="I73" s="1240"/>
      <c r="J73" s="4117"/>
      <c r="K73" s="4120"/>
      <c r="L73" s="4123"/>
      <c r="M73" s="4123"/>
      <c r="N73" s="4123"/>
      <c r="O73" s="4123"/>
      <c r="P73" s="4120"/>
      <c r="Q73" s="4140"/>
      <c r="R73" s="4143"/>
      <c r="S73" s="4120"/>
      <c r="T73" s="4120"/>
      <c r="U73" s="1223" t="s">
        <v>242</v>
      </c>
      <c r="V73" s="1523">
        <f>5000000+685083</f>
        <v>5685083</v>
      </c>
      <c r="W73" s="1220">
        <v>61</v>
      </c>
      <c r="X73" s="4123"/>
      <c r="Y73" s="4123"/>
      <c r="Z73" s="4123"/>
      <c r="AA73" s="4135"/>
      <c r="AB73" s="4135"/>
      <c r="AC73" s="4135"/>
      <c r="AD73" s="4135"/>
      <c r="AE73" s="4166"/>
      <c r="AF73" s="4166"/>
      <c r="AG73" s="4169"/>
      <c r="AH73" s="4166"/>
      <c r="AI73" s="4166"/>
      <c r="AJ73" s="4166"/>
      <c r="AK73" s="4135"/>
      <c r="AL73" s="4135"/>
      <c r="AM73" s="4135"/>
      <c r="AN73" s="4135"/>
      <c r="AO73" s="4149"/>
      <c r="AP73" s="4149"/>
      <c r="AQ73" s="4152"/>
      <c r="AR73" s="2593"/>
    </row>
    <row r="74" spans="1:44" s="1221" customFormat="1" ht="60" customHeight="1" x14ac:dyDescent="0.2">
      <c r="A74" s="1238"/>
      <c r="B74" s="1239"/>
      <c r="C74" s="1240"/>
      <c r="D74" s="1239"/>
      <c r="E74" s="1239"/>
      <c r="F74" s="1240"/>
      <c r="G74" s="1244"/>
      <c r="H74" s="1239"/>
      <c r="I74" s="1240"/>
      <c r="J74" s="4117"/>
      <c r="K74" s="4120"/>
      <c r="L74" s="4123"/>
      <c r="M74" s="4123"/>
      <c r="N74" s="4123"/>
      <c r="O74" s="4123"/>
      <c r="P74" s="4120"/>
      <c r="Q74" s="4140"/>
      <c r="R74" s="4143"/>
      <c r="S74" s="4120"/>
      <c r="T74" s="4120"/>
      <c r="U74" s="1223" t="s">
        <v>243</v>
      </c>
      <c r="V74" s="1523">
        <f>5000000+685083</f>
        <v>5685083</v>
      </c>
      <c r="W74" s="1220">
        <v>61</v>
      </c>
      <c r="X74" s="4123"/>
      <c r="Y74" s="4123"/>
      <c r="Z74" s="4123"/>
      <c r="AA74" s="4135"/>
      <c r="AB74" s="4135"/>
      <c r="AC74" s="4135"/>
      <c r="AD74" s="4135"/>
      <c r="AE74" s="4166"/>
      <c r="AF74" s="4166"/>
      <c r="AG74" s="4169"/>
      <c r="AH74" s="4166"/>
      <c r="AI74" s="4166"/>
      <c r="AJ74" s="4166"/>
      <c r="AK74" s="4135"/>
      <c r="AL74" s="4135"/>
      <c r="AM74" s="4135"/>
      <c r="AN74" s="4135"/>
      <c r="AO74" s="4149"/>
      <c r="AP74" s="4149"/>
      <c r="AQ74" s="4152"/>
      <c r="AR74" s="2593"/>
    </row>
    <row r="75" spans="1:44" s="1221" customFormat="1" ht="57" x14ac:dyDescent="0.2">
      <c r="A75" s="1238"/>
      <c r="B75" s="1239"/>
      <c r="C75" s="1240"/>
      <c r="D75" s="1239"/>
      <c r="E75" s="1239"/>
      <c r="F75" s="1240"/>
      <c r="G75" s="1244"/>
      <c r="H75" s="1239"/>
      <c r="I75" s="1240"/>
      <c r="J75" s="4117"/>
      <c r="K75" s="4120"/>
      <c r="L75" s="4123"/>
      <c r="M75" s="4123"/>
      <c r="N75" s="4123"/>
      <c r="O75" s="4123"/>
      <c r="P75" s="4120"/>
      <c r="Q75" s="4140"/>
      <c r="R75" s="4143"/>
      <c r="S75" s="4120"/>
      <c r="T75" s="4120"/>
      <c r="U75" s="1223" t="s">
        <v>237</v>
      </c>
      <c r="V75" s="1523">
        <f>5000000-14417</f>
        <v>4985583</v>
      </c>
      <c r="W75" s="1220">
        <v>61</v>
      </c>
      <c r="X75" s="4123"/>
      <c r="Y75" s="4123"/>
      <c r="Z75" s="4123"/>
      <c r="AA75" s="4135"/>
      <c r="AB75" s="4135"/>
      <c r="AC75" s="4135"/>
      <c r="AD75" s="4135"/>
      <c r="AE75" s="4166"/>
      <c r="AF75" s="4166"/>
      <c r="AG75" s="4169"/>
      <c r="AH75" s="4166"/>
      <c r="AI75" s="4166"/>
      <c r="AJ75" s="4166"/>
      <c r="AK75" s="4135"/>
      <c r="AL75" s="4135"/>
      <c r="AM75" s="4135"/>
      <c r="AN75" s="4135"/>
      <c r="AO75" s="4149"/>
      <c r="AP75" s="4149"/>
      <c r="AQ75" s="4152"/>
      <c r="AR75" s="2593"/>
    </row>
    <row r="76" spans="1:44" s="1221" customFormat="1" ht="57" customHeight="1" x14ac:dyDescent="0.2">
      <c r="A76" s="1238"/>
      <c r="B76" s="1239"/>
      <c r="C76" s="1240"/>
      <c r="D76" s="1239"/>
      <c r="E76" s="1239"/>
      <c r="F76" s="1240"/>
      <c r="G76" s="1244"/>
      <c r="H76" s="1239"/>
      <c r="I76" s="1240"/>
      <c r="J76" s="4117"/>
      <c r="K76" s="4120"/>
      <c r="L76" s="4123"/>
      <c r="M76" s="4123"/>
      <c r="N76" s="4123"/>
      <c r="O76" s="4123"/>
      <c r="P76" s="4120"/>
      <c r="Q76" s="4140"/>
      <c r="R76" s="4143"/>
      <c r="S76" s="4120"/>
      <c r="T76" s="4120"/>
      <c r="U76" s="1223" t="s">
        <v>236</v>
      </c>
      <c r="V76" s="1523">
        <f>5000000-14417</f>
        <v>4985583</v>
      </c>
      <c r="W76" s="1220">
        <v>61</v>
      </c>
      <c r="X76" s="4123"/>
      <c r="Y76" s="4123"/>
      <c r="Z76" s="4123"/>
      <c r="AA76" s="4135"/>
      <c r="AB76" s="4135"/>
      <c r="AC76" s="4135"/>
      <c r="AD76" s="4135"/>
      <c r="AE76" s="4166"/>
      <c r="AF76" s="4166"/>
      <c r="AG76" s="4169"/>
      <c r="AH76" s="4166"/>
      <c r="AI76" s="4166"/>
      <c r="AJ76" s="4166"/>
      <c r="AK76" s="4135"/>
      <c r="AL76" s="4135"/>
      <c r="AM76" s="4135"/>
      <c r="AN76" s="4135"/>
      <c r="AO76" s="4149"/>
      <c r="AP76" s="4149"/>
      <c r="AQ76" s="4152"/>
      <c r="AR76" s="2593"/>
    </row>
    <row r="77" spans="1:44" s="1221" customFormat="1" ht="57" customHeight="1" x14ac:dyDescent="0.2">
      <c r="A77" s="1238"/>
      <c r="B77" s="1239"/>
      <c r="C77" s="1240"/>
      <c r="D77" s="1239"/>
      <c r="E77" s="1239"/>
      <c r="F77" s="1240"/>
      <c r="G77" s="1244"/>
      <c r="H77" s="1239"/>
      <c r="I77" s="1240"/>
      <c r="J77" s="4118"/>
      <c r="K77" s="4121"/>
      <c r="L77" s="4124"/>
      <c r="M77" s="4124"/>
      <c r="N77" s="4123"/>
      <c r="O77" s="4123"/>
      <c r="P77" s="4120"/>
      <c r="Q77" s="4141"/>
      <c r="R77" s="4143"/>
      <c r="S77" s="4120"/>
      <c r="T77" s="4120"/>
      <c r="U77" s="1223" t="s">
        <v>244</v>
      </c>
      <c r="V77" s="1523">
        <f>5000000+6000000-1341332</f>
        <v>9658668</v>
      </c>
      <c r="W77" s="1220">
        <v>61</v>
      </c>
      <c r="X77" s="4123"/>
      <c r="Y77" s="4123"/>
      <c r="Z77" s="4123"/>
      <c r="AA77" s="4135"/>
      <c r="AB77" s="4135"/>
      <c r="AC77" s="4135"/>
      <c r="AD77" s="4135"/>
      <c r="AE77" s="4166"/>
      <c r="AF77" s="4166"/>
      <c r="AG77" s="4169"/>
      <c r="AH77" s="4166"/>
      <c r="AI77" s="4166"/>
      <c r="AJ77" s="4166"/>
      <c r="AK77" s="4135"/>
      <c r="AL77" s="4135"/>
      <c r="AM77" s="4135"/>
      <c r="AN77" s="4135"/>
      <c r="AO77" s="4149"/>
      <c r="AP77" s="4149"/>
      <c r="AQ77" s="4152"/>
      <c r="AR77" s="2593"/>
    </row>
    <row r="78" spans="1:44" s="1221" customFormat="1" ht="103.5" customHeight="1" x14ac:dyDescent="0.2">
      <c r="A78" s="1238"/>
      <c r="B78" s="1239"/>
      <c r="C78" s="1240"/>
      <c r="D78" s="1239"/>
      <c r="E78" s="1239"/>
      <c r="F78" s="1240"/>
      <c r="G78" s="1244"/>
      <c r="H78" s="1239"/>
      <c r="I78" s="1240"/>
      <c r="J78" s="4116">
        <v>135</v>
      </c>
      <c r="K78" s="4119" t="s">
        <v>245</v>
      </c>
      <c r="L78" s="4122" t="s">
        <v>169</v>
      </c>
      <c r="M78" s="4122">
        <v>12</v>
      </c>
      <c r="N78" s="4123"/>
      <c r="O78" s="4123"/>
      <c r="P78" s="4120"/>
      <c r="Q78" s="4139">
        <f>SUM(V78:V82)/R55</f>
        <v>0.19047619047619047</v>
      </c>
      <c r="R78" s="4143"/>
      <c r="S78" s="4120"/>
      <c r="T78" s="4120"/>
      <c r="U78" s="1223" t="s">
        <v>246</v>
      </c>
      <c r="V78" s="1523">
        <v>8000000</v>
      </c>
      <c r="W78" s="1220">
        <v>61</v>
      </c>
      <c r="X78" s="4123"/>
      <c r="Y78" s="4123"/>
      <c r="Z78" s="4123"/>
      <c r="AA78" s="4135"/>
      <c r="AB78" s="4135"/>
      <c r="AC78" s="4135"/>
      <c r="AD78" s="4135"/>
      <c r="AE78" s="4166"/>
      <c r="AF78" s="4166"/>
      <c r="AG78" s="4169"/>
      <c r="AH78" s="4166"/>
      <c r="AI78" s="4166"/>
      <c r="AJ78" s="4166"/>
      <c r="AK78" s="4135"/>
      <c r="AL78" s="4135"/>
      <c r="AM78" s="4135"/>
      <c r="AN78" s="4135"/>
      <c r="AO78" s="4149"/>
      <c r="AP78" s="4149"/>
      <c r="AQ78" s="4152"/>
      <c r="AR78" s="2593"/>
    </row>
    <row r="79" spans="1:44" s="1221" customFormat="1" ht="96" customHeight="1" x14ac:dyDescent="0.2">
      <c r="A79" s="1238"/>
      <c r="B79" s="1239"/>
      <c r="C79" s="1240"/>
      <c r="D79" s="1239"/>
      <c r="E79" s="1239"/>
      <c r="F79" s="1240"/>
      <c r="G79" s="1244"/>
      <c r="H79" s="1239"/>
      <c r="I79" s="1240"/>
      <c r="J79" s="4117"/>
      <c r="K79" s="4120"/>
      <c r="L79" s="4123"/>
      <c r="M79" s="4123"/>
      <c r="N79" s="4123"/>
      <c r="O79" s="4123"/>
      <c r="P79" s="4120"/>
      <c r="Q79" s="4140"/>
      <c r="R79" s="4143"/>
      <c r="S79" s="4120"/>
      <c r="T79" s="4120"/>
      <c r="U79" s="1223" t="s">
        <v>247</v>
      </c>
      <c r="V79" s="1523">
        <v>10000000</v>
      </c>
      <c r="W79" s="1220">
        <v>61</v>
      </c>
      <c r="X79" s="4123"/>
      <c r="Y79" s="4123"/>
      <c r="Z79" s="4123"/>
      <c r="AA79" s="4135"/>
      <c r="AB79" s="4135"/>
      <c r="AC79" s="4135"/>
      <c r="AD79" s="4135"/>
      <c r="AE79" s="4166"/>
      <c r="AF79" s="4166"/>
      <c r="AG79" s="4169"/>
      <c r="AH79" s="4166"/>
      <c r="AI79" s="4166"/>
      <c r="AJ79" s="4166"/>
      <c r="AK79" s="4135"/>
      <c r="AL79" s="4135"/>
      <c r="AM79" s="4135"/>
      <c r="AN79" s="4135"/>
      <c r="AO79" s="4149"/>
      <c r="AP79" s="4149"/>
      <c r="AQ79" s="4152"/>
      <c r="AR79" s="2593"/>
    </row>
    <row r="80" spans="1:44" s="1221" customFormat="1" ht="72" customHeight="1" x14ac:dyDescent="0.2">
      <c r="A80" s="1238"/>
      <c r="B80" s="1239"/>
      <c r="C80" s="1240"/>
      <c r="D80" s="1239"/>
      <c r="E80" s="1239"/>
      <c r="F80" s="1240"/>
      <c r="G80" s="1244"/>
      <c r="H80" s="1239"/>
      <c r="I80" s="1240"/>
      <c r="J80" s="4117"/>
      <c r="K80" s="4120"/>
      <c r="L80" s="4123"/>
      <c r="M80" s="4123"/>
      <c r="N80" s="4123"/>
      <c r="O80" s="4123"/>
      <c r="P80" s="4120"/>
      <c r="Q80" s="4140"/>
      <c r="R80" s="4143"/>
      <c r="S80" s="4120"/>
      <c r="T80" s="4120"/>
      <c r="U80" s="1223" t="s">
        <v>248</v>
      </c>
      <c r="V80" s="1523">
        <v>4000000</v>
      </c>
      <c r="W80" s="1220">
        <v>61</v>
      </c>
      <c r="X80" s="4123"/>
      <c r="Y80" s="4123"/>
      <c r="Z80" s="4123"/>
      <c r="AA80" s="4135"/>
      <c r="AB80" s="4135"/>
      <c r="AC80" s="4135"/>
      <c r="AD80" s="4135"/>
      <c r="AE80" s="4166"/>
      <c r="AF80" s="4166"/>
      <c r="AG80" s="4169"/>
      <c r="AH80" s="4166"/>
      <c r="AI80" s="4166"/>
      <c r="AJ80" s="4166"/>
      <c r="AK80" s="4135"/>
      <c r="AL80" s="4135"/>
      <c r="AM80" s="4135"/>
      <c r="AN80" s="4135"/>
      <c r="AO80" s="4149"/>
      <c r="AP80" s="4149"/>
      <c r="AQ80" s="4152"/>
      <c r="AR80" s="2593"/>
    </row>
    <row r="81" spans="1:44" s="1221" customFormat="1" ht="70.5" customHeight="1" x14ac:dyDescent="0.2">
      <c r="A81" s="1238"/>
      <c r="B81" s="1239"/>
      <c r="C81" s="1240"/>
      <c r="D81" s="1239"/>
      <c r="E81" s="1239"/>
      <c r="F81" s="1240"/>
      <c r="G81" s="1244"/>
      <c r="H81" s="1239"/>
      <c r="I81" s="1240"/>
      <c r="J81" s="4117"/>
      <c r="K81" s="4120"/>
      <c r="L81" s="4123"/>
      <c r="M81" s="4123"/>
      <c r="N81" s="4123"/>
      <c r="O81" s="4123"/>
      <c r="P81" s="4120"/>
      <c r="Q81" s="4140"/>
      <c r="R81" s="4143"/>
      <c r="S81" s="4120"/>
      <c r="T81" s="4120"/>
      <c r="U81" s="1223" t="s">
        <v>249</v>
      </c>
      <c r="V81" s="1523">
        <v>6000000</v>
      </c>
      <c r="W81" s="1220">
        <v>61</v>
      </c>
      <c r="X81" s="4123"/>
      <c r="Y81" s="4123"/>
      <c r="Z81" s="4123"/>
      <c r="AA81" s="4135"/>
      <c r="AB81" s="4135"/>
      <c r="AC81" s="4135"/>
      <c r="AD81" s="4135"/>
      <c r="AE81" s="4166"/>
      <c r="AF81" s="4166"/>
      <c r="AG81" s="4169"/>
      <c r="AH81" s="4166"/>
      <c r="AI81" s="4166"/>
      <c r="AJ81" s="4166"/>
      <c r="AK81" s="4135"/>
      <c r="AL81" s="4135"/>
      <c r="AM81" s="4135"/>
      <c r="AN81" s="4135"/>
      <c r="AO81" s="4149"/>
      <c r="AP81" s="4149"/>
      <c r="AQ81" s="4152"/>
      <c r="AR81" s="2593"/>
    </row>
    <row r="82" spans="1:44" s="1221" customFormat="1" ht="67.5" customHeight="1" x14ac:dyDescent="0.2">
      <c r="A82" s="1238"/>
      <c r="B82" s="1239"/>
      <c r="C82" s="1240"/>
      <c r="D82" s="1239"/>
      <c r="E82" s="1239"/>
      <c r="F82" s="1240"/>
      <c r="G82" s="1245"/>
      <c r="H82" s="1246"/>
      <c r="I82" s="1247"/>
      <c r="J82" s="4118"/>
      <c r="K82" s="4121"/>
      <c r="L82" s="4124"/>
      <c r="M82" s="4124"/>
      <c r="N82" s="4124"/>
      <c r="O82" s="4124"/>
      <c r="P82" s="4121"/>
      <c r="Q82" s="4141"/>
      <c r="R82" s="4144"/>
      <c r="S82" s="4121"/>
      <c r="T82" s="4121"/>
      <c r="U82" s="1223" t="s">
        <v>250</v>
      </c>
      <c r="V82" s="1523">
        <v>4000000</v>
      </c>
      <c r="W82" s="1220">
        <v>61</v>
      </c>
      <c r="X82" s="4124"/>
      <c r="Y82" s="4124"/>
      <c r="Z82" s="4124"/>
      <c r="AA82" s="4136"/>
      <c r="AB82" s="4136"/>
      <c r="AC82" s="4136"/>
      <c r="AD82" s="4136"/>
      <c r="AE82" s="4167"/>
      <c r="AF82" s="4167"/>
      <c r="AG82" s="4170"/>
      <c r="AH82" s="4167"/>
      <c r="AI82" s="4167"/>
      <c r="AJ82" s="4167"/>
      <c r="AK82" s="4136"/>
      <c r="AL82" s="4136"/>
      <c r="AM82" s="4136"/>
      <c r="AN82" s="4136"/>
      <c r="AO82" s="4150"/>
      <c r="AP82" s="4150"/>
      <c r="AQ82" s="4153"/>
      <c r="AR82" s="2593"/>
    </row>
    <row r="83" spans="1:44" ht="33" customHeight="1" x14ac:dyDescent="0.2">
      <c r="A83" s="1199"/>
      <c r="B83" s="1200"/>
      <c r="C83" s="1201"/>
      <c r="D83" s="1200"/>
      <c r="E83" s="1200"/>
      <c r="F83" s="1201"/>
      <c r="G83" s="1234">
        <v>38</v>
      </c>
      <c r="H83" s="1205" t="s">
        <v>251</v>
      </c>
      <c r="I83" s="1205"/>
      <c r="J83" s="1205"/>
      <c r="K83" s="1206"/>
      <c r="L83" s="1205"/>
      <c r="M83" s="1205"/>
      <c r="N83" s="1207"/>
      <c r="O83" s="1205"/>
      <c r="P83" s="1206"/>
      <c r="Q83" s="1205"/>
      <c r="R83" s="1235"/>
      <c r="S83" s="1205"/>
      <c r="T83" s="1206"/>
      <c r="U83" s="1206"/>
      <c r="V83" s="1299"/>
      <c r="W83" s="1237"/>
      <c r="X83" s="1207"/>
      <c r="Y83" s="1207"/>
      <c r="Z83" s="1207"/>
      <c r="AA83" s="1207"/>
      <c r="AB83" s="1207"/>
      <c r="AC83" s="1207"/>
      <c r="AD83" s="1207"/>
      <c r="AE83" s="1207"/>
      <c r="AF83" s="1207"/>
      <c r="AG83" s="1207"/>
      <c r="AH83" s="1207"/>
      <c r="AI83" s="1207"/>
      <c r="AJ83" s="1207"/>
      <c r="AK83" s="1207"/>
      <c r="AL83" s="1207"/>
      <c r="AM83" s="1207"/>
      <c r="AN83" s="1207"/>
      <c r="AO83" s="1205"/>
      <c r="AP83" s="1205"/>
      <c r="AQ83" s="1212"/>
    </row>
    <row r="84" spans="1:44" s="1221" customFormat="1" ht="34.5" customHeight="1" x14ac:dyDescent="0.2">
      <c r="A84" s="1213"/>
      <c r="B84" s="1214"/>
      <c r="C84" s="1215"/>
      <c r="D84" s="1214"/>
      <c r="E84" s="1214"/>
      <c r="F84" s="1215"/>
      <c r="G84" s="1216"/>
      <c r="H84" s="1217"/>
      <c r="I84" s="1218"/>
      <c r="J84" s="4116">
        <v>136</v>
      </c>
      <c r="K84" s="4122" t="s">
        <v>252</v>
      </c>
      <c r="L84" s="4122" t="s">
        <v>169</v>
      </c>
      <c r="M84" s="4122">
        <v>12</v>
      </c>
      <c r="N84" s="4122" t="s">
        <v>253</v>
      </c>
      <c r="O84" s="4122" t="s">
        <v>254</v>
      </c>
      <c r="P84" s="4119" t="s">
        <v>255</v>
      </c>
      <c r="Q84" s="4139">
        <f>SUM(V84:V94)/R84</f>
        <v>0.39130434782608697</v>
      </c>
      <c r="R84" s="4142">
        <f>SUM(V84:V104)</f>
        <v>138000000</v>
      </c>
      <c r="S84" s="4119" t="s">
        <v>256</v>
      </c>
      <c r="T84" s="4122" t="s">
        <v>257</v>
      </c>
      <c r="U84" s="4183" t="s">
        <v>258</v>
      </c>
      <c r="V84" s="1524">
        <v>3000000</v>
      </c>
      <c r="W84" s="1528">
        <v>61</v>
      </c>
      <c r="X84" s="4122" t="s">
        <v>224</v>
      </c>
      <c r="Y84" s="4122">
        <v>292684</v>
      </c>
      <c r="Z84" s="4122">
        <v>282326</v>
      </c>
      <c r="AA84" s="4165">
        <v>135912</v>
      </c>
      <c r="AB84" s="4165">
        <v>45122</v>
      </c>
      <c r="AC84" s="4180">
        <f>SUM(AC55)</f>
        <v>307101</v>
      </c>
      <c r="AD84" s="4165">
        <f>SUM(AD55)</f>
        <v>86875</v>
      </c>
      <c r="AE84" s="4165">
        <f>SUM(AE55)</f>
        <v>2145</v>
      </c>
      <c r="AF84" s="4165">
        <v>12718</v>
      </c>
      <c r="AG84" s="4165">
        <v>26</v>
      </c>
      <c r="AH84" s="4165">
        <v>37</v>
      </c>
      <c r="AI84" s="4165" t="s">
        <v>177</v>
      </c>
      <c r="AJ84" s="4180" t="s">
        <v>177</v>
      </c>
      <c r="AK84" s="4165">
        <v>53164</v>
      </c>
      <c r="AL84" s="4165">
        <v>16982</v>
      </c>
      <c r="AM84" s="4180">
        <v>60013</v>
      </c>
      <c r="AN84" s="4165">
        <v>575010</v>
      </c>
      <c r="AO84" s="4148">
        <v>43467</v>
      </c>
      <c r="AP84" s="4148">
        <v>43830</v>
      </c>
      <c r="AQ84" s="4151" t="s">
        <v>178</v>
      </c>
      <c r="AR84" s="2594"/>
    </row>
    <row r="85" spans="1:44" s="1221" customFormat="1" ht="39" customHeight="1" x14ac:dyDescent="0.2">
      <c r="A85" s="1213"/>
      <c r="B85" s="1214"/>
      <c r="C85" s="1215"/>
      <c r="D85" s="1214"/>
      <c r="E85" s="1214"/>
      <c r="F85" s="1215"/>
      <c r="G85" s="1222"/>
      <c r="H85" s="1214"/>
      <c r="I85" s="1215"/>
      <c r="J85" s="4117"/>
      <c r="K85" s="4123"/>
      <c r="L85" s="4123"/>
      <c r="M85" s="4123"/>
      <c r="N85" s="4123"/>
      <c r="O85" s="4123"/>
      <c r="P85" s="4120"/>
      <c r="Q85" s="4140"/>
      <c r="R85" s="4143"/>
      <c r="S85" s="4120"/>
      <c r="T85" s="4123"/>
      <c r="U85" s="4184"/>
      <c r="V85" s="1524">
        <v>13000000</v>
      </c>
      <c r="W85" s="1528">
        <v>98</v>
      </c>
      <c r="X85" s="4123"/>
      <c r="Y85" s="4123"/>
      <c r="Z85" s="4123"/>
      <c r="AA85" s="4166"/>
      <c r="AB85" s="4166"/>
      <c r="AC85" s="4181"/>
      <c r="AD85" s="4166"/>
      <c r="AE85" s="4166"/>
      <c r="AF85" s="4166"/>
      <c r="AG85" s="4166"/>
      <c r="AH85" s="4166"/>
      <c r="AI85" s="4166"/>
      <c r="AJ85" s="4181"/>
      <c r="AK85" s="4166"/>
      <c r="AL85" s="4166"/>
      <c r="AM85" s="4181"/>
      <c r="AN85" s="4166"/>
      <c r="AO85" s="4149"/>
      <c r="AP85" s="4149"/>
      <c r="AQ85" s="4152"/>
      <c r="AR85" s="2594"/>
    </row>
    <row r="86" spans="1:44" s="1221" customFormat="1" ht="32.25" customHeight="1" x14ac:dyDescent="0.2">
      <c r="A86" s="1213"/>
      <c r="B86" s="1214"/>
      <c r="C86" s="1215"/>
      <c r="D86" s="1214"/>
      <c r="E86" s="1214"/>
      <c r="F86" s="1215"/>
      <c r="G86" s="1222"/>
      <c r="H86" s="1214"/>
      <c r="I86" s="1215"/>
      <c r="J86" s="4117"/>
      <c r="K86" s="4123"/>
      <c r="L86" s="4123"/>
      <c r="M86" s="4123"/>
      <c r="N86" s="4123"/>
      <c r="O86" s="4123"/>
      <c r="P86" s="4120"/>
      <c r="Q86" s="4140"/>
      <c r="R86" s="4143"/>
      <c r="S86" s="4120"/>
      <c r="T86" s="4123"/>
      <c r="U86" s="4185" t="s">
        <v>259</v>
      </c>
      <c r="V86" s="1524">
        <v>3000000</v>
      </c>
      <c r="W86" s="1528">
        <v>61</v>
      </c>
      <c r="X86" s="4123"/>
      <c r="Y86" s="4123"/>
      <c r="Z86" s="4123"/>
      <c r="AA86" s="4166"/>
      <c r="AB86" s="4166"/>
      <c r="AC86" s="4181"/>
      <c r="AD86" s="4166"/>
      <c r="AE86" s="4166"/>
      <c r="AF86" s="4166"/>
      <c r="AG86" s="4166"/>
      <c r="AH86" s="4166"/>
      <c r="AI86" s="4166"/>
      <c r="AJ86" s="4181"/>
      <c r="AK86" s="4166"/>
      <c r="AL86" s="4166"/>
      <c r="AM86" s="4181"/>
      <c r="AN86" s="4166"/>
      <c r="AO86" s="4149"/>
      <c r="AP86" s="4149"/>
      <c r="AQ86" s="4152"/>
      <c r="AR86" s="2594"/>
    </row>
    <row r="87" spans="1:44" s="1221" customFormat="1" ht="44.25" customHeight="1" x14ac:dyDescent="0.2">
      <c r="A87" s="1213"/>
      <c r="B87" s="1214"/>
      <c r="C87" s="1215"/>
      <c r="D87" s="1214"/>
      <c r="E87" s="1214"/>
      <c r="F87" s="1215"/>
      <c r="G87" s="1222"/>
      <c r="H87" s="1214"/>
      <c r="I87" s="1215"/>
      <c r="J87" s="4117"/>
      <c r="K87" s="4123"/>
      <c r="L87" s="4123"/>
      <c r="M87" s="4123"/>
      <c r="N87" s="4123"/>
      <c r="O87" s="4123"/>
      <c r="P87" s="4120"/>
      <c r="Q87" s="4140"/>
      <c r="R87" s="4143"/>
      <c r="S87" s="4120"/>
      <c r="T87" s="4123"/>
      <c r="U87" s="4186"/>
      <c r="V87" s="1524">
        <v>13000000</v>
      </c>
      <c r="W87" s="1528">
        <v>98</v>
      </c>
      <c r="X87" s="4123"/>
      <c r="Y87" s="4123"/>
      <c r="Z87" s="4123"/>
      <c r="AA87" s="4166"/>
      <c r="AB87" s="4166"/>
      <c r="AC87" s="4181"/>
      <c r="AD87" s="4166"/>
      <c r="AE87" s="4166"/>
      <c r="AF87" s="4166"/>
      <c r="AG87" s="4166"/>
      <c r="AH87" s="4166"/>
      <c r="AI87" s="4166"/>
      <c r="AJ87" s="4181"/>
      <c r="AK87" s="4166"/>
      <c r="AL87" s="4166"/>
      <c r="AM87" s="4181"/>
      <c r="AN87" s="4166"/>
      <c r="AO87" s="4149"/>
      <c r="AP87" s="4149"/>
      <c r="AQ87" s="4152"/>
      <c r="AR87" s="2594"/>
    </row>
    <row r="88" spans="1:44" s="1221" customFormat="1" ht="57" x14ac:dyDescent="0.2">
      <c r="A88" s="1213"/>
      <c r="B88" s="1214"/>
      <c r="C88" s="1215"/>
      <c r="D88" s="1214"/>
      <c r="E88" s="1214"/>
      <c r="F88" s="1215"/>
      <c r="G88" s="1222"/>
      <c r="H88" s="1214"/>
      <c r="I88" s="1215"/>
      <c r="J88" s="4117"/>
      <c r="K88" s="4123"/>
      <c r="L88" s="4123"/>
      <c r="M88" s="4123"/>
      <c r="N88" s="4123"/>
      <c r="O88" s="4123"/>
      <c r="P88" s="4120"/>
      <c r="Q88" s="4140"/>
      <c r="R88" s="4143"/>
      <c r="S88" s="4120"/>
      <c r="T88" s="4123"/>
      <c r="U88" s="1525" t="s">
        <v>260</v>
      </c>
      <c r="V88" s="1524">
        <v>3000000</v>
      </c>
      <c r="W88" s="1528">
        <v>61</v>
      </c>
      <c r="X88" s="4123"/>
      <c r="Y88" s="4123"/>
      <c r="Z88" s="4123"/>
      <c r="AA88" s="4166"/>
      <c r="AB88" s="4166"/>
      <c r="AC88" s="4181"/>
      <c r="AD88" s="4166"/>
      <c r="AE88" s="4166"/>
      <c r="AF88" s="4166"/>
      <c r="AG88" s="4166"/>
      <c r="AH88" s="4166"/>
      <c r="AI88" s="4166"/>
      <c r="AJ88" s="4181"/>
      <c r="AK88" s="4166"/>
      <c r="AL88" s="4166"/>
      <c r="AM88" s="4181"/>
      <c r="AN88" s="4166"/>
      <c r="AO88" s="4149"/>
      <c r="AP88" s="4149"/>
      <c r="AQ88" s="4152"/>
      <c r="AR88" s="2593"/>
    </row>
    <row r="89" spans="1:44" s="1221" customFormat="1" ht="42.75" x14ac:dyDescent="0.2">
      <c r="A89" s="1213"/>
      <c r="B89" s="1214"/>
      <c r="C89" s="1215"/>
      <c r="D89" s="1214"/>
      <c r="E89" s="1214"/>
      <c r="F89" s="1215"/>
      <c r="G89" s="1222"/>
      <c r="H89" s="1214"/>
      <c r="I89" s="1215"/>
      <c r="J89" s="4117"/>
      <c r="K89" s="4123"/>
      <c r="L89" s="4123"/>
      <c r="M89" s="4123"/>
      <c r="N89" s="4123"/>
      <c r="O89" s="4123"/>
      <c r="P89" s="4120"/>
      <c r="Q89" s="4140"/>
      <c r="R89" s="4143"/>
      <c r="S89" s="4120"/>
      <c r="T89" s="4123"/>
      <c r="U89" s="1526" t="s">
        <v>261</v>
      </c>
      <c r="V89" s="1524">
        <v>3000000</v>
      </c>
      <c r="W89" s="1528">
        <v>61</v>
      </c>
      <c r="X89" s="4123"/>
      <c r="Y89" s="4123"/>
      <c r="Z89" s="4123"/>
      <c r="AA89" s="4166"/>
      <c r="AB89" s="4166"/>
      <c r="AC89" s="4181"/>
      <c r="AD89" s="4166"/>
      <c r="AE89" s="4166"/>
      <c r="AF89" s="4166"/>
      <c r="AG89" s="4166"/>
      <c r="AH89" s="4166"/>
      <c r="AI89" s="4166"/>
      <c r="AJ89" s="4181"/>
      <c r="AK89" s="4166"/>
      <c r="AL89" s="4166"/>
      <c r="AM89" s="4181"/>
      <c r="AN89" s="4166"/>
      <c r="AO89" s="4149"/>
      <c r="AP89" s="4149"/>
      <c r="AQ89" s="4152"/>
      <c r="AR89" s="2593"/>
    </row>
    <row r="90" spans="1:44" s="1221" customFormat="1" ht="110.25" customHeight="1" x14ac:dyDescent="0.2">
      <c r="A90" s="1213"/>
      <c r="B90" s="1214"/>
      <c r="C90" s="1215"/>
      <c r="D90" s="1214"/>
      <c r="E90" s="1214"/>
      <c r="F90" s="1215"/>
      <c r="G90" s="1222"/>
      <c r="H90" s="1214"/>
      <c r="I90" s="1215"/>
      <c r="J90" s="4117"/>
      <c r="K90" s="4123"/>
      <c r="L90" s="4123"/>
      <c r="M90" s="4123"/>
      <c r="N90" s="4123"/>
      <c r="O90" s="4123"/>
      <c r="P90" s="4120"/>
      <c r="Q90" s="4140"/>
      <c r="R90" s="4143"/>
      <c r="S90" s="4120"/>
      <c r="T90" s="4123"/>
      <c r="U90" s="1526" t="s">
        <v>262</v>
      </c>
      <c r="V90" s="1524">
        <v>3000000</v>
      </c>
      <c r="W90" s="1528">
        <v>61</v>
      </c>
      <c r="X90" s="4123"/>
      <c r="Y90" s="4123"/>
      <c r="Z90" s="4123"/>
      <c r="AA90" s="4166"/>
      <c r="AB90" s="4166"/>
      <c r="AC90" s="4181"/>
      <c r="AD90" s="4166"/>
      <c r="AE90" s="4166"/>
      <c r="AF90" s="4166"/>
      <c r="AG90" s="4166"/>
      <c r="AH90" s="4166"/>
      <c r="AI90" s="4166"/>
      <c r="AJ90" s="4181"/>
      <c r="AK90" s="4166"/>
      <c r="AL90" s="4166"/>
      <c r="AM90" s="4181"/>
      <c r="AN90" s="4166"/>
      <c r="AO90" s="4149"/>
      <c r="AP90" s="4149"/>
      <c r="AQ90" s="4152"/>
      <c r="AR90" s="2593"/>
    </row>
    <row r="91" spans="1:44" s="1221" customFormat="1" ht="123" customHeight="1" x14ac:dyDescent="0.2">
      <c r="A91" s="1213"/>
      <c r="B91" s="1214"/>
      <c r="C91" s="1215"/>
      <c r="D91" s="1214"/>
      <c r="E91" s="1214"/>
      <c r="F91" s="1215"/>
      <c r="G91" s="1222"/>
      <c r="H91" s="1214"/>
      <c r="I91" s="1215"/>
      <c r="J91" s="4117"/>
      <c r="K91" s="4123"/>
      <c r="L91" s="4123"/>
      <c r="M91" s="4123"/>
      <c r="N91" s="4123"/>
      <c r="O91" s="4123"/>
      <c r="P91" s="4120"/>
      <c r="Q91" s="4140"/>
      <c r="R91" s="4143"/>
      <c r="S91" s="4120"/>
      <c r="T91" s="4123"/>
      <c r="U91" s="1525" t="s">
        <v>263</v>
      </c>
      <c r="V91" s="1524">
        <v>3000000</v>
      </c>
      <c r="W91" s="1528">
        <v>61</v>
      </c>
      <c r="X91" s="4123"/>
      <c r="Y91" s="4123"/>
      <c r="Z91" s="4123"/>
      <c r="AA91" s="4166"/>
      <c r="AB91" s="4166"/>
      <c r="AC91" s="4181"/>
      <c r="AD91" s="4166"/>
      <c r="AE91" s="4166"/>
      <c r="AF91" s="4166"/>
      <c r="AG91" s="4166"/>
      <c r="AH91" s="4166"/>
      <c r="AI91" s="4166"/>
      <c r="AJ91" s="4181"/>
      <c r="AK91" s="4166"/>
      <c r="AL91" s="4166"/>
      <c r="AM91" s="4181"/>
      <c r="AN91" s="4166"/>
      <c r="AO91" s="4149"/>
      <c r="AP91" s="4149"/>
      <c r="AQ91" s="4152"/>
      <c r="AR91" s="2593"/>
    </row>
    <row r="92" spans="1:44" s="1221" customFormat="1" ht="57" x14ac:dyDescent="0.2">
      <c r="A92" s="1213"/>
      <c r="B92" s="1214"/>
      <c r="C92" s="1215"/>
      <c r="D92" s="1214"/>
      <c r="E92" s="1214"/>
      <c r="F92" s="1215"/>
      <c r="G92" s="1222"/>
      <c r="H92" s="1214"/>
      <c r="I92" s="1215"/>
      <c r="J92" s="4117"/>
      <c r="K92" s="4123"/>
      <c r="L92" s="4123"/>
      <c r="M92" s="4123"/>
      <c r="N92" s="4123"/>
      <c r="O92" s="4123"/>
      <c r="P92" s="4120"/>
      <c r="Q92" s="4140"/>
      <c r="R92" s="4143"/>
      <c r="S92" s="4120"/>
      <c r="T92" s="4123"/>
      <c r="U92" s="1525" t="s">
        <v>264</v>
      </c>
      <c r="V92" s="1524">
        <v>3000000</v>
      </c>
      <c r="W92" s="1528">
        <v>61</v>
      </c>
      <c r="X92" s="4123"/>
      <c r="Y92" s="4123"/>
      <c r="Z92" s="4123"/>
      <c r="AA92" s="4166"/>
      <c r="AB92" s="4166"/>
      <c r="AC92" s="4181"/>
      <c r="AD92" s="4166"/>
      <c r="AE92" s="4166"/>
      <c r="AF92" s="4166"/>
      <c r="AG92" s="4166"/>
      <c r="AH92" s="4166"/>
      <c r="AI92" s="4166"/>
      <c r="AJ92" s="4181"/>
      <c r="AK92" s="4166"/>
      <c r="AL92" s="4166"/>
      <c r="AM92" s="4181"/>
      <c r="AN92" s="4166"/>
      <c r="AO92" s="4149"/>
      <c r="AP92" s="4149"/>
      <c r="AQ92" s="4152"/>
      <c r="AR92" s="2593"/>
    </row>
    <row r="93" spans="1:44" s="1221" customFormat="1" ht="42.75" x14ac:dyDescent="0.2">
      <c r="A93" s="1213"/>
      <c r="B93" s="1214"/>
      <c r="C93" s="1215"/>
      <c r="D93" s="1214"/>
      <c r="E93" s="1214"/>
      <c r="F93" s="1215"/>
      <c r="G93" s="1222"/>
      <c r="H93" s="1214"/>
      <c r="I93" s="1215"/>
      <c r="J93" s="4117"/>
      <c r="K93" s="4123"/>
      <c r="L93" s="4123"/>
      <c r="M93" s="4123"/>
      <c r="N93" s="4123"/>
      <c r="O93" s="4123"/>
      <c r="P93" s="4120"/>
      <c r="Q93" s="4140"/>
      <c r="R93" s="4143"/>
      <c r="S93" s="4120"/>
      <c r="T93" s="4123"/>
      <c r="U93" s="1525" t="s">
        <v>265</v>
      </c>
      <c r="V93" s="1524">
        <v>3000000</v>
      </c>
      <c r="W93" s="1528">
        <v>61</v>
      </c>
      <c r="X93" s="4123"/>
      <c r="Y93" s="4123"/>
      <c r="Z93" s="4123"/>
      <c r="AA93" s="4166"/>
      <c r="AB93" s="4166"/>
      <c r="AC93" s="4181"/>
      <c r="AD93" s="4166"/>
      <c r="AE93" s="4166"/>
      <c r="AF93" s="4166"/>
      <c r="AG93" s="4166"/>
      <c r="AH93" s="4166"/>
      <c r="AI93" s="4166"/>
      <c r="AJ93" s="4181"/>
      <c r="AK93" s="4166"/>
      <c r="AL93" s="4166"/>
      <c r="AM93" s="4181"/>
      <c r="AN93" s="4166"/>
      <c r="AO93" s="4149"/>
      <c r="AP93" s="4149"/>
      <c r="AQ93" s="4152"/>
      <c r="AR93" s="2593"/>
    </row>
    <row r="94" spans="1:44" s="1221" customFormat="1" ht="107.25" customHeight="1" x14ac:dyDescent="0.2">
      <c r="A94" s="1213"/>
      <c r="B94" s="1214"/>
      <c r="C94" s="1215"/>
      <c r="D94" s="1214"/>
      <c r="E94" s="1214"/>
      <c r="F94" s="1215"/>
      <c r="G94" s="1222"/>
      <c r="H94" s="1214"/>
      <c r="I94" s="1215"/>
      <c r="J94" s="4118"/>
      <c r="K94" s="4124"/>
      <c r="L94" s="4124"/>
      <c r="M94" s="4124"/>
      <c r="N94" s="4123"/>
      <c r="O94" s="4123"/>
      <c r="P94" s="4120"/>
      <c r="Q94" s="4141"/>
      <c r="R94" s="4143"/>
      <c r="S94" s="4120"/>
      <c r="T94" s="4124"/>
      <c r="U94" s="1525" t="s">
        <v>266</v>
      </c>
      <c r="V94" s="1524">
        <v>4000000</v>
      </c>
      <c r="W94" s="1528">
        <v>61</v>
      </c>
      <c r="X94" s="4123"/>
      <c r="Y94" s="4123"/>
      <c r="Z94" s="4123"/>
      <c r="AA94" s="4166"/>
      <c r="AB94" s="4166"/>
      <c r="AC94" s="4181"/>
      <c r="AD94" s="4166"/>
      <c r="AE94" s="4166"/>
      <c r="AF94" s="4166"/>
      <c r="AG94" s="4166"/>
      <c r="AH94" s="4166"/>
      <c r="AI94" s="4166"/>
      <c r="AJ94" s="4181"/>
      <c r="AK94" s="4166"/>
      <c r="AL94" s="4166"/>
      <c r="AM94" s="4181"/>
      <c r="AN94" s="4166"/>
      <c r="AO94" s="4149"/>
      <c r="AP94" s="4149"/>
      <c r="AQ94" s="4152"/>
      <c r="AR94" s="2593"/>
    </row>
    <row r="95" spans="1:44" s="1221" customFormat="1" ht="42.75" x14ac:dyDescent="0.2">
      <c r="A95" s="1213"/>
      <c r="B95" s="1214"/>
      <c r="C95" s="1215"/>
      <c r="D95" s="1214"/>
      <c r="E95" s="1214"/>
      <c r="F95" s="1215"/>
      <c r="G95" s="1222"/>
      <c r="H95" s="1214"/>
      <c r="I95" s="1215"/>
      <c r="J95" s="4116">
        <v>137</v>
      </c>
      <c r="K95" s="4119" t="s">
        <v>267</v>
      </c>
      <c r="L95" s="4122" t="s">
        <v>169</v>
      </c>
      <c r="M95" s="4122">
        <v>12</v>
      </c>
      <c r="N95" s="4123"/>
      <c r="O95" s="4123"/>
      <c r="P95" s="4120"/>
      <c r="Q95" s="4139">
        <f>SUM(V95:V99)/R84</f>
        <v>0.40579710144927539</v>
      </c>
      <c r="R95" s="4143"/>
      <c r="S95" s="4120"/>
      <c r="T95" s="4119" t="s">
        <v>268</v>
      </c>
      <c r="U95" s="1525" t="s">
        <v>269</v>
      </c>
      <c r="V95" s="1524">
        <v>11000000</v>
      </c>
      <c r="W95" s="1528">
        <v>61</v>
      </c>
      <c r="X95" s="4123"/>
      <c r="Y95" s="4123"/>
      <c r="Z95" s="4123"/>
      <c r="AA95" s="4166"/>
      <c r="AB95" s="4166"/>
      <c r="AC95" s="4181"/>
      <c r="AD95" s="4166"/>
      <c r="AE95" s="4166"/>
      <c r="AF95" s="4166"/>
      <c r="AG95" s="4166"/>
      <c r="AH95" s="4166"/>
      <c r="AI95" s="4166"/>
      <c r="AJ95" s="4181"/>
      <c r="AK95" s="4166"/>
      <c r="AL95" s="4166"/>
      <c r="AM95" s="4181"/>
      <c r="AN95" s="4166"/>
      <c r="AO95" s="4149"/>
      <c r="AP95" s="4149"/>
      <c r="AQ95" s="4152"/>
      <c r="AR95" s="2593"/>
    </row>
    <row r="96" spans="1:44" s="1221" customFormat="1" ht="96" customHeight="1" x14ac:dyDescent="0.2">
      <c r="A96" s="1213"/>
      <c r="B96" s="1214"/>
      <c r="C96" s="1215"/>
      <c r="D96" s="1214"/>
      <c r="E96" s="1214"/>
      <c r="F96" s="1215"/>
      <c r="G96" s="1222"/>
      <c r="H96" s="1214"/>
      <c r="I96" s="1215"/>
      <c r="J96" s="4117"/>
      <c r="K96" s="4120"/>
      <c r="L96" s="4123"/>
      <c r="M96" s="4123"/>
      <c r="N96" s="4123"/>
      <c r="O96" s="4123"/>
      <c r="P96" s="4120"/>
      <c r="Q96" s="4140"/>
      <c r="R96" s="4143"/>
      <c r="S96" s="4120"/>
      <c r="T96" s="4120"/>
      <c r="U96" s="1525" t="s">
        <v>270</v>
      </c>
      <c r="V96" s="1524">
        <v>11000000</v>
      </c>
      <c r="W96" s="1528">
        <v>61</v>
      </c>
      <c r="X96" s="4123"/>
      <c r="Y96" s="4123"/>
      <c r="Z96" s="4123"/>
      <c r="AA96" s="4166"/>
      <c r="AB96" s="4166"/>
      <c r="AC96" s="4181"/>
      <c r="AD96" s="4166"/>
      <c r="AE96" s="4166"/>
      <c r="AF96" s="4166"/>
      <c r="AG96" s="4166"/>
      <c r="AH96" s="4166"/>
      <c r="AI96" s="4166"/>
      <c r="AJ96" s="4181"/>
      <c r="AK96" s="4166"/>
      <c r="AL96" s="4166"/>
      <c r="AM96" s="4181"/>
      <c r="AN96" s="4166"/>
      <c r="AO96" s="4149"/>
      <c r="AP96" s="4149"/>
      <c r="AQ96" s="4152"/>
      <c r="AR96" s="2593"/>
    </row>
    <row r="97" spans="1:292" s="1221" customFormat="1" ht="66.75" customHeight="1" x14ac:dyDescent="0.2">
      <c r="A97" s="1213"/>
      <c r="B97" s="1214"/>
      <c r="C97" s="1215"/>
      <c r="D97" s="1214"/>
      <c r="E97" s="1214"/>
      <c r="F97" s="1215"/>
      <c r="G97" s="1222"/>
      <c r="H97" s="1214"/>
      <c r="I97" s="1215"/>
      <c r="J97" s="4117"/>
      <c r="K97" s="4120"/>
      <c r="L97" s="4123"/>
      <c r="M97" s="4123"/>
      <c r="N97" s="4123"/>
      <c r="O97" s="4123"/>
      <c r="P97" s="4120"/>
      <c r="Q97" s="4140"/>
      <c r="R97" s="4143"/>
      <c r="S97" s="4120"/>
      <c r="T97" s="4120"/>
      <c r="U97" s="1525" t="s">
        <v>271</v>
      </c>
      <c r="V97" s="1524">
        <v>11000000</v>
      </c>
      <c r="W97" s="1528">
        <v>61</v>
      </c>
      <c r="X97" s="4123"/>
      <c r="Y97" s="4123"/>
      <c r="Z97" s="4123"/>
      <c r="AA97" s="4166"/>
      <c r="AB97" s="4166"/>
      <c r="AC97" s="4181"/>
      <c r="AD97" s="4166"/>
      <c r="AE97" s="4166"/>
      <c r="AF97" s="4166"/>
      <c r="AG97" s="4166"/>
      <c r="AH97" s="4166"/>
      <c r="AI97" s="4166"/>
      <c r="AJ97" s="4181"/>
      <c r="AK97" s="4166"/>
      <c r="AL97" s="4166"/>
      <c r="AM97" s="4181"/>
      <c r="AN97" s="4166"/>
      <c r="AO97" s="4149"/>
      <c r="AP97" s="4149"/>
      <c r="AQ97" s="4152"/>
      <c r="AR97" s="2593"/>
    </row>
    <row r="98" spans="1:292" s="1221" customFormat="1" ht="84" customHeight="1" x14ac:dyDescent="0.2">
      <c r="A98" s="1213"/>
      <c r="B98" s="1214"/>
      <c r="C98" s="1215"/>
      <c r="D98" s="1214"/>
      <c r="E98" s="1214"/>
      <c r="F98" s="1215"/>
      <c r="G98" s="1222"/>
      <c r="H98" s="1214"/>
      <c r="I98" s="1215"/>
      <c r="J98" s="4117"/>
      <c r="K98" s="4120"/>
      <c r="L98" s="4123"/>
      <c r="M98" s="4123"/>
      <c r="N98" s="4123"/>
      <c r="O98" s="4123"/>
      <c r="P98" s="4120"/>
      <c r="Q98" s="4140"/>
      <c r="R98" s="4143"/>
      <c r="S98" s="4120"/>
      <c r="T98" s="4120"/>
      <c r="U98" s="1525" t="s">
        <v>272</v>
      </c>
      <c r="V98" s="1524">
        <v>11000000</v>
      </c>
      <c r="W98" s="1528">
        <v>61</v>
      </c>
      <c r="X98" s="4123"/>
      <c r="Y98" s="4123"/>
      <c r="Z98" s="4123"/>
      <c r="AA98" s="4166"/>
      <c r="AB98" s="4166"/>
      <c r="AC98" s="4181"/>
      <c r="AD98" s="4166"/>
      <c r="AE98" s="4166"/>
      <c r="AF98" s="4166"/>
      <c r="AG98" s="4166"/>
      <c r="AH98" s="4166"/>
      <c r="AI98" s="4166"/>
      <c r="AJ98" s="4181"/>
      <c r="AK98" s="4166"/>
      <c r="AL98" s="4166"/>
      <c r="AM98" s="4181"/>
      <c r="AN98" s="4166"/>
      <c r="AO98" s="4149"/>
      <c r="AP98" s="4149"/>
      <c r="AQ98" s="4152"/>
      <c r="AR98" s="2593"/>
    </row>
    <row r="99" spans="1:292" s="1221" customFormat="1" ht="75" customHeight="1" x14ac:dyDescent="0.2">
      <c r="A99" s="1213"/>
      <c r="B99" s="1214"/>
      <c r="C99" s="1215"/>
      <c r="D99" s="1214"/>
      <c r="E99" s="1214"/>
      <c r="F99" s="1215"/>
      <c r="G99" s="1222"/>
      <c r="H99" s="1214"/>
      <c r="I99" s="1215"/>
      <c r="J99" s="4118"/>
      <c r="K99" s="4121"/>
      <c r="L99" s="4124"/>
      <c r="M99" s="4124"/>
      <c r="N99" s="4123"/>
      <c r="O99" s="4123"/>
      <c r="P99" s="4120"/>
      <c r="Q99" s="4141"/>
      <c r="R99" s="4143"/>
      <c r="S99" s="4120"/>
      <c r="T99" s="4121"/>
      <c r="U99" s="1525" t="s">
        <v>273</v>
      </c>
      <c r="V99" s="1524">
        <v>12000000</v>
      </c>
      <c r="W99" s="1528">
        <v>61</v>
      </c>
      <c r="X99" s="4123"/>
      <c r="Y99" s="4123"/>
      <c r="Z99" s="4123"/>
      <c r="AA99" s="4166"/>
      <c r="AB99" s="4166"/>
      <c r="AC99" s="4181"/>
      <c r="AD99" s="4166"/>
      <c r="AE99" s="4166"/>
      <c r="AF99" s="4166"/>
      <c r="AG99" s="4166"/>
      <c r="AH99" s="4166"/>
      <c r="AI99" s="4166"/>
      <c r="AJ99" s="4181"/>
      <c r="AK99" s="4166"/>
      <c r="AL99" s="4166"/>
      <c r="AM99" s="4181"/>
      <c r="AN99" s="4166"/>
      <c r="AO99" s="4149"/>
      <c r="AP99" s="4149"/>
      <c r="AQ99" s="4152"/>
      <c r="AR99" s="2593"/>
    </row>
    <row r="100" spans="1:292" s="1221" customFormat="1" ht="57" x14ac:dyDescent="0.2">
      <c r="A100" s="1213"/>
      <c r="B100" s="1214"/>
      <c r="C100" s="1215"/>
      <c r="D100" s="1214"/>
      <c r="E100" s="1214"/>
      <c r="F100" s="1215"/>
      <c r="G100" s="1222"/>
      <c r="H100" s="1214"/>
      <c r="I100" s="1215"/>
      <c r="J100" s="4171">
        <v>138</v>
      </c>
      <c r="K100" s="4174" t="s">
        <v>274</v>
      </c>
      <c r="L100" s="4168" t="s">
        <v>169</v>
      </c>
      <c r="M100" s="4168">
        <v>12</v>
      </c>
      <c r="N100" s="4123"/>
      <c r="O100" s="4123"/>
      <c r="P100" s="4120"/>
      <c r="Q100" s="4177">
        <f>SUM(V100:V104)/R84</f>
        <v>0.20289855072463769</v>
      </c>
      <c r="R100" s="4143"/>
      <c r="S100" s="4120"/>
      <c r="T100" s="4174" t="s">
        <v>275</v>
      </c>
      <c r="U100" s="1527" t="s">
        <v>276</v>
      </c>
      <c r="V100" s="1524">
        <v>5000000</v>
      </c>
      <c r="W100" s="1528">
        <v>61</v>
      </c>
      <c r="X100" s="4123"/>
      <c r="Y100" s="4123"/>
      <c r="Z100" s="4123"/>
      <c r="AA100" s="4166"/>
      <c r="AB100" s="4166"/>
      <c r="AC100" s="4181"/>
      <c r="AD100" s="4166"/>
      <c r="AE100" s="4166"/>
      <c r="AF100" s="4166"/>
      <c r="AG100" s="4166"/>
      <c r="AH100" s="4166"/>
      <c r="AI100" s="4166"/>
      <c r="AJ100" s="4181"/>
      <c r="AK100" s="4166"/>
      <c r="AL100" s="4166"/>
      <c r="AM100" s="4181"/>
      <c r="AN100" s="4166"/>
      <c r="AO100" s="4149"/>
      <c r="AP100" s="4149"/>
      <c r="AQ100" s="4152"/>
      <c r="AR100" s="2593"/>
    </row>
    <row r="101" spans="1:292" s="1221" customFormat="1" ht="60" customHeight="1" x14ac:dyDescent="0.2">
      <c r="A101" s="1213"/>
      <c r="B101" s="1214"/>
      <c r="C101" s="1215"/>
      <c r="D101" s="1214"/>
      <c r="E101" s="1214"/>
      <c r="F101" s="1215"/>
      <c r="G101" s="1222"/>
      <c r="H101" s="1214"/>
      <c r="I101" s="1215"/>
      <c r="J101" s="4172"/>
      <c r="K101" s="4175"/>
      <c r="L101" s="4169"/>
      <c r="M101" s="4169"/>
      <c r="N101" s="4123"/>
      <c r="O101" s="4123"/>
      <c r="P101" s="4120"/>
      <c r="Q101" s="4178"/>
      <c r="R101" s="4143"/>
      <c r="S101" s="4120"/>
      <c r="T101" s="4175"/>
      <c r="U101" s="1527" t="s">
        <v>277</v>
      </c>
      <c r="V101" s="1524">
        <v>5000000</v>
      </c>
      <c r="W101" s="1528">
        <v>61</v>
      </c>
      <c r="X101" s="4123"/>
      <c r="Y101" s="4123"/>
      <c r="Z101" s="4123"/>
      <c r="AA101" s="4166"/>
      <c r="AB101" s="4166"/>
      <c r="AC101" s="4181"/>
      <c r="AD101" s="4166"/>
      <c r="AE101" s="4166"/>
      <c r="AF101" s="4166"/>
      <c r="AG101" s="4166"/>
      <c r="AH101" s="4166"/>
      <c r="AI101" s="4166"/>
      <c r="AJ101" s="4181"/>
      <c r="AK101" s="4166"/>
      <c r="AL101" s="4166"/>
      <c r="AM101" s="4181"/>
      <c r="AN101" s="4166"/>
      <c r="AO101" s="4149"/>
      <c r="AP101" s="4149"/>
      <c r="AQ101" s="4152"/>
      <c r="AR101" s="2593"/>
    </row>
    <row r="102" spans="1:292" s="1221" customFormat="1" ht="28.5" x14ac:dyDescent="0.2">
      <c r="A102" s="1213"/>
      <c r="B102" s="1214"/>
      <c r="C102" s="1215"/>
      <c r="D102" s="1214"/>
      <c r="E102" s="1214"/>
      <c r="F102" s="1215"/>
      <c r="G102" s="1222"/>
      <c r="H102" s="1214"/>
      <c r="I102" s="1215"/>
      <c r="J102" s="4172"/>
      <c r="K102" s="4175"/>
      <c r="L102" s="4169"/>
      <c r="M102" s="4169"/>
      <c r="N102" s="4123"/>
      <c r="O102" s="4123"/>
      <c r="P102" s="4120"/>
      <c r="Q102" s="4178"/>
      <c r="R102" s="4143"/>
      <c r="S102" s="4120"/>
      <c r="T102" s="4175"/>
      <c r="U102" s="1527" t="s">
        <v>278</v>
      </c>
      <c r="V102" s="1524">
        <v>5000000</v>
      </c>
      <c r="W102" s="1528">
        <v>61</v>
      </c>
      <c r="X102" s="4123"/>
      <c r="Y102" s="4123"/>
      <c r="Z102" s="4123"/>
      <c r="AA102" s="4166"/>
      <c r="AB102" s="4166"/>
      <c r="AC102" s="4181"/>
      <c r="AD102" s="4166"/>
      <c r="AE102" s="4166"/>
      <c r="AF102" s="4166"/>
      <c r="AG102" s="4166"/>
      <c r="AH102" s="4166"/>
      <c r="AI102" s="4166"/>
      <c r="AJ102" s="4181"/>
      <c r="AK102" s="4166"/>
      <c r="AL102" s="4166"/>
      <c r="AM102" s="4181"/>
      <c r="AN102" s="4166"/>
      <c r="AO102" s="4149"/>
      <c r="AP102" s="4149"/>
      <c r="AQ102" s="4152"/>
      <c r="AR102" s="2593"/>
    </row>
    <row r="103" spans="1:292" s="1221" customFormat="1" ht="87" customHeight="1" x14ac:dyDescent="0.2">
      <c r="A103" s="1213"/>
      <c r="B103" s="1214"/>
      <c r="C103" s="1215"/>
      <c r="D103" s="1214"/>
      <c r="E103" s="1214"/>
      <c r="F103" s="1215"/>
      <c r="G103" s="1222"/>
      <c r="H103" s="1214"/>
      <c r="I103" s="1215"/>
      <c r="J103" s="4172"/>
      <c r="K103" s="4175"/>
      <c r="L103" s="4169"/>
      <c r="M103" s="4169"/>
      <c r="N103" s="4123"/>
      <c r="O103" s="4123"/>
      <c r="P103" s="4120"/>
      <c r="Q103" s="4178"/>
      <c r="R103" s="4143"/>
      <c r="S103" s="4120"/>
      <c r="T103" s="4175"/>
      <c r="U103" s="1527" t="s">
        <v>279</v>
      </c>
      <c r="V103" s="1524">
        <v>5000000</v>
      </c>
      <c r="W103" s="1528">
        <v>61</v>
      </c>
      <c r="X103" s="4123"/>
      <c r="Y103" s="4123"/>
      <c r="Z103" s="4123"/>
      <c r="AA103" s="4166"/>
      <c r="AB103" s="4166"/>
      <c r="AC103" s="4181"/>
      <c r="AD103" s="4166"/>
      <c r="AE103" s="4166"/>
      <c r="AF103" s="4166"/>
      <c r="AG103" s="4166"/>
      <c r="AH103" s="4166"/>
      <c r="AI103" s="4166"/>
      <c r="AJ103" s="4181"/>
      <c r="AK103" s="4166"/>
      <c r="AL103" s="4166"/>
      <c r="AM103" s="4181"/>
      <c r="AN103" s="4166"/>
      <c r="AO103" s="4149"/>
      <c r="AP103" s="4149"/>
      <c r="AQ103" s="4152"/>
      <c r="AR103" s="2593"/>
    </row>
    <row r="104" spans="1:292" s="1250" customFormat="1" ht="129" customHeight="1" x14ac:dyDescent="0.2">
      <c r="A104" s="1213"/>
      <c r="B104" s="1214"/>
      <c r="C104" s="1215"/>
      <c r="D104" s="1214"/>
      <c r="E104" s="1214"/>
      <c r="F104" s="1215"/>
      <c r="G104" s="1226"/>
      <c r="H104" s="1224"/>
      <c r="I104" s="1225"/>
      <c r="J104" s="4173"/>
      <c r="K104" s="4176"/>
      <c r="L104" s="4170"/>
      <c r="M104" s="4170"/>
      <c r="N104" s="4123"/>
      <c r="O104" s="4124"/>
      <c r="P104" s="4121"/>
      <c r="Q104" s="4179"/>
      <c r="R104" s="4144"/>
      <c r="S104" s="4121"/>
      <c r="T104" s="4176"/>
      <c r="U104" s="1527" t="s">
        <v>280</v>
      </c>
      <c r="V104" s="1524">
        <v>8000000</v>
      </c>
      <c r="W104" s="1528">
        <v>61</v>
      </c>
      <c r="X104" s="4124"/>
      <c r="Y104" s="4124"/>
      <c r="Z104" s="4124"/>
      <c r="AA104" s="4167"/>
      <c r="AB104" s="4167"/>
      <c r="AC104" s="4182"/>
      <c r="AD104" s="4167"/>
      <c r="AE104" s="4167"/>
      <c r="AF104" s="4167"/>
      <c r="AG104" s="4167"/>
      <c r="AH104" s="4167"/>
      <c r="AI104" s="4167"/>
      <c r="AJ104" s="4182"/>
      <c r="AK104" s="4167"/>
      <c r="AL104" s="4167"/>
      <c r="AM104" s="4182"/>
      <c r="AN104" s="4167"/>
      <c r="AO104" s="4150"/>
      <c r="AP104" s="4150"/>
      <c r="AQ104" s="4153"/>
      <c r="AR104" s="2597"/>
      <c r="AS104" s="1249"/>
      <c r="AT104" s="1249"/>
      <c r="AU104" s="1249"/>
      <c r="AV104" s="1249"/>
      <c r="AW104" s="1249"/>
      <c r="AX104" s="1249"/>
      <c r="AY104" s="1249"/>
      <c r="AZ104" s="1249"/>
      <c r="BA104" s="1249"/>
      <c r="BB104" s="1249"/>
      <c r="BC104" s="1249"/>
      <c r="BD104" s="1249"/>
      <c r="BE104" s="1249"/>
      <c r="BF104" s="1249"/>
      <c r="BG104" s="1249"/>
      <c r="BH104" s="1249"/>
      <c r="BI104" s="1249"/>
      <c r="BJ104" s="1249"/>
      <c r="BK104" s="1249"/>
      <c r="BL104" s="1249"/>
      <c r="BM104" s="1249"/>
      <c r="BN104" s="1249"/>
      <c r="BO104" s="1249"/>
      <c r="BP104" s="1249"/>
      <c r="BQ104" s="1249"/>
      <c r="BR104" s="1249"/>
      <c r="BS104" s="1249"/>
      <c r="BT104" s="1249"/>
      <c r="BU104" s="1249"/>
      <c r="BV104" s="1249"/>
      <c r="BW104" s="1249"/>
      <c r="BX104" s="1249"/>
      <c r="BY104" s="1249"/>
      <c r="BZ104" s="1249"/>
      <c r="CA104" s="1249"/>
      <c r="CB104" s="1249"/>
      <c r="CC104" s="1249"/>
      <c r="CD104" s="1249"/>
      <c r="CE104" s="1249"/>
      <c r="CF104" s="1249"/>
      <c r="CG104" s="1249"/>
      <c r="CH104" s="1249"/>
      <c r="CI104" s="1249"/>
      <c r="CJ104" s="1249"/>
      <c r="CK104" s="1249"/>
      <c r="CL104" s="1249"/>
      <c r="CM104" s="1249"/>
      <c r="CN104" s="1249"/>
      <c r="CO104" s="1249"/>
      <c r="CP104" s="1249"/>
      <c r="CQ104" s="1249"/>
      <c r="CR104" s="1249"/>
      <c r="CS104" s="1249"/>
      <c r="CT104" s="1249"/>
      <c r="CU104" s="1249"/>
      <c r="CV104" s="1249"/>
      <c r="CW104" s="1249"/>
      <c r="CX104" s="1249"/>
      <c r="CY104" s="1249"/>
      <c r="CZ104" s="1249"/>
      <c r="DA104" s="1249"/>
      <c r="DB104" s="1249"/>
      <c r="DC104" s="1249"/>
      <c r="DD104" s="1249"/>
      <c r="DE104" s="1249"/>
      <c r="DF104" s="1249"/>
      <c r="DG104" s="1249"/>
      <c r="DH104" s="1249"/>
      <c r="DI104" s="1249"/>
      <c r="DJ104" s="1249"/>
      <c r="DK104" s="1249"/>
      <c r="DL104" s="1249"/>
      <c r="DM104" s="1249"/>
      <c r="DN104" s="1249"/>
      <c r="DO104" s="1249"/>
      <c r="DP104" s="1249"/>
      <c r="DQ104" s="1249"/>
      <c r="DR104" s="1249"/>
      <c r="DS104" s="1249"/>
      <c r="DT104" s="1249"/>
      <c r="DU104" s="1249"/>
      <c r="DV104" s="1249"/>
      <c r="DW104" s="1249"/>
      <c r="DX104" s="1249"/>
      <c r="DY104" s="1249"/>
      <c r="DZ104" s="1249"/>
      <c r="EA104" s="1249"/>
      <c r="EB104" s="1249"/>
      <c r="EC104" s="1249"/>
      <c r="ED104" s="1249"/>
      <c r="EE104" s="1249"/>
      <c r="EF104" s="1249"/>
      <c r="EG104" s="1249"/>
      <c r="EH104" s="1249"/>
      <c r="EI104" s="1249"/>
      <c r="EJ104" s="1249"/>
      <c r="EK104" s="1249"/>
      <c r="EL104" s="1249"/>
      <c r="EM104" s="1249"/>
      <c r="EN104" s="1249"/>
      <c r="EO104" s="1249"/>
      <c r="EP104" s="1249"/>
      <c r="EQ104" s="1249"/>
      <c r="ER104" s="1249"/>
      <c r="ES104" s="1249"/>
      <c r="ET104" s="1249"/>
      <c r="EU104" s="1249"/>
      <c r="EV104" s="1249"/>
      <c r="EW104" s="1249"/>
      <c r="EX104" s="1249"/>
      <c r="EY104" s="1249"/>
      <c r="EZ104" s="1249"/>
      <c r="FA104" s="1249"/>
      <c r="FB104" s="1249"/>
      <c r="FC104" s="1249"/>
      <c r="FD104" s="1249"/>
      <c r="FE104" s="1249"/>
      <c r="FF104" s="1249"/>
      <c r="FG104" s="1249"/>
      <c r="FH104" s="1249"/>
      <c r="FI104" s="1249"/>
      <c r="FJ104" s="1249"/>
      <c r="FK104" s="1249"/>
      <c r="FL104" s="1249"/>
      <c r="FM104" s="1249"/>
      <c r="FN104" s="1249"/>
      <c r="FO104" s="1249"/>
      <c r="FP104" s="1249"/>
      <c r="FQ104" s="1249"/>
      <c r="FR104" s="1249"/>
      <c r="FS104" s="1249"/>
      <c r="FT104" s="1249"/>
      <c r="FU104" s="1249"/>
      <c r="FV104" s="1249"/>
      <c r="FW104" s="1249"/>
      <c r="FX104" s="1249"/>
      <c r="FY104" s="1249"/>
      <c r="FZ104" s="1249"/>
      <c r="GA104" s="1249"/>
      <c r="GB104" s="1249"/>
      <c r="GC104" s="1249"/>
      <c r="GD104" s="1249"/>
      <c r="GE104" s="1249"/>
      <c r="GF104" s="1249"/>
      <c r="GG104" s="1249"/>
      <c r="GH104" s="1249"/>
      <c r="GI104" s="1249"/>
      <c r="GJ104" s="1249"/>
      <c r="GK104" s="1249"/>
      <c r="GL104" s="1249"/>
      <c r="GM104" s="1249"/>
      <c r="GN104" s="1249"/>
      <c r="GO104" s="1249"/>
      <c r="GP104" s="1249"/>
      <c r="GQ104" s="1249"/>
      <c r="GR104" s="1249"/>
      <c r="GS104" s="1249"/>
      <c r="GT104" s="1249"/>
      <c r="GU104" s="1249"/>
      <c r="GV104" s="1249"/>
      <c r="GW104" s="1249"/>
      <c r="GX104" s="1249"/>
      <c r="GY104" s="1249"/>
      <c r="GZ104" s="1249"/>
      <c r="HA104" s="1249"/>
      <c r="HB104" s="1249"/>
      <c r="HC104" s="1249"/>
      <c r="HD104" s="1249"/>
      <c r="HE104" s="1249"/>
      <c r="HF104" s="1249"/>
      <c r="HG104" s="1249"/>
      <c r="HH104" s="1249"/>
      <c r="HI104" s="1249"/>
      <c r="HJ104" s="1249"/>
      <c r="HK104" s="1249"/>
      <c r="HL104" s="1249"/>
      <c r="HM104" s="1249"/>
      <c r="HN104" s="1249"/>
      <c r="HO104" s="1249"/>
      <c r="HP104" s="1249"/>
      <c r="HQ104" s="1249"/>
      <c r="HR104" s="1249"/>
      <c r="HS104" s="1249"/>
      <c r="HT104" s="1249"/>
      <c r="HU104" s="1249"/>
      <c r="HV104" s="1249"/>
      <c r="HW104" s="1249"/>
      <c r="HX104" s="1249"/>
      <c r="HY104" s="1249"/>
      <c r="HZ104" s="1249"/>
      <c r="IA104" s="1249"/>
      <c r="IB104" s="1249"/>
      <c r="IC104" s="1249"/>
      <c r="ID104" s="1249"/>
      <c r="IE104" s="1249"/>
      <c r="IF104" s="1249"/>
      <c r="IG104" s="1249"/>
      <c r="IH104" s="1249"/>
      <c r="II104" s="1249"/>
      <c r="IJ104" s="1249"/>
      <c r="IK104" s="1249"/>
      <c r="IL104" s="1249"/>
      <c r="IM104" s="1249"/>
      <c r="IN104" s="1249"/>
      <c r="IO104" s="1249"/>
      <c r="IP104" s="1249"/>
      <c r="IQ104" s="1249"/>
      <c r="IR104" s="1249"/>
      <c r="IS104" s="1249"/>
      <c r="IT104" s="1249"/>
      <c r="IU104" s="1249"/>
      <c r="IV104" s="1249"/>
      <c r="IW104" s="1249"/>
      <c r="IX104" s="1249"/>
      <c r="IY104" s="1249"/>
      <c r="IZ104" s="1249"/>
      <c r="JA104" s="1249"/>
      <c r="JB104" s="1249"/>
      <c r="JC104" s="1249"/>
      <c r="JD104" s="1249"/>
      <c r="JE104" s="1249"/>
      <c r="JF104" s="1249"/>
      <c r="JG104" s="1249"/>
      <c r="JH104" s="1249"/>
      <c r="JI104" s="1249"/>
      <c r="JJ104" s="1249"/>
      <c r="JK104" s="1249"/>
      <c r="JL104" s="1249"/>
      <c r="JM104" s="1249"/>
      <c r="JN104" s="1249"/>
      <c r="JO104" s="1249"/>
      <c r="JP104" s="1249"/>
      <c r="JQ104" s="1249"/>
      <c r="JR104" s="1249"/>
      <c r="JS104" s="1249"/>
      <c r="JT104" s="1249"/>
      <c r="JU104" s="1249"/>
      <c r="JV104" s="1249"/>
      <c r="JW104" s="1249"/>
      <c r="JX104" s="1249"/>
      <c r="JY104" s="1249"/>
      <c r="JZ104" s="1249"/>
      <c r="KA104" s="1249"/>
      <c r="KB104" s="1249"/>
      <c r="KC104" s="1249"/>
      <c r="KD104" s="1249"/>
      <c r="KE104" s="1249"/>
      <c r="KF104" s="1249"/>
    </row>
    <row r="105" spans="1:292" ht="36" customHeight="1" x14ac:dyDescent="0.2">
      <c r="A105" s="1199"/>
      <c r="B105" s="1200"/>
      <c r="C105" s="1201"/>
      <c r="D105" s="1200"/>
      <c r="E105" s="1200"/>
      <c r="F105" s="1201"/>
      <c r="G105" s="1234">
        <v>39</v>
      </c>
      <c r="H105" s="1205" t="s">
        <v>281</v>
      </c>
      <c r="I105" s="1205"/>
      <c r="J105" s="1205"/>
      <c r="K105" s="1206"/>
      <c r="L105" s="1205"/>
      <c r="M105" s="1205"/>
      <c r="N105" s="1207"/>
      <c r="O105" s="1205"/>
      <c r="P105" s="1206"/>
      <c r="Q105" s="1205"/>
      <c r="R105" s="1235"/>
      <c r="S105" s="1205"/>
      <c r="T105" s="1206"/>
      <c r="U105" s="1206"/>
      <c r="V105" s="1311"/>
      <c r="W105" s="1237"/>
      <c r="X105" s="1207"/>
      <c r="Y105" s="1207"/>
      <c r="Z105" s="1207"/>
      <c r="AA105" s="1207"/>
      <c r="AB105" s="1207"/>
      <c r="AC105" s="1207"/>
      <c r="AD105" s="1207"/>
      <c r="AE105" s="1207"/>
      <c r="AF105" s="1207"/>
      <c r="AG105" s="1207"/>
      <c r="AH105" s="1207"/>
      <c r="AI105" s="1207"/>
      <c r="AJ105" s="1207"/>
      <c r="AK105" s="1207"/>
      <c r="AL105" s="1207"/>
      <c r="AM105" s="1207"/>
      <c r="AN105" s="1207"/>
      <c r="AO105" s="1207"/>
      <c r="AP105" s="1205"/>
      <c r="AQ105" s="1212"/>
    </row>
    <row r="106" spans="1:292" s="1249" customFormat="1" ht="99.75" x14ac:dyDescent="0.2">
      <c r="A106" s="1251"/>
      <c r="B106" s="1252"/>
      <c r="C106" s="1253"/>
      <c r="D106" s="1252"/>
      <c r="E106" s="1252"/>
      <c r="F106" s="1253"/>
      <c r="G106" s="1254"/>
      <c r="H106" s="1255"/>
      <c r="I106" s="1256"/>
      <c r="J106" s="4171">
        <v>139</v>
      </c>
      <c r="K106" s="4174" t="s">
        <v>282</v>
      </c>
      <c r="L106" s="4168" t="s">
        <v>169</v>
      </c>
      <c r="M106" s="4168">
        <v>1</v>
      </c>
      <c r="N106" s="4168" t="s">
        <v>283</v>
      </c>
      <c r="O106" s="4168" t="s">
        <v>284</v>
      </c>
      <c r="P106" s="4174" t="s">
        <v>285</v>
      </c>
      <c r="Q106" s="4177">
        <f>SUM(V106:V110)/R106</f>
        <v>0.65300546448087426</v>
      </c>
      <c r="R106" s="4190">
        <f>SUM(V106:V118)</f>
        <v>183000000</v>
      </c>
      <c r="S106" s="4174" t="s">
        <v>286</v>
      </c>
      <c r="T106" s="4174" t="s">
        <v>287</v>
      </c>
      <c r="U106" s="1223" t="s">
        <v>288</v>
      </c>
      <c r="V106" s="1523">
        <v>28000000</v>
      </c>
      <c r="W106" s="2546">
        <v>61</v>
      </c>
      <c r="X106" s="2547" t="s">
        <v>289</v>
      </c>
      <c r="Y106" s="4168">
        <v>292684</v>
      </c>
      <c r="Z106" s="4168">
        <v>282326</v>
      </c>
      <c r="AA106" s="4134">
        <v>135912</v>
      </c>
      <c r="AB106" s="4134">
        <v>45122</v>
      </c>
      <c r="AC106" s="4187">
        <f>SUM(AC84)</f>
        <v>307101</v>
      </c>
      <c r="AD106" s="4134">
        <f>SUM(AD84)</f>
        <v>86875</v>
      </c>
      <c r="AE106" s="4134">
        <f>SUM(AE84)</f>
        <v>2145</v>
      </c>
      <c r="AF106" s="4134">
        <v>12718</v>
      </c>
      <c r="AG106" s="4134">
        <v>26</v>
      </c>
      <c r="AH106" s="4134">
        <v>37</v>
      </c>
      <c r="AI106" s="4134" t="s">
        <v>177</v>
      </c>
      <c r="AJ106" s="4187" t="s">
        <v>177</v>
      </c>
      <c r="AK106" s="4134">
        <v>53164</v>
      </c>
      <c r="AL106" s="4134">
        <v>16982</v>
      </c>
      <c r="AM106" s="4187">
        <v>60013</v>
      </c>
      <c r="AN106" s="4134">
        <v>575010</v>
      </c>
      <c r="AO106" s="4195">
        <v>43467</v>
      </c>
      <c r="AP106" s="4195">
        <v>43830</v>
      </c>
      <c r="AQ106" s="4198" t="s">
        <v>178</v>
      </c>
      <c r="AR106" s="2594"/>
    </row>
    <row r="107" spans="1:292" s="1249" customFormat="1" ht="40.5" customHeight="1" x14ac:dyDescent="0.2">
      <c r="A107" s="1251"/>
      <c r="B107" s="1252"/>
      <c r="C107" s="1253"/>
      <c r="D107" s="1252"/>
      <c r="E107" s="1252"/>
      <c r="F107" s="1253"/>
      <c r="G107" s="1257"/>
      <c r="H107" s="1252"/>
      <c r="I107" s="1253"/>
      <c r="J107" s="4172"/>
      <c r="K107" s="4175"/>
      <c r="L107" s="4169"/>
      <c r="M107" s="4169"/>
      <c r="N107" s="4169"/>
      <c r="O107" s="4169"/>
      <c r="P107" s="4175"/>
      <c r="Q107" s="4178"/>
      <c r="R107" s="4191"/>
      <c r="S107" s="4175"/>
      <c r="T107" s="4175"/>
      <c r="U107" s="4193" t="s">
        <v>290</v>
      </c>
      <c r="V107" s="1523">
        <v>28000000</v>
      </c>
      <c r="W107" s="2546">
        <v>61</v>
      </c>
      <c r="X107" s="2547" t="s">
        <v>289</v>
      </c>
      <c r="Y107" s="4169"/>
      <c r="Z107" s="4169"/>
      <c r="AA107" s="4135"/>
      <c r="AB107" s="4135"/>
      <c r="AC107" s="4188"/>
      <c r="AD107" s="4135"/>
      <c r="AE107" s="4135"/>
      <c r="AF107" s="4135"/>
      <c r="AG107" s="4135"/>
      <c r="AH107" s="4135"/>
      <c r="AI107" s="4135"/>
      <c r="AJ107" s="4188"/>
      <c r="AK107" s="4135"/>
      <c r="AL107" s="4135"/>
      <c r="AM107" s="4188"/>
      <c r="AN107" s="4135"/>
      <c r="AO107" s="4196"/>
      <c r="AP107" s="4196"/>
      <c r="AQ107" s="4199"/>
      <c r="AR107" s="2597"/>
    </row>
    <row r="108" spans="1:292" s="1249" customFormat="1" ht="38.25" customHeight="1" x14ac:dyDescent="0.2">
      <c r="A108" s="1251"/>
      <c r="B108" s="1252"/>
      <c r="C108" s="1253"/>
      <c r="D108" s="1252"/>
      <c r="E108" s="1252"/>
      <c r="F108" s="1253"/>
      <c r="G108" s="1257"/>
      <c r="H108" s="1252"/>
      <c r="I108" s="1253"/>
      <c r="J108" s="4172"/>
      <c r="K108" s="4175"/>
      <c r="L108" s="4169"/>
      <c r="M108" s="4169"/>
      <c r="N108" s="4169"/>
      <c r="O108" s="4169"/>
      <c r="P108" s="4175"/>
      <c r="Q108" s="4178"/>
      <c r="R108" s="4191"/>
      <c r="S108" s="4175"/>
      <c r="T108" s="4175"/>
      <c r="U108" s="4194"/>
      <c r="V108" s="1523">
        <v>7500000</v>
      </c>
      <c r="W108" s="2546">
        <v>98</v>
      </c>
      <c r="X108" s="2547" t="s">
        <v>291</v>
      </c>
      <c r="Y108" s="4169"/>
      <c r="Z108" s="4169"/>
      <c r="AA108" s="4135"/>
      <c r="AB108" s="4135"/>
      <c r="AC108" s="4188"/>
      <c r="AD108" s="4135"/>
      <c r="AE108" s="4135"/>
      <c r="AF108" s="4135"/>
      <c r="AG108" s="4135"/>
      <c r="AH108" s="4135"/>
      <c r="AI108" s="4135"/>
      <c r="AJ108" s="4188"/>
      <c r="AK108" s="4135"/>
      <c r="AL108" s="4135"/>
      <c r="AM108" s="4188"/>
      <c r="AN108" s="4135"/>
      <c r="AO108" s="4196"/>
      <c r="AP108" s="4196"/>
      <c r="AQ108" s="4199"/>
      <c r="AR108" s="2597"/>
    </row>
    <row r="109" spans="1:292" s="1249" customFormat="1" ht="57" x14ac:dyDescent="0.2">
      <c r="A109" s="1251"/>
      <c r="B109" s="1252"/>
      <c r="C109" s="1253"/>
      <c r="D109" s="1252"/>
      <c r="E109" s="1252"/>
      <c r="F109" s="1253"/>
      <c r="G109" s="1257"/>
      <c r="H109" s="1252"/>
      <c r="I109" s="1253"/>
      <c r="J109" s="4172"/>
      <c r="K109" s="4175"/>
      <c r="L109" s="4169"/>
      <c r="M109" s="4169"/>
      <c r="N109" s="4169"/>
      <c r="O109" s="4169"/>
      <c r="P109" s="4175"/>
      <c r="Q109" s="4178"/>
      <c r="R109" s="4191"/>
      <c r="S109" s="4175"/>
      <c r="T109" s="4175"/>
      <c r="U109" s="1223" t="s">
        <v>292</v>
      </c>
      <c r="V109" s="1523">
        <v>28000000</v>
      </c>
      <c r="W109" s="2546">
        <v>61</v>
      </c>
      <c r="X109" s="2547" t="s">
        <v>289</v>
      </c>
      <c r="Y109" s="4169"/>
      <c r="Z109" s="4169"/>
      <c r="AA109" s="4135"/>
      <c r="AB109" s="4135"/>
      <c r="AC109" s="4188"/>
      <c r="AD109" s="4135"/>
      <c r="AE109" s="4135"/>
      <c r="AF109" s="4135"/>
      <c r="AG109" s="4135"/>
      <c r="AH109" s="4135"/>
      <c r="AI109" s="4135"/>
      <c r="AJ109" s="4188"/>
      <c r="AK109" s="4135"/>
      <c r="AL109" s="4135"/>
      <c r="AM109" s="4188"/>
      <c r="AN109" s="4135"/>
      <c r="AO109" s="4196"/>
      <c r="AP109" s="4196"/>
      <c r="AQ109" s="4199"/>
      <c r="AR109" s="2597"/>
    </row>
    <row r="110" spans="1:292" s="1249" customFormat="1" ht="71.25" x14ac:dyDescent="0.2">
      <c r="A110" s="1251"/>
      <c r="B110" s="1252"/>
      <c r="C110" s="1253"/>
      <c r="D110" s="1252"/>
      <c r="E110" s="1252"/>
      <c r="F110" s="1253"/>
      <c r="G110" s="1257"/>
      <c r="H110" s="1252"/>
      <c r="I110" s="1253"/>
      <c r="J110" s="4173"/>
      <c r="K110" s="4176"/>
      <c r="L110" s="4170"/>
      <c r="M110" s="4170"/>
      <c r="N110" s="4169"/>
      <c r="O110" s="4169"/>
      <c r="P110" s="4175"/>
      <c r="Q110" s="4179"/>
      <c r="R110" s="4191"/>
      <c r="S110" s="4175"/>
      <c r="T110" s="4176"/>
      <c r="U110" s="1223" t="s">
        <v>293</v>
      </c>
      <c r="V110" s="1523">
        <v>28000000</v>
      </c>
      <c r="W110" s="2546">
        <v>61</v>
      </c>
      <c r="X110" s="2547" t="s">
        <v>289</v>
      </c>
      <c r="Y110" s="4169"/>
      <c r="Z110" s="4169"/>
      <c r="AA110" s="4135"/>
      <c r="AB110" s="4135"/>
      <c r="AC110" s="4188"/>
      <c r="AD110" s="4135"/>
      <c r="AE110" s="4135"/>
      <c r="AF110" s="4135"/>
      <c r="AG110" s="4135"/>
      <c r="AH110" s="4135"/>
      <c r="AI110" s="4135"/>
      <c r="AJ110" s="4188"/>
      <c r="AK110" s="4135"/>
      <c r="AL110" s="4135"/>
      <c r="AM110" s="4188"/>
      <c r="AN110" s="4135"/>
      <c r="AO110" s="4196"/>
      <c r="AP110" s="4196"/>
      <c r="AQ110" s="4199"/>
      <c r="AR110" s="2597"/>
    </row>
    <row r="111" spans="1:292" s="1249" customFormat="1" ht="57" x14ac:dyDescent="0.2">
      <c r="A111" s="1251"/>
      <c r="B111" s="1252"/>
      <c r="C111" s="1253"/>
      <c r="D111" s="1252"/>
      <c r="E111" s="1252"/>
      <c r="F111" s="1253"/>
      <c r="G111" s="1257"/>
      <c r="H111" s="1252"/>
      <c r="I111" s="1253"/>
      <c r="J111" s="4171">
        <v>140</v>
      </c>
      <c r="K111" s="4174" t="s">
        <v>294</v>
      </c>
      <c r="L111" s="4168" t="s">
        <v>169</v>
      </c>
      <c r="M111" s="4168">
        <v>1</v>
      </c>
      <c r="N111" s="4169"/>
      <c r="O111" s="4169"/>
      <c r="P111" s="4175"/>
      <c r="Q111" s="4177">
        <f>SUM(V111:V114)/R106</f>
        <v>0.15300546448087432</v>
      </c>
      <c r="R111" s="4191"/>
      <c r="S111" s="4175"/>
      <c r="T111" s="4174" t="s">
        <v>295</v>
      </c>
      <c r="U111" s="1223" t="s">
        <v>296</v>
      </c>
      <c r="V111" s="1523">
        <v>7000000</v>
      </c>
      <c r="W111" s="2546">
        <v>61</v>
      </c>
      <c r="X111" s="2547" t="s">
        <v>289</v>
      </c>
      <c r="Y111" s="4169"/>
      <c r="Z111" s="4169"/>
      <c r="AA111" s="4135"/>
      <c r="AB111" s="4135"/>
      <c r="AC111" s="4188"/>
      <c r="AD111" s="4135"/>
      <c r="AE111" s="4135"/>
      <c r="AF111" s="4135"/>
      <c r="AG111" s="4135"/>
      <c r="AH111" s="4135"/>
      <c r="AI111" s="4135"/>
      <c r="AJ111" s="4188"/>
      <c r="AK111" s="4135"/>
      <c r="AL111" s="4135"/>
      <c r="AM111" s="4188"/>
      <c r="AN111" s="4135"/>
      <c r="AO111" s="4196"/>
      <c r="AP111" s="4196"/>
      <c r="AQ111" s="4199"/>
      <c r="AR111" s="2597"/>
    </row>
    <row r="112" spans="1:292" s="1249" customFormat="1" ht="85.5" x14ac:dyDescent="0.2">
      <c r="A112" s="1251"/>
      <c r="B112" s="1252"/>
      <c r="C112" s="1253"/>
      <c r="D112" s="1252"/>
      <c r="E112" s="1252"/>
      <c r="F112" s="1253"/>
      <c r="G112" s="1257"/>
      <c r="H112" s="1252"/>
      <c r="I112" s="1253"/>
      <c r="J112" s="4172"/>
      <c r="K112" s="4175"/>
      <c r="L112" s="4169"/>
      <c r="M112" s="4169"/>
      <c r="N112" s="4169"/>
      <c r="O112" s="4169"/>
      <c r="P112" s="4175"/>
      <c r="Q112" s="4178"/>
      <c r="R112" s="4191"/>
      <c r="S112" s="4175"/>
      <c r="T112" s="4175"/>
      <c r="U112" s="1223" t="s">
        <v>297</v>
      </c>
      <c r="V112" s="1523">
        <v>7000000</v>
      </c>
      <c r="W112" s="2546">
        <v>61</v>
      </c>
      <c r="X112" s="2547" t="s">
        <v>289</v>
      </c>
      <c r="Y112" s="4169"/>
      <c r="Z112" s="4169"/>
      <c r="AA112" s="4135"/>
      <c r="AB112" s="4135"/>
      <c r="AC112" s="4188"/>
      <c r="AD112" s="4135"/>
      <c r="AE112" s="4135"/>
      <c r="AF112" s="4135"/>
      <c r="AG112" s="4135"/>
      <c r="AH112" s="4135"/>
      <c r="AI112" s="4135"/>
      <c r="AJ112" s="4188"/>
      <c r="AK112" s="4135"/>
      <c r="AL112" s="4135"/>
      <c r="AM112" s="4188"/>
      <c r="AN112" s="4135"/>
      <c r="AO112" s="4196"/>
      <c r="AP112" s="4196"/>
      <c r="AQ112" s="4199"/>
      <c r="AR112" s="2597"/>
    </row>
    <row r="113" spans="1:44" s="1249" customFormat="1" ht="42.75" x14ac:dyDescent="0.2">
      <c r="A113" s="1251"/>
      <c r="B113" s="1252"/>
      <c r="C113" s="1253"/>
      <c r="D113" s="1252"/>
      <c r="E113" s="1252"/>
      <c r="F113" s="1253"/>
      <c r="G113" s="1257"/>
      <c r="H113" s="1252"/>
      <c r="I113" s="1253"/>
      <c r="J113" s="4172"/>
      <c r="K113" s="4175"/>
      <c r="L113" s="4169"/>
      <c r="M113" s="4169"/>
      <c r="N113" s="4169"/>
      <c r="O113" s="4169"/>
      <c r="P113" s="4175"/>
      <c r="Q113" s="4178"/>
      <c r="R113" s="4191"/>
      <c r="S113" s="4175"/>
      <c r="T113" s="4175"/>
      <c r="U113" s="1223" t="s">
        <v>298</v>
      </c>
      <c r="V113" s="1523">
        <v>7000000</v>
      </c>
      <c r="W113" s="2546">
        <v>61</v>
      </c>
      <c r="X113" s="2547" t="s">
        <v>289</v>
      </c>
      <c r="Y113" s="4169"/>
      <c r="Z113" s="4169"/>
      <c r="AA113" s="4135"/>
      <c r="AB113" s="4135"/>
      <c r="AC113" s="4188"/>
      <c r="AD113" s="4135"/>
      <c r="AE113" s="4135"/>
      <c r="AF113" s="4135"/>
      <c r="AG113" s="4135"/>
      <c r="AH113" s="4135"/>
      <c r="AI113" s="4135"/>
      <c r="AJ113" s="4188"/>
      <c r="AK113" s="4135"/>
      <c r="AL113" s="4135"/>
      <c r="AM113" s="4188"/>
      <c r="AN113" s="4135"/>
      <c r="AO113" s="4196"/>
      <c r="AP113" s="4196"/>
      <c r="AQ113" s="4199"/>
      <c r="AR113" s="2597"/>
    </row>
    <row r="114" spans="1:44" s="1249" customFormat="1" ht="80.25" customHeight="1" x14ac:dyDescent="0.2">
      <c r="A114" s="1251"/>
      <c r="B114" s="1252"/>
      <c r="C114" s="1253"/>
      <c r="D114" s="1252"/>
      <c r="E114" s="1252"/>
      <c r="F114" s="1253"/>
      <c r="G114" s="1257"/>
      <c r="H114" s="1252"/>
      <c r="I114" s="1253"/>
      <c r="J114" s="4173"/>
      <c r="K114" s="4176"/>
      <c r="L114" s="4170"/>
      <c r="M114" s="4170"/>
      <c r="N114" s="4169"/>
      <c r="O114" s="4169"/>
      <c r="P114" s="4175"/>
      <c r="Q114" s="4179"/>
      <c r="R114" s="4191"/>
      <c r="S114" s="4175"/>
      <c r="T114" s="4176"/>
      <c r="U114" s="1223" t="s">
        <v>299</v>
      </c>
      <c r="V114" s="1523">
        <v>7000000</v>
      </c>
      <c r="W114" s="2546">
        <v>61</v>
      </c>
      <c r="X114" s="2547" t="s">
        <v>289</v>
      </c>
      <c r="Y114" s="4169"/>
      <c r="Z114" s="4169"/>
      <c r="AA114" s="4135"/>
      <c r="AB114" s="4135"/>
      <c r="AC114" s="4188"/>
      <c r="AD114" s="4135"/>
      <c r="AE114" s="4135"/>
      <c r="AF114" s="4135"/>
      <c r="AG114" s="4135"/>
      <c r="AH114" s="4135"/>
      <c r="AI114" s="4135"/>
      <c r="AJ114" s="4188"/>
      <c r="AK114" s="4135"/>
      <c r="AL114" s="4135"/>
      <c r="AM114" s="4188"/>
      <c r="AN114" s="4135"/>
      <c r="AO114" s="4196"/>
      <c r="AP114" s="4196"/>
      <c r="AQ114" s="4199"/>
      <c r="AR114" s="2597"/>
    </row>
    <row r="115" spans="1:44" s="1249" customFormat="1" ht="62.25" customHeight="1" x14ac:dyDescent="0.2">
      <c r="A115" s="1251"/>
      <c r="B115" s="1252"/>
      <c r="C115" s="1253"/>
      <c r="D115" s="1252"/>
      <c r="E115" s="1252"/>
      <c r="F115" s="1253"/>
      <c r="G115" s="1257"/>
      <c r="H115" s="1252"/>
      <c r="I115" s="1253"/>
      <c r="J115" s="4171">
        <v>141</v>
      </c>
      <c r="K115" s="4174" t="s">
        <v>300</v>
      </c>
      <c r="L115" s="4168" t="s">
        <v>169</v>
      </c>
      <c r="M115" s="4168">
        <v>1</v>
      </c>
      <c r="N115" s="4169"/>
      <c r="O115" s="4169"/>
      <c r="P115" s="4175"/>
      <c r="Q115" s="4177">
        <f>SUM(V115:V118)/R106</f>
        <v>0.19398907103825136</v>
      </c>
      <c r="R115" s="4191"/>
      <c r="S115" s="4175"/>
      <c r="T115" s="4174" t="s">
        <v>301</v>
      </c>
      <c r="U115" s="1223" t="s">
        <v>302</v>
      </c>
      <c r="V115" s="1523">
        <v>10000000</v>
      </c>
      <c r="W115" s="2546">
        <v>61</v>
      </c>
      <c r="X115" s="2547" t="s">
        <v>289</v>
      </c>
      <c r="Y115" s="4169"/>
      <c r="Z115" s="4169"/>
      <c r="AA115" s="4135"/>
      <c r="AB115" s="4135"/>
      <c r="AC115" s="4188"/>
      <c r="AD115" s="4135"/>
      <c r="AE115" s="4135"/>
      <c r="AF115" s="4135"/>
      <c r="AG115" s="4135"/>
      <c r="AH115" s="4135"/>
      <c r="AI115" s="4135"/>
      <c r="AJ115" s="4188"/>
      <c r="AK115" s="4135"/>
      <c r="AL115" s="4135"/>
      <c r="AM115" s="4188"/>
      <c r="AN115" s="4135"/>
      <c r="AO115" s="4196"/>
      <c r="AP115" s="4196"/>
      <c r="AQ115" s="4199"/>
      <c r="AR115" s="2597"/>
    </row>
    <row r="116" spans="1:44" s="1249" customFormat="1" ht="124.5" customHeight="1" x14ac:dyDescent="0.2">
      <c r="A116" s="1251"/>
      <c r="B116" s="1252"/>
      <c r="C116" s="1253"/>
      <c r="D116" s="1252"/>
      <c r="E116" s="1252"/>
      <c r="F116" s="1253"/>
      <c r="G116" s="1257"/>
      <c r="H116" s="1252"/>
      <c r="I116" s="1253"/>
      <c r="J116" s="4172"/>
      <c r="K116" s="4175"/>
      <c r="L116" s="4169"/>
      <c r="M116" s="4169"/>
      <c r="N116" s="4169"/>
      <c r="O116" s="4169"/>
      <c r="P116" s="4175"/>
      <c r="Q116" s="4178"/>
      <c r="R116" s="4191"/>
      <c r="S116" s="4175"/>
      <c r="T116" s="4175"/>
      <c r="U116" s="1223" t="s">
        <v>303</v>
      </c>
      <c r="V116" s="1523">
        <v>10000000</v>
      </c>
      <c r="W116" s="2546">
        <v>61</v>
      </c>
      <c r="X116" s="2547" t="s">
        <v>289</v>
      </c>
      <c r="Y116" s="4169"/>
      <c r="Z116" s="4169"/>
      <c r="AA116" s="4135"/>
      <c r="AB116" s="4135"/>
      <c r="AC116" s="4188"/>
      <c r="AD116" s="4135"/>
      <c r="AE116" s="4135"/>
      <c r="AF116" s="4135"/>
      <c r="AG116" s="4135"/>
      <c r="AH116" s="4135"/>
      <c r="AI116" s="4135"/>
      <c r="AJ116" s="4188"/>
      <c r="AK116" s="4135"/>
      <c r="AL116" s="4135"/>
      <c r="AM116" s="4188"/>
      <c r="AN116" s="4135"/>
      <c r="AO116" s="4196"/>
      <c r="AP116" s="4196"/>
      <c r="AQ116" s="4199"/>
      <c r="AR116" s="2597"/>
    </row>
    <row r="117" spans="1:44" s="1249" customFormat="1" ht="44.25" customHeight="1" x14ac:dyDescent="0.2">
      <c r="A117" s="1251"/>
      <c r="B117" s="1252"/>
      <c r="C117" s="1253"/>
      <c r="D117" s="1252"/>
      <c r="E117" s="1252"/>
      <c r="F117" s="1253"/>
      <c r="G117" s="1257"/>
      <c r="H117" s="1252"/>
      <c r="I117" s="1253"/>
      <c r="J117" s="4172"/>
      <c r="K117" s="4175"/>
      <c r="L117" s="4169"/>
      <c r="M117" s="4169"/>
      <c r="N117" s="4169"/>
      <c r="O117" s="4169"/>
      <c r="P117" s="4175"/>
      <c r="Q117" s="4178"/>
      <c r="R117" s="4191"/>
      <c r="S117" s="4175"/>
      <c r="T117" s="4175"/>
      <c r="U117" s="4193" t="s">
        <v>304</v>
      </c>
      <c r="V117" s="1523">
        <v>7500000</v>
      </c>
      <c r="W117" s="2546">
        <v>98</v>
      </c>
      <c r="X117" s="2547" t="s">
        <v>291</v>
      </c>
      <c r="Y117" s="4169"/>
      <c r="Z117" s="4169"/>
      <c r="AA117" s="4135"/>
      <c r="AB117" s="4135"/>
      <c r="AC117" s="4188"/>
      <c r="AD117" s="4135"/>
      <c r="AE117" s="4135"/>
      <c r="AF117" s="4135"/>
      <c r="AG117" s="4135"/>
      <c r="AH117" s="4135"/>
      <c r="AI117" s="4135"/>
      <c r="AJ117" s="4188"/>
      <c r="AK117" s="4135"/>
      <c r="AL117" s="4135"/>
      <c r="AM117" s="4188"/>
      <c r="AN117" s="4135"/>
      <c r="AO117" s="4196"/>
      <c r="AP117" s="4196"/>
      <c r="AQ117" s="4199"/>
      <c r="AR117" s="2597"/>
    </row>
    <row r="118" spans="1:44" s="1249" customFormat="1" ht="37.5" customHeight="1" x14ac:dyDescent="0.2">
      <c r="A118" s="1251"/>
      <c r="B118" s="1252"/>
      <c r="C118" s="1253"/>
      <c r="D118" s="1252"/>
      <c r="E118" s="1252"/>
      <c r="F118" s="1253"/>
      <c r="G118" s="1258"/>
      <c r="H118" s="1259"/>
      <c r="I118" s="1260"/>
      <c r="J118" s="4173"/>
      <c r="K118" s="4176"/>
      <c r="L118" s="4170"/>
      <c r="M118" s="4170"/>
      <c r="N118" s="4170"/>
      <c r="O118" s="4170"/>
      <c r="P118" s="4176"/>
      <c r="Q118" s="4179"/>
      <c r="R118" s="4192"/>
      <c r="S118" s="4176"/>
      <c r="T118" s="4176"/>
      <c r="U118" s="4194"/>
      <c r="V118" s="1523">
        <v>8000000</v>
      </c>
      <c r="W118" s="2546">
        <v>61</v>
      </c>
      <c r="X118" s="2547" t="s">
        <v>289</v>
      </c>
      <c r="Y118" s="4170"/>
      <c r="Z118" s="4170"/>
      <c r="AA118" s="4136"/>
      <c r="AB118" s="4136"/>
      <c r="AC118" s="4189"/>
      <c r="AD118" s="4136"/>
      <c r="AE118" s="4136"/>
      <c r="AF118" s="4136"/>
      <c r="AG118" s="4136"/>
      <c r="AH118" s="4136"/>
      <c r="AI118" s="4136"/>
      <c r="AJ118" s="4189"/>
      <c r="AK118" s="4136"/>
      <c r="AL118" s="4136"/>
      <c r="AM118" s="4189"/>
      <c r="AN118" s="4136"/>
      <c r="AO118" s="4197"/>
      <c r="AP118" s="4197"/>
      <c r="AQ118" s="4200"/>
      <c r="AR118" s="2597"/>
    </row>
    <row r="119" spans="1:44" ht="36" customHeight="1" x14ac:dyDescent="0.2">
      <c r="A119" s="1199"/>
      <c r="B119" s="1200"/>
      <c r="C119" s="1201"/>
      <c r="D119" s="1200"/>
      <c r="E119" s="1200"/>
      <c r="F119" s="1201"/>
      <c r="G119" s="1234">
        <v>40</v>
      </c>
      <c r="H119" s="1205" t="s">
        <v>305</v>
      </c>
      <c r="I119" s="1205"/>
      <c r="J119" s="1205"/>
      <c r="K119" s="1206"/>
      <c r="L119" s="1205"/>
      <c r="M119" s="1205"/>
      <c r="N119" s="1207"/>
      <c r="O119" s="1205"/>
      <c r="P119" s="1206"/>
      <c r="Q119" s="1205"/>
      <c r="R119" s="1235"/>
      <c r="S119" s="1205"/>
      <c r="T119" s="1206"/>
      <c r="U119" s="1206"/>
      <c r="V119" s="1299"/>
      <c r="W119" s="1276"/>
      <c r="X119" s="1261"/>
      <c r="Y119" s="1207"/>
      <c r="Z119" s="1207"/>
      <c r="AA119" s="1207"/>
      <c r="AB119" s="1207"/>
      <c r="AC119" s="1207"/>
      <c r="AD119" s="1207"/>
      <c r="AE119" s="1207"/>
      <c r="AF119" s="1207"/>
      <c r="AG119" s="1207"/>
      <c r="AH119" s="1207"/>
      <c r="AI119" s="1207"/>
      <c r="AJ119" s="1207"/>
      <c r="AK119" s="1207"/>
      <c r="AL119" s="1207"/>
      <c r="AM119" s="1207"/>
      <c r="AN119" s="1207"/>
      <c r="AO119" s="1207"/>
      <c r="AP119" s="1205"/>
      <c r="AQ119" s="1212"/>
    </row>
    <row r="120" spans="1:44" ht="60" customHeight="1" x14ac:dyDescent="0.2">
      <c r="A120" s="1238"/>
      <c r="B120" s="1239"/>
      <c r="C120" s="1240"/>
      <c r="D120" s="1239"/>
      <c r="E120" s="1239"/>
      <c r="F120" s="1240"/>
      <c r="G120" s="1241"/>
      <c r="H120" s="1242"/>
      <c r="I120" s="1243"/>
      <c r="J120" s="4116">
        <v>142</v>
      </c>
      <c r="K120" s="4145" t="s">
        <v>306</v>
      </c>
      <c r="L120" s="4122" t="s">
        <v>169</v>
      </c>
      <c r="M120" s="4122">
        <v>12</v>
      </c>
      <c r="N120" s="4122" t="s">
        <v>307</v>
      </c>
      <c r="O120" s="4122" t="s">
        <v>308</v>
      </c>
      <c r="P120" s="4119" t="s">
        <v>309</v>
      </c>
      <c r="Q120" s="4208">
        <f>SUM(V120:V124)/R120</f>
        <v>0.74584771050059628</v>
      </c>
      <c r="R120" s="4142">
        <f>SUM(V120:V129)</f>
        <v>151105914</v>
      </c>
      <c r="S120" s="4119" t="s">
        <v>310</v>
      </c>
      <c r="T120" s="4145" t="s">
        <v>311</v>
      </c>
      <c r="U120" s="2498" t="s">
        <v>312</v>
      </c>
      <c r="V120" s="1524">
        <f>25000000-191466</f>
        <v>24808534</v>
      </c>
      <c r="W120" s="2548">
        <v>61</v>
      </c>
      <c r="X120" s="2549" t="s">
        <v>313</v>
      </c>
      <c r="Y120" s="4201" t="s">
        <v>177</v>
      </c>
      <c r="Z120" s="4134" t="s">
        <v>177</v>
      </c>
      <c r="AA120" s="4165">
        <v>64149</v>
      </c>
      <c r="AB120" s="4134" t="s">
        <v>177</v>
      </c>
      <c r="AC120" s="4154" t="s">
        <v>177</v>
      </c>
      <c r="AD120" s="4134" t="s">
        <v>177</v>
      </c>
      <c r="AE120" s="4134" t="s">
        <v>177</v>
      </c>
      <c r="AF120" s="4134" t="s">
        <v>177</v>
      </c>
      <c r="AG120" s="4134" t="s">
        <v>177</v>
      </c>
      <c r="AH120" s="4134" t="s">
        <v>177</v>
      </c>
      <c r="AI120" s="4134" t="s">
        <v>177</v>
      </c>
      <c r="AJ120" s="4154" t="s">
        <v>177</v>
      </c>
      <c r="AK120" s="4134" t="s">
        <v>177</v>
      </c>
      <c r="AL120" s="4134" t="s">
        <v>177</v>
      </c>
      <c r="AM120" s="4154" t="s">
        <v>177</v>
      </c>
      <c r="AN120" s="4134">
        <f>+AA120</f>
        <v>64149</v>
      </c>
      <c r="AO120" s="4148">
        <v>43467</v>
      </c>
      <c r="AP120" s="4148">
        <v>43830</v>
      </c>
      <c r="AQ120" s="4151" t="s">
        <v>178</v>
      </c>
      <c r="AR120" s="2594"/>
    </row>
    <row r="121" spans="1:44" ht="57" x14ac:dyDescent="0.2">
      <c r="A121" s="1238"/>
      <c r="B121" s="1239"/>
      <c r="C121" s="1240"/>
      <c r="D121" s="1239"/>
      <c r="E121" s="1239"/>
      <c r="F121" s="1240"/>
      <c r="G121" s="1244"/>
      <c r="H121" s="1239"/>
      <c r="I121" s="1240"/>
      <c r="J121" s="4117"/>
      <c r="K121" s="4146"/>
      <c r="L121" s="4123"/>
      <c r="M121" s="4123"/>
      <c r="N121" s="4123"/>
      <c r="O121" s="4123"/>
      <c r="P121" s="4120"/>
      <c r="Q121" s="4208"/>
      <c r="R121" s="4143"/>
      <c r="S121" s="4120"/>
      <c r="T121" s="4146"/>
      <c r="U121" s="2498" t="s">
        <v>314</v>
      </c>
      <c r="V121" s="1524">
        <f>25000000+913333</f>
        <v>25913333</v>
      </c>
      <c r="W121" s="2548">
        <v>61</v>
      </c>
      <c r="X121" s="2549" t="s">
        <v>313</v>
      </c>
      <c r="Y121" s="4202"/>
      <c r="Z121" s="4135"/>
      <c r="AA121" s="4166"/>
      <c r="AB121" s="4135"/>
      <c r="AC121" s="4155"/>
      <c r="AD121" s="4135"/>
      <c r="AE121" s="4135"/>
      <c r="AF121" s="4135"/>
      <c r="AG121" s="4135"/>
      <c r="AH121" s="4135"/>
      <c r="AI121" s="4135"/>
      <c r="AJ121" s="4155"/>
      <c r="AK121" s="4135"/>
      <c r="AL121" s="4135"/>
      <c r="AM121" s="4155"/>
      <c r="AN121" s="4135"/>
      <c r="AO121" s="4149"/>
      <c r="AP121" s="4149"/>
      <c r="AQ121" s="4152"/>
    </row>
    <row r="122" spans="1:44" ht="77.25" customHeight="1" x14ac:dyDescent="0.2">
      <c r="A122" s="1238"/>
      <c r="B122" s="1239"/>
      <c r="C122" s="1240"/>
      <c r="D122" s="1239"/>
      <c r="E122" s="1239"/>
      <c r="F122" s="1240"/>
      <c r="G122" s="1244"/>
      <c r="H122" s="1239"/>
      <c r="I122" s="1240"/>
      <c r="J122" s="4117"/>
      <c r="K122" s="4146"/>
      <c r="L122" s="4123"/>
      <c r="M122" s="4123"/>
      <c r="N122" s="4123"/>
      <c r="O122" s="4123"/>
      <c r="P122" s="4120"/>
      <c r="Q122" s="4208"/>
      <c r="R122" s="4143"/>
      <c r="S122" s="4120"/>
      <c r="T122" s="4146"/>
      <c r="U122" s="2498" t="s">
        <v>315</v>
      </c>
      <c r="V122" s="1524">
        <f>25000000-500000</f>
        <v>24500000</v>
      </c>
      <c r="W122" s="2548">
        <v>61</v>
      </c>
      <c r="X122" s="2549" t="s">
        <v>313</v>
      </c>
      <c r="Y122" s="4202"/>
      <c r="Z122" s="4135"/>
      <c r="AA122" s="4166"/>
      <c r="AB122" s="4135"/>
      <c r="AC122" s="4155"/>
      <c r="AD122" s="4135"/>
      <c r="AE122" s="4135"/>
      <c r="AF122" s="4135"/>
      <c r="AG122" s="4135"/>
      <c r="AH122" s="4135"/>
      <c r="AI122" s="4135"/>
      <c r="AJ122" s="4155"/>
      <c r="AK122" s="4135"/>
      <c r="AL122" s="4135"/>
      <c r="AM122" s="4155"/>
      <c r="AN122" s="4135"/>
      <c r="AO122" s="4149"/>
      <c r="AP122" s="4149"/>
      <c r="AQ122" s="4152"/>
    </row>
    <row r="123" spans="1:44" ht="40.5" customHeight="1" x14ac:dyDescent="0.2">
      <c r="A123" s="1238"/>
      <c r="B123" s="1239"/>
      <c r="C123" s="1240"/>
      <c r="D123" s="1239"/>
      <c r="E123" s="1239"/>
      <c r="F123" s="1240"/>
      <c r="G123" s="1244"/>
      <c r="H123" s="1239"/>
      <c r="I123" s="1240"/>
      <c r="J123" s="4117"/>
      <c r="K123" s="4146"/>
      <c r="L123" s="4123"/>
      <c r="M123" s="4123"/>
      <c r="N123" s="4123"/>
      <c r="O123" s="4123"/>
      <c r="P123" s="4120"/>
      <c r="Q123" s="4208"/>
      <c r="R123" s="4143"/>
      <c r="S123" s="4120"/>
      <c r="T123" s="4146"/>
      <c r="U123" s="4183" t="s">
        <v>316</v>
      </c>
      <c r="V123" s="1524">
        <f>28702000-221867</f>
        <v>28480133</v>
      </c>
      <c r="W123" s="2548">
        <v>61</v>
      </c>
      <c r="X123" s="2549" t="s">
        <v>313</v>
      </c>
      <c r="Y123" s="4202"/>
      <c r="Z123" s="4135"/>
      <c r="AA123" s="4166"/>
      <c r="AB123" s="4135"/>
      <c r="AC123" s="4155"/>
      <c r="AD123" s="4135"/>
      <c r="AE123" s="4135"/>
      <c r="AF123" s="4135"/>
      <c r="AG123" s="4135"/>
      <c r="AH123" s="4135"/>
      <c r="AI123" s="4135"/>
      <c r="AJ123" s="4155"/>
      <c r="AK123" s="4135"/>
      <c r="AL123" s="4135"/>
      <c r="AM123" s="4155"/>
      <c r="AN123" s="4135"/>
      <c r="AO123" s="4149"/>
      <c r="AP123" s="4149"/>
      <c r="AQ123" s="4152"/>
    </row>
    <row r="124" spans="1:44" ht="36.75" customHeight="1" x14ac:dyDescent="0.2">
      <c r="A124" s="1238"/>
      <c r="B124" s="1239"/>
      <c r="C124" s="1240"/>
      <c r="D124" s="1239"/>
      <c r="E124" s="1239"/>
      <c r="F124" s="1240"/>
      <c r="G124" s="1244"/>
      <c r="H124" s="1239"/>
      <c r="I124" s="1240"/>
      <c r="J124" s="4118"/>
      <c r="K124" s="4147"/>
      <c r="L124" s="4124"/>
      <c r="M124" s="4124"/>
      <c r="N124" s="4123"/>
      <c r="O124" s="4123"/>
      <c r="P124" s="4120"/>
      <c r="Q124" s="4208"/>
      <c r="R124" s="4143"/>
      <c r="S124" s="4120"/>
      <c r="T124" s="4147"/>
      <c r="U124" s="4184"/>
      <c r="V124" s="1524">
        <v>9000000</v>
      </c>
      <c r="W124" s="2548">
        <v>161</v>
      </c>
      <c r="X124" s="2549"/>
      <c r="Y124" s="4202"/>
      <c r="Z124" s="4135"/>
      <c r="AA124" s="4166"/>
      <c r="AB124" s="4135"/>
      <c r="AC124" s="4155"/>
      <c r="AD124" s="4135"/>
      <c r="AE124" s="4135"/>
      <c r="AF124" s="4135"/>
      <c r="AG124" s="4135"/>
      <c r="AH124" s="4135"/>
      <c r="AI124" s="4135"/>
      <c r="AJ124" s="4155"/>
      <c r="AK124" s="4135"/>
      <c r="AL124" s="4135"/>
      <c r="AM124" s="4155"/>
      <c r="AN124" s="4135"/>
      <c r="AO124" s="4149"/>
      <c r="AP124" s="4149"/>
      <c r="AQ124" s="4152"/>
    </row>
    <row r="125" spans="1:44" ht="33" customHeight="1" x14ac:dyDescent="0.2">
      <c r="A125" s="1238"/>
      <c r="B125" s="1239"/>
      <c r="C125" s="1240"/>
      <c r="D125" s="1239"/>
      <c r="E125" s="1239"/>
      <c r="F125" s="1240"/>
      <c r="G125" s="1244"/>
      <c r="H125" s="1239"/>
      <c r="I125" s="1240"/>
      <c r="J125" s="4116">
        <v>143</v>
      </c>
      <c r="K125" s="4204" t="s">
        <v>317</v>
      </c>
      <c r="L125" s="4122" t="s">
        <v>169</v>
      </c>
      <c r="M125" s="4122">
        <v>1</v>
      </c>
      <c r="N125" s="4123"/>
      <c r="O125" s="4123"/>
      <c r="P125" s="4120"/>
      <c r="Q125" s="4177">
        <f>SUM(V125:V129)/R120</f>
        <v>0.25415228949940372</v>
      </c>
      <c r="R125" s="4143"/>
      <c r="S125" s="4120"/>
      <c r="T125" s="4204" t="s">
        <v>318</v>
      </c>
      <c r="U125" s="4183" t="s">
        <v>319</v>
      </c>
      <c r="V125" s="1524">
        <v>2500000</v>
      </c>
      <c r="W125" s="2548">
        <v>20</v>
      </c>
      <c r="X125" s="2549" t="s">
        <v>320</v>
      </c>
      <c r="Y125" s="4202"/>
      <c r="Z125" s="4135"/>
      <c r="AA125" s="4166"/>
      <c r="AB125" s="4135"/>
      <c r="AC125" s="4155"/>
      <c r="AD125" s="4135"/>
      <c r="AE125" s="4135"/>
      <c r="AF125" s="4135"/>
      <c r="AG125" s="4135"/>
      <c r="AH125" s="4135"/>
      <c r="AI125" s="4135"/>
      <c r="AJ125" s="4155"/>
      <c r="AK125" s="4135"/>
      <c r="AL125" s="4135"/>
      <c r="AM125" s="4155"/>
      <c r="AN125" s="4135"/>
      <c r="AO125" s="4149"/>
      <c r="AP125" s="4149"/>
      <c r="AQ125" s="4152"/>
    </row>
    <row r="126" spans="1:44" ht="31.5" customHeight="1" x14ac:dyDescent="0.2">
      <c r="A126" s="1238"/>
      <c r="B126" s="1239"/>
      <c r="C126" s="1240"/>
      <c r="D126" s="1239"/>
      <c r="E126" s="1239"/>
      <c r="F126" s="1240"/>
      <c r="G126" s="1244"/>
      <c r="H126" s="1239"/>
      <c r="I126" s="1240"/>
      <c r="J126" s="4117"/>
      <c r="K126" s="4204"/>
      <c r="L126" s="4123"/>
      <c r="M126" s="4123"/>
      <c r="N126" s="4123"/>
      <c r="O126" s="4123"/>
      <c r="P126" s="4120"/>
      <c r="Q126" s="4178"/>
      <c r="R126" s="4143"/>
      <c r="S126" s="4120"/>
      <c r="T126" s="4204"/>
      <c r="U126" s="4184"/>
      <c r="V126" s="1524">
        <v>28403914</v>
      </c>
      <c r="W126" s="2548">
        <v>161</v>
      </c>
      <c r="X126" s="2549"/>
      <c r="Y126" s="4202"/>
      <c r="Z126" s="4135"/>
      <c r="AA126" s="4166"/>
      <c r="AB126" s="4135"/>
      <c r="AC126" s="4155"/>
      <c r="AD126" s="4135"/>
      <c r="AE126" s="4135"/>
      <c r="AF126" s="4135"/>
      <c r="AG126" s="4135"/>
      <c r="AH126" s="4135"/>
      <c r="AI126" s="4135"/>
      <c r="AJ126" s="4155"/>
      <c r="AK126" s="4135"/>
      <c r="AL126" s="4135"/>
      <c r="AM126" s="4155"/>
      <c r="AN126" s="4135"/>
      <c r="AO126" s="4149"/>
      <c r="AP126" s="4149"/>
      <c r="AQ126" s="4152"/>
    </row>
    <row r="127" spans="1:44" ht="64.5" customHeight="1" x14ac:dyDescent="0.2">
      <c r="A127" s="1238"/>
      <c r="B127" s="1239"/>
      <c r="C127" s="1240"/>
      <c r="D127" s="1239"/>
      <c r="E127" s="1239"/>
      <c r="F127" s="1240"/>
      <c r="G127" s="1244"/>
      <c r="H127" s="1239"/>
      <c r="I127" s="1240"/>
      <c r="J127" s="4117"/>
      <c r="K127" s="4204"/>
      <c r="L127" s="4123"/>
      <c r="M127" s="4123"/>
      <c r="N127" s="4123"/>
      <c r="O127" s="4123"/>
      <c r="P127" s="4120"/>
      <c r="Q127" s="4178"/>
      <c r="R127" s="4143"/>
      <c r="S127" s="4120"/>
      <c r="T127" s="4204"/>
      <c r="U127" s="1525" t="s">
        <v>321</v>
      </c>
      <c r="V127" s="1524">
        <v>2500000</v>
      </c>
      <c r="W127" s="2548">
        <v>20</v>
      </c>
      <c r="X127" s="2549" t="s">
        <v>322</v>
      </c>
      <c r="Y127" s="4202"/>
      <c r="Z127" s="4135"/>
      <c r="AA127" s="4166"/>
      <c r="AB127" s="4135"/>
      <c r="AC127" s="4155"/>
      <c r="AD127" s="4135"/>
      <c r="AE127" s="4135"/>
      <c r="AF127" s="4135"/>
      <c r="AG127" s="4135"/>
      <c r="AH127" s="4135"/>
      <c r="AI127" s="4135"/>
      <c r="AJ127" s="4155"/>
      <c r="AK127" s="4135"/>
      <c r="AL127" s="4135"/>
      <c r="AM127" s="4155"/>
      <c r="AN127" s="4135"/>
      <c r="AO127" s="4149"/>
      <c r="AP127" s="4149"/>
      <c r="AQ127" s="4152"/>
    </row>
    <row r="128" spans="1:44" ht="99" customHeight="1" x14ac:dyDescent="0.2">
      <c r="A128" s="1238"/>
      <c r="B128" s="1239"/>
      <c r="C128" s="1240"/>
      <c r="D128" s="1239"/>
      <c r="E128" s="1239"/>
      <c r="F128" s="1240"/>
      <c r="G128" s="1244"/>
      <c r="H128" s="1239"/>
      <c r="I128" s="1240"/>
      <c r="J128" s="4117"/>
      <c r="K128" s="4204"/>
      <c r="L128" s="4123"/>
      <c r="M128" s="4123"/>
      <c r="N128" s="4123"/>
      <c r="O128" s="4123"/>
      <c r="P128" s="4120"/>
      <c r="Q128" s="4178"/>
      <c r="R128" s="4143"/>
      <c r="S128" s="4120"/>
      <c r="T128" s="4204"/>
      <c r="U128" s="1525" t="s">
        <v>323</v>
      </c>
      <c r="V128" s="1524">
        <v>2500000</v>
      </c>
      <c r="W128" s="2548">
        <v>20</v>
      </c>
      <c r="X128" s="2549" t="s">
        <v>322</v>
      </c>
      <c r="Y128" s="4202"/>
      <c r="Z128" s="4135"/>
      <c r="AA128" s="4166"/>
      <c r="AB128" s="4135"/>
      <c r="AC128" s="4155"/>
      <c r="AD128" s="4135"/>
      <c r="AE128" s="4135"/>
      <c r="AF128" s="4135"/>
      <c r="AG128" s="4135"/>
      <c r="AH128" s="4135"/>
      <c r="AI128" s="4135"/>
      <c r="AJ128" s="4155"/>
      <c r="AK128" s="4135"/>
      <c r="AL128" s="4135"/>
      <c r="AM128" s="4155"/>
      <c r="AN128" s="4135"/>
      <c r="AO128" s="4149"/>
      <c r="AP128" s="4149"/>
      <c r="AQ128" s="4152"/>
    </row>
    <row r="129" spans="1:44" ht="78" customHeight="1" x14ac:dyDescent="0.2">
      <c r="A129" s="1238"/>
      <c r="B129" s="1239"/>
      <c r="C129" s="1240"/>
      <c r="D129" s="1239"/>
      <c r="E129" s="1239"/>
      <c r="F129" s="1240"/>
      <c r="G129" s="1244"/>
      <c r="H129" s="1239"/>
      <c r="I129" s="1240"/>
      <c r="J129" s="4118"/>
      <c r="K129" s="4204"/>
      <c r="L129" s="4124"/>
      <c r="M129" s="4124"/>
      <c r="N129" s="4124"/>
      <c r="O129" s="4124"/>
      <c r="P129" s="4120"/>
      <c r="Q129" s="4178"/>
      <c r="R129" s="4144"/>
      <c r="S129" s="4121"/>
      <c r="T129" s="4204"/>
      <c r="U129" s="1525" t="s">
        <v>324</v>
      </c>
      <c r="V129" s="1524">
        <v>2500000</v>
      </c>
      <c r="W129" s="2548">
        <v>20</v>
      </c>
      <c r="X129" s="2549" t="s">
        <v>322</v>
      </c>
      <c r="Y129" s="4203"/>
      <c r="Z129" s="4136"/>
      <c r="AA129" s="4167"/>
      <c r="AB129" s="4136"/>
      <c r="AC129" s="4156"/>
      <c r="AD129" s="4136"/>
      <c r="AE129" s="4136"/>
      <c r="AF129" s="4136"/>
      <c r="AG129" s="4136"/>
      <c r="AH129" s="4136"/>
      <c r="AI129" s="4136"/>
      <c r="AJ129" s="4156"/>
      <c r="AK129" s="4136"/>
      <c r="AL129" s="4136"/>
      <c r="AM129" s="4156"/>
      <c r="AN129" s="4136"/>
      <c r="AO129" s="4150"/>
      <c r="AP129" s="4150"/>
      <c r="AQ129" s="4153"/>
    </row>
    <row r="130" spans="1:44" s="1266" customFormat="1" ht="26.25" customHeight="1" x14ac:dyDescent="0.2">
      <c r="A130" s="1262"/>
      <c r="B130" s="1263"/>
      <c r="C130" s="1264"/>
      <c r="D130" s="1263"/>
      <c r="E130" s="1263"/>
      <c r="F130" s="1264"/>
      <c r="G130" s="1265"/>
      <c r="H130" s="1263"/>
      <c r="I130" s="1264"/>
      <c r="J130" s="4171">
        <v>144</v>
      </c>
      <c r="K130" s="4217" t="s">
        <v>325</v>
      </c>
      <c r="L130" s="4171" t="s">
        <v>169</v>
      </c>
      <c r="M130" s="4171">
        <v>5</v>
      </c>
      <c r="N130" s="4116" t="s">
        <v>326</v>
      </c>
      <c r="O130" s="4252" t="s">
        <v>327</v>
      </c>
      <c r="P130" s="4209" t="s">
        <v>328</v>
      </c>
      <c r="Q130" s="4211">
        <f>SUM(V130:V145)/R130</f>
        <v>0.79586170296807968</v>
      </c>
      <c r="R130" s="4213">
        <f>SUM(V130:V153)</f>
        <v>571611313</v>
      </c>
      <c r="S130" s="4215" t="s">
        <v>329</v>
      </c>
      <c r="T130" s="4217" t="s">
        <v>330</v>
      </c>
      <c r="U130" s="4221" t="s">
        <v>331</v>
      </c>
      <c r="V130" s="1532">
        <f>242840543+9693675</f>
        <v>252534218</v>
      </c>
      <c r="W130" s="2550">
        <v>111</v>
      </c>
      <c r="X130" s="2551" t="s">
        <v>332</v>
      </c>
      <c r="Y130" s="4240">
        <v>292684</v>
      </c>
      <c r="Z130" s="4116">
        <v>282326</v>
      </c>
      <c r="AA130" s="4134">
        <v>135912</v>
      </c>
      <c r="AB130" s="4134">
        <v>45122</v>
      </c>
      <c r="AC130" s="4134">
        <v>307101</v>
      </c>
      <c r="AD130" s="4134">
        <v>86875</v>
      </c>
      <c r="AE130" s="4134">
        <v>2145</v>
      </c>
      <c r="AF130" s="4134">
        <v>12718</v>
      </c>
      <c r="AG130" s="4134">
        <v>26</v>
      </c>
      <c r="AH130" s="4134">
        <v>37</v>
      </c>
      <c r="AI130" s="4134" t="s">
        <v>177</v>
      </c>
      <c r="AJ130" s="4154" t="s">
        <v>177</v>
      </c>
      <c r="AK130" s="4134">
        <v>53164</v>
      </c>
      <c r="AL130" s="4134">
        <v>16982</v>
      </c>
      <c r="AM130" s="4154">
        <v>60013</v>
      </c>
      <c r="AN130" s="4134">
        <v>575010</v>
      </c>
      <c r="AO130" s="4238">
        <v>43467</v>
      </c>
      <c r="AP130" s="4238">
        <v>43830</v>
      </c>
      <c r="AQ130" s="4226" t="s">
        <v>178</v>
      </c>
      <c r="AR130" s="2597"/>
    </row>
    <row r="131" spans="1:44" s="1266" customFormat="1" ht="21" customHeight="1" x14ac:dyDescent="0.2">
      <c r="A131" s="1262"/>
      <c r="B131" s="1263"/>
      <c r="C131" s="1264"/>
      <c r="D131" s="1263"/>
      <c r="E131" s="1263"/>
      <c r="F131" s="1264"/>
      <c r="G131" s="1265"/>
      <c r="H131" s="1263"/>
      <c r="I131" s="1264"/>
      <c r="J131" s="4172"/>
      <c r="K131" s="4218"/>
      <c r="L131" s="4172"/>
      <c r="M131" s="4172"/>
      <c r="N131" s="4117"/>
      <c r="O131" s="4253"/>
      <c r="P131" s="4209"/>
      <c r="Q131" s="4211"/>
      <c r="R131" s="4214"/>
      <c r="S131" s="4216"/>
      <c r="T131" s="4218"/>
      <c r="U131" s="4222"/>
      <c r="V131" s="1532">
        <v>80200000</v>
      </c>
      <c r="W131" s="2552">
        <v>61</v>
      </c>
      <c r="X131" s="2551" t="s">
        <v>289</v>
      </c>
      <c r="Y131" s="4241"/>
      <c r="Z131" s="4117"/>
      <c r="AA131" s="4135"/>
      <c r="AB131" s="4135"/>
      <c r="AC131" s="4135"/>
      <c r="AD131" s="4135"/>
      <c r="AE131" s="4135"/>
      <c r="AF131" s="4135"/>
      <c r="AG131" s="4135"/>
      <c r="AH131" s="4135"/>
      <c r="AI131" s="4135"/>
      <c r="AJ131" s="4155"/>
      <c r="AK131" s="4135"/>
      <c r="AL131" s="4135"/>
      <c r="AM131" s="4155"/>
      <c r="AN131" s="4135"/>
      <c r="AO131" s="4239"/>
      <c r="AP131" s="4239"/>
      <c r="AQ131" s="4227"/>
      <c r="AR131" s="2597"/>
    </row>
    <row r="132" spans="1:44" s="1266" customFormat="1" ht="26.25" customHeight="1" x14ac:dyDescent="0.2">
      <c r="A132" s="1262"/>
      <c r="B132" s="1263"/>
      <c r="C132" s="1264"/>
      <c r="D132" s="1263"/>
      <c r="E132" s="1263"/>
      <c r="F132" s="1264"/>
      <c r="G132" s="1265"/>
      <c r="H132" s="1263"/>
      <c r="I132" s="1264"/>
      <c r="J132" s="4172"/>
      <c r="K132" s="4218"/>
      <c r="L132" s="4172"/>
      <c r="M132" s="4172"/>
      <c r="N132" s="4117"/>
      <c r="O132" s="4253"/>
      <c r="P132" s="4209"/>
      <c r="Q132" s="4211"/>
      <c r="R132" s="4214"/>
      <c r="S132" s="4216"/>
      <c r="T132" s="4218"/>
      <c r="U132" s="4222"/>
      <c r="V132" s="2553">
        <f>0+4271940</f>
        <v>4271940</v>
      </c>
      <c r="W132" s="2550">
        <v>107</v>
      </c>
      <c r="X132" s="2551" t="s">
        <v>333</v>
      </c>
      <c r="Y132" s="4241"/>
      <c r="Z132" s="4117"/>
      <c r="AA132" s="4135"/>
      <c r="AB132" s="4135"/>
      <c r="AC132" s="4135"/>
      <c r="AD132" s="4135"/>
      <c r="AE132" s="4135"/>
      <c r="AF132" s="4135"/>
      <c r="AG132" s="4135"/>
      <c r="AH132" s="4135"/>
      <c r="AI132" s="4135"/>
      <c r="AJ132" s="4155"/>
      <c r="AK132" s="4135"/>
      <c r="AL132" s="4135"/>
      <c r="AM132" s="4155"/>
      <c r="AN132" s="4135"/>
      <c r="AO132" s="4239"/>
      <c r="AP132" s="4239"/>
      <c r="AQ132" s="4227"/>
      <c r="AR132" s="2597"/>
    </row>
    <row r="133" spans="1:44" s="1266" customFormat="1" ht="27.75" customHeight="1" x14ac:dyDescent="0.2">
      <c r="A133" s="1262"/>
      <c r="B133" s="1263"/>
      <c r="C133" s="1264"/>
      <c r="D133" s="1263"/>
      <c r="E133" s="1263"/>
      <c r="F133" s="1264"/>
      <c r="G133" s="1265"/>
      <c r="H133" s="1263"/>
      <c r="I133" s="1264"/>
      <c r="J133" s="4172"/>
      <c r="K133" s="4218"/>
      <c r="L133" s="4172"/>
      <c r="M133" s="4172"/>
      <c r="N133" s="4117"/>
      <c r="O133" s="4253"/>
      <c r="P133" s="4209"/>
      <c r="Q133" s="4211"/>
      <c r="R133" s="4214"/>
      <c r="S133" s="4216"/>
      <c r="T133" s="4218"/>
      <c r="U133" s="4222"/>
      <c r="V133" s="2553">
        <v>9557695</v>
      </c>
      <c r="W133" s="2550">
        <v>147</v>
      </c>
      <c r="X133" s="2551" t="s">
        <v>334</v>
      </c>
      <c r="Y133" s="4241"/>
      <c r="Z133" s="4117"/>
      <c r="AA133" s="4135"/>
      <c r="AB133" s="4135"/>
      <c r="AC133" s="4135"/>
      <c r="AD133" s="4135"/>
      <c r="AE133" s="4135"/>
      <c r="AF133" s="4135"/>
      <c r="AG133" s="4135"/>
      <c r="AH133" s="4135"/>
      <c r="AI133" s="4135"/>
      <c r="AJ133" s="4155"/>
      <c r="AK133" s="4135"/>
      <c r="AL133" s="4135"/>
      <c r="AM133" s="4155"/>
      <c r="AN133" s="4135"/>
      <c r="AO133" s="4239"/>
      <c r="AP133" s="4239"/>
      <c r="AQ133" s="4227"/>
      <c r="AR133" s="2597"/>
    </row>
    <row r="134" spans="1:44" s="1266" customFormat="1" ht="33.75" customHeight="1" x14ac:dyDescent="0.2">
      <c r="A134" s="1262"/>
      <c r="B134" s="1263"/>
      <c r="C134" s="1264"/>
      <c r="D134" s="1263"/>
      <c r="E134" s="1263"/>
      <c r="F134" s="1264"/>
      <c r="G134" s="1265"/>
      <c r="H134" s="1263"/>
      <c r="I134" s="1264"/>
      <c r="J134" s="4172"/>
      <c r="K134" s="4218"/>
      <c r="L134" s="4172"/>
      <c r="M134" s="4172"/>
      <c r="N134" s="4117"/>
      <c r="O134" s="4253"/>
      <c r="P134" s="4209"/>
      <c r="Q134" s="4211"/>
      <c r="R134" s="4214"/>
      <c r="S134" s="4216"/>
      <c r="T134" s="4219"/>
      <c r="U134" s="4229" t="s">
        <v>335</v>
      </c>
      <c r="V134" s="1524">
        <v>7000000</v>
      </c>
      <c r="W134" s="2552">
        <v>61</v>
      </c>
      <c r="X134" s="2551" t="s">
        <v>289</v>
      </c>
      <c r="Y134" s="4241"/>
      <c r="Z134" s="4117"/>
      <c r="AA134" s="4135"/>
      <c r="AB134" s="4135"/>
      <c r="AC134" s="4135"/>
      <c r="AD134" s="4135"/>
      <c r="AE134" s="4135"/>
      <c r="AF134" s="4135"/>
      <c r="AG134" s="4135"/>
      <c r="AH134" s="4135"/>
      <c r="AI134" s="4135"/>
      <c r="AJ134" s="4155"/>
      <c r="AK134" s="4135"/>
      <c r="AL134" s="4135"/>
      <c r="AM134" s="4155"/>
      <c r="AN134" s="4135"/>
      <c r="AO134" s="4239"/>
      <c r="AP134" s="4239"/>
      <c r="AQ134" s="4227"/>
      <c r="AR134" s="2597"/>
    </row>
    <row r="135" spans="1:44" s="1266" customFormat="1" ht="18.75" customHeight="1" x14ac:dyDescent="0.2">
      <c r="A135" s="1262"/>
      <c r="B135" s="1263"/>
      <c r="C135" s="1264"/>
      <c r="D135" s="1263"/>
      <c r="E135" s="1263"/>
      <c r="F135" s="1264"/>
      <c r="G135" s="1265"/>
      <c r="H135" s="1263"/>
      <c r="I135" s="1264"/>
      <c r="J135" s="4172"/>
      <c r="K135" s="4218"/>
      <c r="L135" s="4172"/>
      <c r="M135" s="4172"/>
      <c r="N135" s="4117"/>
      <c r="O135" s="4253"/>
      <c r="P135" s="4209"/>
      <c r="Q135" s="4211"/>
      <c r="R135" s="4214"/>
      <c r="S135" s="4216"/>
      <c r="T135" s="4219"/>
      <c r="U135" s="4230"/>
      <c r="V135" s="4232">
        <f>0+4271940</f>
        <v>4271940</v>
      </c>
      <c r="W135" s="4233">
        <v>107</v>
      </c>
      <c r="X135" s="4234" t="s">
        <v>333</v>
      </c>
      <c r="Y135" s="4241"/>
      <c r="Z135" s="4117"/>
      <c r="AA135" s="4135"/>
      <c r="AB135" s="4135"/>
      <c r="AC135" s="4135"/>
      <c r="AD135" s="4135"/>
      <c r="AE135" s="4135"/>
      <c r="AF135" s="4135"/>
      <c r="AG135" s="4135"/>
      <c r="AH135" s="4135"/>
      <c r="AI135" s="4135"/>
      <c r="AJ135" s="4155"/>
      <c r="AK135" s="4135"/>
      <c r="AL135" s="4135"/>
      <c r="AM135" s="4155"/>
      <c r="AN135" s="4135"/>
      <c r="AO135" s="4239"/>
      <c r="AP135" s="4239"/>
      <c r="AQ135" s="4227"/>
      <c r="AR135" s="2597"/>
    </row>
    <row r="136" spans="1:44" s="1266" customFormat="1" ht="12" customHeight="1" x14ac:dyDescent="0.2">
      <c r="A136" s="1262"/>
      <c r="B136" s="1263"/>
      <c r="C136" s="1264"/>
      <c r="D136" s="1263"/>
      <c r="E136" s="1263"/>
      <c r="F136" s="1264"/>
      <c r="G136" s="1265"/>
      <c r="H136" s="1263"/>
      <c r="I136" s="1264"/>
      <c r="J136" s="4172"/>
      <c r="K136" s="4218"/>
      <c r="L136" s="4172"/>
      <c r="M136" s="4172"/>
      <c r="N136" s="4117"/>
      <c r="O136" s="4253"/>
      <c r="P136" s="4209"/>
      <c r="Q136" s="4211"/>
      <c r="R136" s="4214"/>
      <c r="S136" s="4216"/>
      <c r="T136" s="4219"/>
      <c r="U136" s="4231"/>
      <c r="V136" s="4232"/>
      <c r="W136" s="4233"/>
      <c r="X136" s="4234"/>
      <c r="Y136" s="4241"/>
      <c r="Z136" s="4117"/>
      <c r="AA136" s="4135"/>
      <c r="AB136" s="4135"/>
      <c r="AC136" s="4135"/>
      <c r="AD136" s="4135"/>
      <c r="AE136" s="4135"/>
      <c r="AF136" s="4135"/>
      <c r="AG136" s="4135"/>
      <c r="AH136" s="4135"/>
      <c r="AI136" s="4135"/>
      <c r="AJ136" s="4155"/>
      <c r="AK136" s="4135"/>
      <c r="AL136" s="4135"/>
      <c r="AM136" s="4155"/>
      <c r="AN136" s="4135"/>
      <c r="AO136" s="4239"/>
      <c r="AP136" s="4239"/>
      <c r="AQ136" s="4227"/>
      <c r="AR136" s="2597"/>
    </row>
    <row r="137" spans="1:44" s="1266" customFormat="1" x14ac:dyDescent="0.2">
      <c r="A137" s="1262"/>
      <c r="B137" s="1263"/>
      <c r="C137" s="1264"/>
      <c r="D137" s="1263"/>
      <c r="E137" s="1263"/>
      <c r="F137" s="1264"/>
      <c r="G137" s="1265"/>
      <c r="H137" s="1263"/>
      <c r="I137" s="1264"/>
      <c r="J137" s="4172"/>
      <c r="K137" s="4218"/>
      <c r="L137" s="4172"/>
      <c r="M137" s="4172"/>
      <c r="N137" s="4117"/>
      <c r="O137" s="4253"/>
      <c r="P137" s="4209"/>
      <c r="Q137" s="4211"/>
      <c r="R137" s="4214"/>
      <c r="S137" s="4216"/>
      <c r="T137" s="4218"/>
      <c r="U137" s="4222" t="s">
        <v>336</v>
      </c>
      <c r="V137" s="1524">
        <v>10000000</v>
      </c>
      <c r="W137" s="2552">
        <v>61</v>
      </c>
      <c r="X137" s="2551" t="s">
        <v>289</v>
      </c>
      <c r="Y137" s="4241"/>
      <c r="Z137" s="4117"/>
      <c r="AA137" s="4135"/>
      <c r="AB137" s="4135"/>
      <c r="AC137" s="4135"/>
      <c r="AD137" s="4135"/>
      <c r="AE137" s="4135"/>
      <c r="AF137" s="4135"/>
      <c r="AG137" s="4135"/>
      <c r="AH137" s="4135"/>
      <c r="AI137" s="4135"/>
      <c r="AJ137" s="4155"/>
      <c r="AK137" s="4135"/>
      <c r="AL137" s="4135"/>
      <c r="AM137" s="4155"/>
      <c r="AN137" s="4135"/>
      <c r="AO137" s="4239"/>
      <c r="AP137" s="4239"/>
      <c r="AQ137" s="4227"/>
      <c r="AR137" s="2597"/>
    </row>
    <row r="138" spans="1:44" s="1266" customFormat="1" ht="24.75" customHeight="1" x14ac:dyDescent="0.2">
      <c r="A138" s="1262"/>
      <c r="B138" s="1263"/>
      <c r="C138" s="1264"/>
      <c r="D138" s="1263"/>
      <c r="E138" s="1263"/>
      <c r="F138" s="1264"/>
      <c r="G138" s="1265"/>
      <c r="H138" s="1263"/>
      <c r="I138" s="1264"/>
      <c r="J138" s="4172"/>
      <c r="K138" s="4218"/>
      <c r="L138" s="4172"/>
      <c r="M138" s="4172"/>
      <c r="N138" s="4117"/>
      <c r="O138" s="4253"/>
      <c r="P138" s="4209"/>
      <c r="Q138" s="4211"/>
      <c r="R138" s="4214"/>
      <c r="S138" s="4216"/>
      <c r="T138" s="4218"/>
      <c r="U138" s="4222"/>
      <c r="V138" s="1524">
        <v>10000000</v>
      </c>
      <c r="W138" s="2552">
        <v>20</v>
      </c>
      <c r="X138" s="2551" t="s">
        <v>61</v>
      </c>
      <c r="Y138" s="4241"/>
      <c r="Z138" s="4117"/>
      <c r="AA138" s="4135"/>
      <c r="AB138" s="4135"/>
      <c r="AC138" s="4135"/>
      <c r="AD138" s="4135"/>
      <c r="AE138" s="4135"/>
      <c r="AF138" s="4135"/>
      <c r="AG138" s="4135"/>
      <c r="AH138" s="4135"/>
      <c r="AI138" s="4135"/>
      <c r="AJ138" s="4155"/>
      <c r="AK138" s="4135"/>
      <c r="AL138" s="4135"/>
      <c r="AM138" s="4155"/>
      <c r="AN138" s="4135"/>
      <c r="AO138" s="4239"/>
      <c r="AP138" s="4239"/>
      <c r="AQ138" s="4227"/>
      <c r="AR138" s="2597"/>
    </row>
    <row r="139" spans="1:44" s="1266" customFormat="1" ht="26.25" customHeight="1" x14ac:dyDescent="0.2">
      <c r="A139" s="1262"/>
      <c r="B139" s="1263"/>
      <c r="C139" s="1264"/>
      <c r="D139" s="1263"/>
      <c r="E139" s="1263"/>
      <c r="F139" s="1264"/>
      <c r="G139" s="1265"/>
      <c r="H139" s="1263"/>
      <c r="I139" s="1264"/>
      <c r="J139" s="4172"/>
      <c r="K139" s="4218"/>
      <c r="L139" s="4172"/>
      <c r="M139" s="4172"/>
      <c r="N139" s="4117"/>
      <c r="O139" s="4253"/>
      <c r="P139" s="4209"/>
      <c r="Q139" s="4211"/>
      <c r="R139" s="4214"/>
      <c r="S139" s="4216"/>
      <c r="T139" s="4218"/>
      <c r="U139" s="4235"/>
      <c r="V139" s="1524">
        <f>0+4271940</f>
        <v>4271940</v>
      </c>
      <c r="W139" s="2552">
        <v>107</v>
      </c>
      <c r="X139" s="2551" t="s">
        <v>333</v>
      </c>
      <c r="Y139" s="4241"/>
      <c r="Z139" s="4117"/>
      <c r="AA139" s="4135"/>
      <c r="AB139" s="4135"/>
      <c r="AC139" s="4135"/>
      <c r="AD139" s="4135"/>
      <c r="AE139" s="4135"/>
      <c r="AF139" s="4135"/>
      <c r="AG139" s="4135"/>
      <c r="AH139" s="4135"/>
      <c r="AI139" s="4135"/>
      <c r="AJ139" s="4155"/>
      <c r="AK139" s="4135"/>
      <c r="AL139" s="4135"/>
      <c r="AM139" s="4155"/>
      <c r="AN139" s="4135"/>
      <c r="AO139" s="4239"/>
      <c r="AP139" s="4239"/>
      <c r="AQ139" s="4227"/>
      <c r="AR139" s="2597"/>
    </row>
    <row r="140" spans="1:44" s="1266" customFormat="1" ht="43.5" customHeight="1" x14ac:dyDescent="0.2">
      <c r="A140" s="1262"/>
      <c r="B140" s="1263"/>
      <c r="C140" s="1264"/>
      <c r="D140" s="1263"/>
      <c r="E140" s="1263"/>
      <c r="F140" s="1264"/>
      <c r="G140" s="1265"/>
      <c r="H140" s="1263"/>
      <c r="I140" s="1264"/>
      <c r="J140" s="4172"/>
      <c r="K140" s="4218"/>
      <c r="L140" s="4172"/>
      <c r="M140" s="4172"/>
      <c r="N140" s="4117"/>
      <c r="O140" s="4253"/>
      <c r="P140" s="4209"/>
      <c r="Q140" s="4211"/>
      <c r="R140" s="4214"/>
      <c r="S140" s="4216"/>
      <c r="T140" s="4218"/>
      <c r="U140" s="4236" t="s">
        <v>337</v>
      </c>
      <c r="V140" s="1524">
        <v>20000000</v>
      </c>
      <c r="W140" s="2552">
        <v>20</v>
      </c>
      <c r="X140" s="2551" t="s">
        <v>61</v>
      </c>
      <c r="Y140" s="4241"/>
      <c r="Z140" s="4117"/>
      <c r="AA140" s="4135"/>
      <c r="AB140" s="4135"/>
      <c r="AC140" s="4135"/>
      <c r="AD140" s="4135"/>
      <c r="AE140" s="4135"/>
      <c r="AF140" s="4135"/>
      <c r="AG140" s="4135"/>
      <c r="AH140" s="4135"/>
      <c r="AI140" s="4135"/>
      <c r="AJ140" s="4155"/>
      <c r="AK140" s="4135"/>
      <c r="AL140" s="4135"/>
      <c r="AM140" s="4155"/>
      <c r="AN140" s="4135"/>
      <c r="AO140" s="4239"/>
      <c r="AP140" s="4239"/>
      <c r="AQ140" s="4227"/>
      <c r="AR140" s="2597"/>
    </row>
    <row r="141" spans="1:44" s="1266" customFormat="1" ht="45.75" customHeight="1" x14ac:dyDescent="0.2">
      <c r="A141" s="1262"/>
      <c r="B141" s="1263"/>
      <c r="C141" s="1264"/>
      <c r="D141" s="1263"/>
      <c r="E141" s="1263"/>
      <c r="F141" s="1264"/>
      <c r="G141" s="1265"/>
      <c r="H141" s="1263"/>
      <c r="I141" s="1264"/>
      <c r="J141" s="4172"/>
      <c r="K141" s="4218"/>
      <c r="L141" s="4172"/>
      <c r="M141" s="4172"/>
      <c r="N141" s="4117"/>
      <c r="O141" s="4253"/>
      <c r="P141" s="4209"/>
      <c r="Q141" s="4211"/>
      <c r="R141" s="4214"/>
      <c r="S141" s="4216"/>
      <c r="T141" s="4218"/>
      <c r="U141" s="4237"/>
      <c r="V141" s="1524">
        <f>0+4271940</f>
        <v>4271940</v>
      </c>
      <c r="W141" s="2552">
        <v>107</v>
      </c>
      <c r="X141" s="2551" t="s">
        <v>333</v>
      </c>
      <c r="Y141" s="4241"/>
      <c r="Z141" s="4117"/>
      <c r="AA141" s="4135"/>
      <c r="AB141" s="4135"/>
      <c r="AC141" s="4135"/>
      <c r="AD141" s="4135"/>
      <c r="AE141" s="4135"/>
      <c r="AF141" s="4135"/>
      <c r="AG141" s="4135"/>
      <c r="AH141" s="4135"/>
      <c r="AI141" s="4135"/>
      <c r="AJ141" s="4155"/>
      <c r="AK141" s="4135"/>
      <c r="AL141" s="4135"/>
      <c r="AM141" s="4155"/>
      <c r="AN141" s="4135"/>
      <c r="AO141" s="4239"/>
      <c r="AP141" s="4239"/>
      <c r="AQ141" s="4227"/>
      <c r="AR141" s="2597"/>
    </row>
    <row r="142" spans="1:44" s="1266" customFormat="1" ht="51" customHeight="1" x14ac:dyDescent="0.2">
      <c r="A142" s="1262"/>
      <c r="B142" s="1263"/>
      <c r="C142" s="1264"/>
      <c r="D142" s="1263"/>
      <c r="E142" s="1263"/>
      <c r="F142" s="1264"/>
      <c r="G142" s="1265"/>
      <c r="H142" s="1263"/>
      <c r="I142" s="1264"/>
      <c r="J142" s="4172"/>
      <c r="K142" s="4218"/>
      <c r="L142" s="4172"/>
      <c r="M142" s="4172"/>
      <c r="N142" s="4117"/>
      <c r="O142" s="4253"/>
      <c r="P142" s="4209"/>
      <c r="Q142" s="4211"/>
      <c r="R142" s="4214"/>
      <c r="S142" s="4216"/>
      <c r="T142" s="4218"/>
      <c r="U142" s="4236" t="s">
        <v>338</v>
      </c>
      <c r="V142" s="1524">
        <v>20000000</v>
      </c>
      <c r="W142" s="2552">
        <v>20</v>
      </c>
      <c r="X142" s="2551" t="s">
        <v>61</v>
      </c>
      <c r="Y142" s="4241"/>
      <c r="Z142" s="4117"/>
      <c r="AA142" s="4135"/>
      <c r="AB142" s="4135"/>
      <c r="AC142" s="4135"/>
      <c r="AD142" s="4135"/>
      <c r="AE142" s="4135"/>
      <c r="AF142" s="4135"/>
      <c r="AG142" s="4135"/>
      <c r="AH142" s="4135"/>
      <c r="AI142" s="4135"/>
      <c r="AJ142" s="4155"/>
      <c r="AK142" s="4135"/>
      <c r="AL142" s="4135"/>
      <c r="AM142" s="4155"/>
      <c r="AN142" s="4135"/>
      <c r="AO142" s="4239"/>
      <c r="AP142" s="4239"/>
      <c r="AQ142" s="4227"/>
      <c r="AR142" s="2597"/>
    </row>
    <row r="143" spans="1:44" s="1266" customFormat="1" ht="38.25" customHeight="1" x14ac:dyDescent="0.2">
      <c r="A143" s="1262"/>
      <c r="B143" s="1263"/>
      <c r="C143" s="1264"/>
      <c r="D143" s="1263"/>
      <c r="E143" s="1263"/>
      <c r="F143" s="1264"/>
      <c r="G143" s="1265"/>
      <c r="H143" s="1263"/>
      <c r="I143" s="1264"/>
      <c r="J143" s="4172"/>
      <c r="K143" s="4218"/>
      <c r="L143" s="4172"/>
      <c r="M143" s="4172"/>
      <c r="N143" s="4117"/>
      <c r="O143" s="4253"/>
      <c r="P143" s="4209"/>
      <c r="Q143" s="4211"/>
      <c r="R143" s="4214"/>
      <c r="S143" s="4216"/>
      <c r="T143" s="4218"/>
      <c r="U143" s="4237"/>
      <c r="V143" s="1524">
        <f>0+4271940</f>
        <v>4271940</v>
      </c>
      <c r="W143" s="2552">
        <v>107</v>
      </c>
      <c r="X143" s="2551" t="s">
        <v>333</v>
      </c>
      <c r="Y143" s="4241"/>
      <c r="Z143" s="4117"/>
      <c r="AA143" s="4135"/>
      <c r="AB143" s="4135"/>
      <c r="AC143" s="4135"/>
      <c r="AD143" s="4135"/>
      <c r="AE143" s="4135"/>
      <c r="AF143" s="4135"/>
      <c r="AG143" s="4135"/>
      <c r="AH143" s="4135"/>
      <c r="AI143" s="4135"/>
      <c r="AJ143" s="4155"/>
      <c r="AK143" s="4135"/>
      <c r="AL143" s="4135"/>
      <c r="AM143" s="4155"/>
      <c r="AN143" s="4135"/>
      <c r="AO143" s="4239"/>
      <c r="AP143" s="4239"/>
      <c r="AQ143" s="4227"/>
      <c r="AR143" s="2597"/>
    </row>
    <row r="144" spans="1:44" s="1266" customFormat="1" ht="42.75" customHeight="1" x14ac:dyDescent="0.2">
      <c r="A144" s="1262"/>
      <c r="B144" s="1263"/>
      <c r="C144" s="1264"/>
      <c r="D144" s="1263"/>
      <c r="E144" s="1263"/>
      <c r="F144" s="1264"/>
      <c r="G144" s="1265"/>
      <c r="H144" s="1263"/>
      <c r="I144" s="1264"/>
      <c r="J144" s="4172"/>
      <c r="K144" s="4218"/>
      <c r="L144" s="4172"/>
      <c r="M144" s="4172"/>
      <c r="N144" s="4117"/>
      <c r="O144" s="4253"/>
      <c r="P144" s="4209"/>
      <c r="Q144" s="4211"/>
      <c r="R144" s="4214"/>
      <c r="S144" s="4216"/>
      <c r="T144" s="4218"/>
      <c r="U144" s="4236" t="s">
        <v>339</v>
      </c>
      <c r="V144" s="1524">
        <v>20000000</v>
      </c>
      <c r="W144" s="2552">
        <v>20</v>
      </c>
      <c r="X144" s="2551" t="s">
        <v>61</v>
      </c>
      <c r="Y144" s="4241"/>
      <c r="Z144" s="4117"/>
      <c r="AA144" s="4135"/>
      <c r="AB144" s="4135"/>
      <c r="AC144" s="4135"/>
      <c r="AD144" s="4135"/>
      <c r="AE144" s="4135"/>
      <c r="AF144" s="4135"/>
      <c r="AG144" s="4135"/>
      <c r="AH144" s="4135"/>
      <c r="AI144" s="4135"/>
      <c r="AJ144" s="4155"/>
      <c r="AK144" s="4135"/>
      <c r="AL144" s="4135"/>
      <c r="AM144" s="4155"/>
      <c r="AN144" s="4135"/>
      <c r="AO144" s="4239"/>
      <c r="AP144" s="4239"/>
      <c r="AQ144" s="4227"/>
      <c r="AR144" s="2597"/>
    </row>
    <row r="145" spans="1:45" s="1266" customFormat="1" ht="48" customHeight="1" x14ac:dyDescent="0.2">
      <c r="A145" s="1262"/>
      <c r="B145" s="1263"/>
      <c r="C145" s="1264"/>
      <c r="D145" s="1263"/>
      <c r="E145" s="1263"/>
      <c r="F145" s="1264"/>
      <c r="G145" s="1265"/>
      <c r="H145" s="1263"/>
      <c r="I145" s="1264"/>
      <c r="J145" s="4173"/>
      <c r="K145" s="4220"/>
      <c r="L145" s="4173"/>
      <c r="M145" s="4173"/>
      <c r="N145" s="4117"/>
      <c r="O145" s="4253"/>
      <c r="P145" s="4209"/>
      <c r="Q145" s="4212"/>
      <c r="R145" s="4214"/>
      <c r="S145" s="4216"/>
      <c r="T145" s="4220"/>
      <c r="U145" s="4237"/>
      <c r="V145" s="1524">
        <f>0+4271940</f>
        <v>4271940</v>
      </c>
      <c r="W145" s="2552">
        <v>107</v>
      </c>
      <c r="X145" s="2551" t="s">
        <v>333</v>
      </c>
      <c r="Y145" s="4241"/>
      <c r="Z145" s="4117"/>
      <c r="AA145" s="4135"/>
      <c r="AB145" s="4135"/>
      <c r="AC145" s="4135"/>
      <c r="AD145" s="4135"/>
      <c r="AE145" s="4135"/>
      <c r="AF145" s="4135"/>
      <c r="AG145" s="4135"/>
      <c r="AH145" s="4135"/>
      <c r="AI145" s="4135"/>
      <c r="AJ145" s="4155"/>
      <c r="AK145" s="4135"/>
      <c r="AL145" s="4135"/>
      <c r="AM145" s="4155"/>
      <c r="AN145" s="4135"/>
      <c r="AO145" s="4239"/>
      <c r="AP145" s="4239"/>
      <c r="AQ145" s="4227"/>
      <c r="AR145" s="2597"/>
    </row>
    <row r="146" spans="1:45" ht="27.75" customHeight="1" x14ac:dyDescent="0.2">
      <c r="A146" s="1267"/>
      <c r="B146" s="1268"/>
      <c r="C146" s="1269"/>
      <c r="D146" s="1268"/>
      <c r="E146" s="1268"/>
      <c r="F146" s="1269"/>
      <c r="G146" s="1270"/>
      <c r="H146" s="1268"/>
      <c r="I146" s="1269"/>
      <c r="J146" s="4116">
        <v>145</v>
      </c>
      <c r="K146" s="4205" t="s">
        <v>340</v>
      </c>
      <c r="L146" s="4116" t="s">
        <v>169</v>
      </c>
      <c r="M146" s="4116">
        <v>1</v>
      </c>
      <c r="N146" s="4117"/>
      <c r="O146" s="4253"/>
      <c r="P146" s="4210"/>
      <c r="Q146" s="4223">
        <f>SUM(V146:V153)/R130</f>
        <v>0.20413829703192035</v>
      </c>
      <c r="R146" s="4214"/>
      <c r="S146" s="4216"/>
      <c r="T146" s="4145" t="s">
        <v>341</v>
      </c>
      <c r="U146" s="4224" t="s">
        <v>342</v>
      </c>
      <c r="V146" s="1524">
        <v>33000000</v>
      </c>
      <c r="W146" s="2552">
        <v>61</v>
      </c>
      <c r="X146" s="2513" t="s">
        <v>289</v>
      </c>
      <c r="Y146" s="4241"/>
      <c r="Z146" s="4117"/>
      <c r="AA146" s="4135"/>
      <c r="AB146" s="4135"/>
      <c r="AC146" s="4135"/>
      <c r="AD146" s="4135"/>
      <c r="AE146" s="4135"/>
      <c r="AF146" s="4135"/>
      <c r="AG146" s="4135"/>
      <c r="AH146" s="4135"/>
      <c r="AI146" s="4135"/>
      <c r="AJ146" s="4155"/>
      <c r="AK146" s="4135"/>
      <c r="AL146" s="4135"/>
      <c r="AM146" s="4155"/>
      <c r="AN146" s="4135"/>
      <c r="AO146" s="4239"/>
      <c r="AP146" s="4239"/>
      <c r="AQ146" s="4227"/>
    </row>
    <row r="147" spans="1:45" ht="31.5" customHeight="1" x14ac:dyDescent="0.2">
      <c r="A147" s="1267"/>
      <c r="B147" s="1268"/>
      <c r="C147" s="1269"/>
      <c r="D147" s="1268"/>
      <c r="E147" s="1268"/>
      <c r="F147" s="1269"/>
      <c r="G147" s="1270"/>
      <c r="H147" s="1268"/>
      <c r="I147" s="1269"/>
      <c r="J147" s="4117"/>
      <c r="K147" s="4206"/>
      <c r="L147" s="4117"/>
      <c r="M147" s="4117"/>
      <c r="N147" s="4117"/>
      <c r="O147" s="4253"/>
      <c r="P147" s="4210"/>
      <c r="Q147" s="4223"/>
      <c r="R147" s="4214"/>
      <c r="S147" s="4216"/>
      <c r="T147" s="4146"/>
      <c r="U147" s="4225"/>
      <c r="V147" s="1524">
        <f>0+4271940</f>
        <v>4271940</v>
      </c>
      <c r="W147" s="2552">
        <v>107</v>
      </c>
      <c r="X147" s="2551" t="s">
        <v>333</v>
      </c>
      <c r="Y147" s="4241"/>
      <c r="Z147" s="4117"/>
      <c r="AA147" s="4135"/>
      <c r="AB147" s="4135"/>
      <c r="AC147" s="4135"/>
      <c r="AD147" s="4135"/>
      <c r="AE147" s="4135"/>
      <c r="AF147" s="4135"/>
      <c r="AG147" s="4135"/>
      <c r="AH147" s="4135"/>
      <c r="AI147" s="4135"/>
      <c r="AJ147" s="4155"/>
      <c r="AK147" s="4135"/>
      <c r="AL147" s="4135"/>
      <c r="AM147" s="4155"/>
      <c r="AN147" s="4135"/>
      <c r="AO147" s="4239"/>
      <c r="AP147" s="4239"/>
      <c r="AQ147" s="4227"/>
    </row>
    <row r="148" spans="1:45" ht="31.5" customHeight="1" x14ac:dyDescent="0.2">
      <c r="A148" s="1267"/>
      <c r="B148" s="1268"/>
      <c r="C148" s="1269"/>
      <c r="D148" s="1268"/>
      <c r="E148" s="1268"/>
      <c r="F148" s="1269"/>
      <c r="G148" s="1270"/>
      <c r="H148" s="1268"/>
      <c r="I148" s="1269"/>
      <c r="J148" s="4117"/>
      <c r="K148" s="4206"/>
      <c r="L148" s="4117"/>
      <c r="M148" s="4117"/>
      <c r="N148" s="4117"/>
      <c r="O148" s="4253"/>
      <c r="P148" s="4210"/>
      <c r="Q148" s="4223"/>
      <c r="R148" s="4214"/>
      <c r="S148" s="4216"/>
      <c r="T148" s="4146"/>
      <c r="U148" s="4224" t="s">
        <v>343</v>
      </c>
      <c r="V148" s="1524">
        <v>33000000</v>
      </c>
      <c r="W148" s="2552">
        <v>61</v>
      </c>
      <c r="X148" s="2513" t="s">
        <v>289</v>
      </c>
      <c r="Y148" s="4241"/>
      <c r="Z148" s="4117"/>
      <c r="AA148" s="4135"/>
      <c r="AB148" s="4135"/>
      <c r="AC148" s="4135"/>
      <c r="AD148" s="4135"/>
      <c r="AE148" s="4135"/>
      <c r="AF148" s="4135"/>
      <c r="AG148" s="4135"/>
      <c r="AH148" s="4135"/>
      <c r="AI148" s="4135"/>
      <c r="AJ148" s="4155"/>
      <c r="AK148" s="4135"/>
      <c r="AL148" s="4135"/>
      <c r="AM148" s="4155"/>
      <c r="AN148" s="4135"/>
      <c r="AO148" s="4239"/>
      <c r="AP148" s="4239"/>
      <c r="AQ148" s="4227"/>
    </row>
    <row r="149" spans="1:45" ht="34.5" customHeight="1" x14ac:dyDescent="0.2">
      <c r="A149" s="1267"/>
      <c r="B149" s="1268"/>
      <c r="C149" s="1269"/>
      <c r="D149" s="1268"/>
      <c r="E149" s="1268"/>
      <c r="F149" s="1269"/>
      <c r="G149" s="1270"/>
      <c r="H149" s="1268"/>
      <c r="I149" s="1269"/>
      <c r="J149" s="4117"/>
      <c r="K149" s="4206"/>
      <c r="L149" s="4117"/>
      <c r="M149" s="4117"/>
      <c r="N149" s="4117"/>
      <c r="O149" s="4253"/>
      <c r="P149" s="4210"/>
      <c r="Q149" s="4223"/>
      <c r="R149" s="4214"/>
      <c r="S149" s="4216"/>
      <c r="T149" s="4146"/>
      <c r="U149" s="4225"/>
      <c r="V149" s="1524">
        <f>0+4271940</f>
        <v>4271940</v>
      </c>
      <c r="W149" s="2552">
        <v>107</v>
      </c>
      <c r="X149" s="2551" t="s">
        <v>333</v>
      </c>
      <c r="Y149" s="4241"/>
      <c r="Z149" s="4117"/>
      <c r="AA149" s="4135"/>
      <c r="AB149" s="4135"/>
      <c r="AC149" s="4135"/>
      <c r="AD149" s="4135"/>
      <c r="AE149" s="4135"/>
      <c r="AF149" s="4135"/>
      <c r="AG149" s="4135"/>
      <c r="AH149" s="4135"/>
      <c r="AI149" s="4135"/>
      <c r="AJ149" s="4155"/>
      <c r="AK149" s="4135"/>
      <c r="AL149" s="4135"/>
      <c r="AM149" s="4155"/>
      <c r="AN149" s="4135"/>
      <c r="AO149" s="4239"/>
      <c r="AP149" s="4239"/>
      <c r="AQ149" s="4227"/>
    </row>
    <row r="150" spans="1:45" ht="24" customHeight="1" x14ac:dyDescent="0.2">
      <c r="A150" s="1267"/>
      <c r="B150" s="1268"/>
      <c r="C150" s="1269"/>
      <c r="D150" s="1268"/>
      <c r="E150" s="1268"/>
      <c r="F150" s="1269"/>
      <c r="G150" s="1270"/>
      <c r="H150" s="1268"/>
      <c r="I150" s="1269"/>
      <c r="J150" s="4117"/>
      <c r="K150" s="4206"/>
      <c r="L150" s="4117"/>
      <c r="M150" s="4117"/>
      <c r="N150" s="4117"/>
      <c r="O150" s="4253"/>
      <c r="P150" s="4210"/>
      <c r="Q150" s="4223"/>
      <c r="R150" s="4214"/>
      <c r="S150" s="4216"/>
      <c r="T150" s="4146"/>
      <c r="U150" s="4224" t="s">
        <v>344</v>
      </c>
      <c r="V150" s="1524">
        <v>600000</v>
      </c>
      <c r="W150" s="2552">
        <v>61</v>
      </c>
      <c r="X150" s="2513" t="s">
        <v>289</v>
      </c>
      <c r="Y150" s="4241"/>
      <c r="Z150" s="4117"/>
      <c r="AA150" s="4135"/>
      <c r="AB150" s="4135"/>
      <c r="AC150" s="4135"/>
      <c r="AD150" s="4135"/>
      <c r="AE150" s="4135"/>
      <c r="AF150" s="4135"/>
      <c r="AG150" s="4135"/>
      <c r="AH150" s="4135"/>
      <c r="AI150" s="4135"/>
      <c r="AJ150" s="4155"/>
      <c r="AK150" s="4135"/>
      <c r="AL150" s="4135"/>
      <c r="AM150" s="4155"/>
      <c r="AN150" s="4135"/>
      <c r="AO150" s="4239"/>
      <c r="AP150" s="4239"/>
      <c r="AQ150" s="4227"/>
    </row>
    <row r="151" spans="1:45" ht="27.75" customHeight="1" x14ac:dyDescent="0.2">
      <c r="A151" s="1267"/>
      <c r="B151" s="1268"/>
      <c r="C151" s="1269"/>
      <c r="D151" s="1268"/>
      <c r="E151" s="1268"/>
      <c r="F151" s="1269"/>
      <c r="G151" s="1270"/>
      <c r="H151" s="1268"/>
      <c r="I151" s="1269"/>
      <c r="J151" s="4117"/>
      <c r="K151" s="4206"/>
      <c r="L151" s="4117"/>
      <c r="M151" s="4117"/>
      <c r="N151" s="4117"/>
      <c r="O151" s="4253"/>
      <c r="P151" s="4210"/>
      <c r="Q151" s="4223"/>
      <c r="R151" s="4214"/>
      <c r="S151" s="4216"/>
      <c r="T151" s="4146"/>
      <c r="U151" s="4225"/>
      <c r="V151" s="1524">
        <f>0+4271940</f>
        <v>4271940</v>
      </c>
      <c r="W151" s="2552">
        <v>107</v>
      </c>
      <c r="X151" s="2551" t="s">
        <v>333</v>
      </c>
      <c r="Y151" s="4241"/>
      <c r="Z151" s="4117"/>
      <c r="AA151" s="4135"/>
      <c r="AB151" s="4135"/>
      <c r="AC151" s="4135"/>
      <c r="AD151" s="4135"/>
      <c r="AE151" s="4135"/>
      <c r="AF151" s="4135"/>
      <c r="AG151" s="4135"/>
      <c r="AH151" s="4135"/>
      <c r="AI151" s="4135"/>
      <c r="AJ151" s="4155"/>
      <c r="AK151" s="4135"/>
      <c r="AL151" s="4135"/>
      <c r="AM151" s="4155"/>
      <c r="AN151" s="4135"/>
      <c r="AO151" s="4239"/>
      <c r="AP151" s="4239"/>
      <c r="AQ151" s="4227"/>
    </row>
    <row r="152" spans="1:45" ht="33.75" customHeight="1" x14ac:dyDescent="0.2">
      <c r="A152" s="1267"/>
      <c r="B152" s="1268"/>
      <c r="C152" s="1269"/>
      <c r="D152" s="1268"/>
      <c r="E152" s="1268"/>
      <c r="F152" s="1269"/>
      <c r="G152" s="1270"/>
      <c r="H152" s="1268"/>
      <c r="I152" s="1269"/>
      <c r="J152" s="4117"/>
      <c r="K152" s="4206"/>
      <c r="L152" s="4117"/>
      <c r="M152" s="4117"/>
      <c r="N152" s="4117"/>
      <c r="O152" s="4253"/>
      <c r="P152" s="4210"/>
      <c r="Q152" s="4223"/>
      <c r="R152" s="4214"/>
      <c r="S152" s="4216"/>
      <c r="T152" s="4146"/>
      <c r="U152" s="4183" t="s">
        <v>345</v>
      </c>
      <c r="V152" s="1524">
        <v>33000000</v>
      </c>
      <c r="W152" s="2552">
        <v>61</v>
      </c>
      <c r="X152" s="2513" t="s">
        <v>289</v>
      </c>
      <c r="Y152" s="4241"/>
      <c r="Z152" s="4117"/>
      <c r="AA152" s="4135"/>
      <c r="AB152" s="4135"/>
      <c r="AC152" s="4135"/>
      <c r="AD152" s="4135"/>
      <c r="AE152" s="4135"/>
      <c r="AF152" s="4135"/>
      <c r="AG152" s="4135"/>
      <c r="AH152" s="4135"/>
      <c r="AI152" s="4135"/>
      <c r="AJ152" s="4155"/>
      <c r="AK152" s="4135"/>
      <c r="AL152" s="4135"/>
      <c r="AM152" s="4155"/>
      <c r="AN152" s="4135"/>
      <c r="AO152" s="4239"/>
      <c r="AP152" s="4239"/>
      <c r="AQ152" s="4227"/>
    </row>
    <row r="153" spans="1:45" ht="35.25" customHeight="1" x14ac:dyDescent="0.2">
      <c r="A153" s="1267"/>
      <c r="B153" s="1268"/>
      <c r="C153" s="1269"/>
      <c r="D153" s="1268"/>
      <c r="E153" s="1268"/>
      <c r="F153" s="1269"/>
      <c r="G153" s="1270"/>
      <c r="H153" s="1268"/>
      <c r="I153" s="1269"/>
      <c r="J153" s="4118"/>
      <c r="K153" s="4207"/>
      <c r="L153" s="4118"/>
      <c r="M153" s="4118"/>
      <c r="N153" s="4118"/>
      <c r="O153" s="4254"/>
      <c r="P153" s="4210"/>
      <c r="Q153" s="4223"/>
      <c r="R153" s="4214"/>
      <c r="S153" s="4216"/>
      <c r="T153" s="4147"/>
      <c r="U153" s="4184"/>
      <c r="V153" s="1524">
        <f>0+4271940</f>
        <v>4271940</v>
      </c>
      <c r="W153" s="2552">
        <v>107</v>
      </c>
      <c r="X153" s="2551" t="s">
        <v>333</v>
      </c>
      <c r="Y153" s="4242"/>
      <c r="Z153" s="4118"/>
      <c r="AA153" s="4135"/>
      <c r="AB153" s="4135"/>
      <c r="AC153" s="4135"/>
      <c r="AD153" s="4135"/>
      <c r="AE153" s="4135"/>
      <c r="AF153" s="4135"/>
      <c r="AG153" s="4135"/>
      <c r="AH153" s="4135"/>
      <c r="AI153" s="4135"/>
      <c r="AJ153" s="4155"/>
      <c r="AK153" s="4135"/>
      <c r="AL153" s="4135"/>
      <c r="AM153" s="4155"/>
      <c r="AN153" s="4136"/>
      <c r="AO153" s="4239"/>
      <c r="AP153" s="4239"/>
      <c r="AQ153" s="4228"/>
    </row>
    <row r="154" spans="1:45" ht="33.75" customHeight="1" x14ac:dyDescent="0.2">
      <c r="A154" s="1267"/>
      <c r="B154" s="1268"/>
      <c r="C154" s="1269"/>
      <c r="D154" s="1268"/>
      <c r="E154" s="1268"/>
      <c r="F154" s="1269"/>
      <c r="G154" s="1270"/>
      <c r="H154" s="1268"/>
      <c r="I154" s="1269"/>
      <c r="J154" s="4116">
        <v>146</v>
      </c>
      <c r="K154" s="4215" t="s">
        <v>346</v>
      </c>
      <c r="L154" s="4116" t="s">
        <v>169</v>
      </c>
      <c r="M154" s="4116">
        <v>1</v>
      </c>
      <c r="N154" s="2495"/>
      <c r="O154" s="4116" t="s">
        <v>347</v>
      </c>
      <c r="P154" s="4120" t="s">
        <v>348</v>
      </c>
      <c r="Q154" s="4246">
        <v>1</v>
      </c>
      <c r="R154" s="4248">
        <f>SUM(V154:V177)</f>
        <v>218028925</v>
      </c>
      <c r="S154" s="4251" t="s">
        <v>349</v>
      </c>
      <c r="T154" s="4256" t="s">
        <v>350</v>
      </c>
      <c r="U154" s="4224" t="s">
        <v>351</v>
      </c>
      <c r="V154" s="2592">
        <v>10000000</v>
      </c>
      <c r="W154" s="2552">
        <v>61</v>
      </c>
      <c r="X154" s="2513" t="s">
        <v>289</v>
      </c>
      <c r="Y154" s="4243">
        <v>292684</v>
      </c>
      <c r="Z154" s="4129">
        <v>282326</v>
      </c>
      <c r="AA154" s="4134">
        <v>135912</v>
      </c>
      <c r="AB154" s="4134">
        <v>45122</v>
      </c>
      <c r="AC154" s="4134">
        <f>SUM(AC130)</f>
        <v>307101</v>
      </c>
      <c r="AD154" s="4134">
        <f>SUM(AD130)</f>
        <v>86875</v>
      </c>
      <c r="AE154" s="4134">
        <v>2145</v>
      </c>
      <c r="AF154" s="4134">
        <v>12718</v>
      </c>
      <c r="AG154" s="4134">
        <v>26</v>
      </c>
      <c r="AH154" s="4134">
        <v>37</v>
      </c>
      <c r="AI154" s="4134" t="s">
        <v>177</v>
      </c>
      <c r="AJ154" s="4134" t="s">
        <v>177</v>
      </c>
      <c r="AK154" s="4134">
        <v>53164</v>
      </c>
      <c r="AL154" s="4134">
        <v>16982</v>
      </c>
      <c r="AM154" s="4262">
        <v>60013</v>
      </c>
      <c r="AN154" s="4134">
        <v>575010</v>
      </c>
      <c r="AO154" s="4255">
        <v>43467</v>
      </c>
      <c r="AP154" s="4255">
        <v>43830</v>
      </c>
      <c r="AQ154" s="4226" t="s">
        <v>178</v>
      </c>
      <c r="AR154" s="2594"/>
    </row>
    <row r="155" spans="1:45" ht="45" customHeight="1" x14ac:dyDescent="0.2">
      <c r="A155" s="1267"/>
      <c r="B155" s="1268"/>
      <c r="C155" s="1269"/>
      <c r="D155" s="1268"/>
      <c r="E155" s="1268"/>
      <c r="F155" s="1269"/>
      <c r="G155" s="1270"/>
      <c r="H155" s="1268"/>
      <c r="I155" s="1269"/>
      <c r="J155" s="4117"/>
      <c r="K155" s="4216"/>
      <c r="L155" s="4117"/>
      <c r="M155" s="4117"/>
      <c r="N155" s="2496"/>
      <c r="O155" s="4117"/>
      <c r="P155" s="4120"/>
      <c r="Q155" s="4246"/>
      <c r="R155" s="4249"/>
      <c r="S155" s="4251"/>
      <c r="T155" s="4257"/>
      <c r="U155" s="4244"/>
      <c r="V155" s="2592">
        <v>35458897</v>
      </c>
      <c r="W155" s="2552">
        <v>113</v>
      </c>
      <c r="X155" s="2513" t="s">
        <v>352</v>
      </c>
      <c r="Y155" s="4243"/>
      <c r="Z155" s="4129"/>
      <c r="AA155" s="4135"/>
      <c r="AB155" s="4135"/>
      <c r="AC155" s="4135"/>
      <c r="AD155" s="4135"/>
      <c r="AE155" s="4135"/>
      <c r="AF155" s="4135"/>
      <c r="AG155" s="4135"/>
      <c r="AH155" s="4135"/>
      <c r="AI155" s="4135"/>
      <c r="AJ155" s="4135"/>
      <c r="AK155" s="4135"/>
      <c r="AL155" s="4135"/>
      <c r="AM155" s="4263"/>
      <c r="AN155" s="4135"/>
      <c r="AO155" s="4255"/>
      <c r="AP155" s="4255"/>
      <c r="AQ155" s="4227"/>
      <c r="AR155" s="2594"/>
    </row>
    <row r="156" spans="1:45" ht="28.5" customHeight="1" x14ac:dyDescent="0.2">
      <c r="A156" s="1267"/>
      <c r="B156" s="1268"/>
      <c r="C156" s="1269"/>
      <c r="D156" s="1268"/>
      <c r="E156" s="1268"/>
      <c r="F156" s="1269"/>
      <c r="G156" s="1270"/>
      <c r="H156" s="1268"/>
      <c r="I156" s="1269"/>
      <c r="J156" s="4117"/>
      <c r="K156" s="4216"/>
      <c r="L156" s="4117"/>
      <c r="M156" s="4117"/>
      <c r="N156" s="2496"/>
      <c r="O156" s="4117"/>
      <c r="P156" s="4120"/>
      <c r="Q156" s="4246"/>
      <c r="R156" s="4249"/>
      <c r="S156" s="4251"/>
      <c r="T156" s="4257"/>
      <c r="U156" s="4225"/>
      <c r="V156" s="2592">
        <f>4000000-2462634</f>
        <v>1537366</v>
      </c>
      <c r="W156" s="2552">
        <v>114</v>
      </c>
      <c r="X156" s="2513" t="s">
        <v>353</v>
      </c>
      <c r="Y156" s="4243"/>
      <c r="Z156" s="4129"/>
      <c r="AA156" s="4135"/>
      <c r="AB156" s="4135"/>
      <c r="AC156" s="4135"/>
      <c r="AD156" s="4135"/>
      <c r="AE156" s="4135"/>
      <c r="AF156" s="4135"/>
      <c r="AG156" s="4135"/>
      <c r="AH156" s="4135"/>
      <c r="AI156" s="4135"/>
      <c r="AJ156" s="4135"/>
      <c r="AK156" s="4135"/>
      <c r="AL156" s="4135"/>
      <c r="AM156" s="4263"/>
      <c r="AN156" s="4135"/>
      <c r="AO156" s="4255"/>
      <c r="AP156" s="4255"/>
      <c r="AQ156" s="4227"/>
      <c r="AR156" s="2594"/>
    </row>
    <row r="157" spans="1:45" ht="33.75" customHeight="1" x14ac:dyDescent="0.2">
      <c r="A157" s="1267"/>
      <c r="B157" s="1268"/>
      <c r="C157" s="1269"/>
      <c r="D157" s="1268"/>
      <c r="E157" s="1268"/>
      <c r="F157" s="1269"/>
      <c r="G157" s="1270"/>
      <c r="H157" s="1268"/>
      <c r="I157" s="1269"/>
      <c r="J157" s="4117"/>
      <c r="K157" s="4216"/>
      <c r="L157" s="4117"/>
      <c r="M157" s="4117"/>
      <c r="N157" s="2496"/>
      <c r="O157" s="4117"/>
      <c r="P157" s="4120"/>
      <c r="Q157" s="4246"/>
      <c r="R157" s="4249"/>
      <c r="S157" s="4251"/>
      <c r="T157" s="4257"/>
      <c r="U157" s="4224" t="s">
        <v>354</v>
      </c>
      <c r="V157" s="2592">
        <v>1750000</v>
      </c>
      <c r="W157" s="2552">
        <v>61</v>
      </c>
      <c r="X157" s="2513" t="s">
        <v>289</v>
      </c>
      <c r="Y157" s="4243"/>
      <c r="Z157" s="4129"/>
      <c r="AA157" s="4135"/>
      <c r="AB157" s="4135"/>
      <c r="AC157" s="4135"/>
      <c r="AD157" s="4135"/>
      <c r="AE157" s="4135"/>
      <c r="AF157" s="4135"/>
      <c r="AG157" s="4135"/>
      <c r="AH157" s="4135"/>
      <c r="AI157" s="4135"/>
      <c r="AJ157" s="4135"/>
      <c r="AK157" s="4135"/>
      <c r="AL157" s="4135"/>
      <c r="AM157" s="4263"/>
      <c r="AN157" s="4135"/>
      <c r="AO157" s="4255"/>
      <c r="AP157" s="4255"/>
      <c r="AQ157" s="4227"/>
      <c r="AR157" s="2594"/>
    </row>
    <row r="158" spans="1:45" ht="33.75" customHeight="1" x14ac:dyDescent="0.2">
      <c r="A158" s="1267"/>
      <c r="B158" s="1268"/>
      <c r="C158" s="1269"/>
      <c r="D158" s="1268"/>
      <c r="E158" s="1268"/>
      <c r="F158" s="1269"/>
      <c r="G158" s="1270"/>
      <c r="H158" s="1268"/>
      <c r="I158" s="1269"/>
      <c r="J158" s="4117"/>
      <c r="K158" s="4216"/>
      <c r="L158" s="4117"/>
      <c r="M158" s="4117"/>
      <c r="N158" s="2496"/>
      <c r="O158" s="4117"/>
      <c r="P158" s="4120"/>
      <c r="Q158" s="4246"/>
      <c r="R158" s="4249"/>
      <c r="S158" s="4251"/>
      <c r="T158" s="4257"/>
      <c r="U158" s="4244"/>
      <c r="V158" s="2592">
        <f>3000000+4541103</f>
        <v>7541103</v>
      </c>
      <c r="W158" s="2552">
        <v>113</v>
      </c>
      <c r="X158" s="2513" t="s">
        <v>355</v>
      </c>
      <c r="Y158" s="4243"/>
      <c r="Z158" s="4129"/>
      <c r="AA158" s="4135"/>
      <c r="AB158" s="4135"/>
      <c r="AC158" s="4135"/>
      <c r="AD158" s="4135"/>
      <c r="AE158" s="4135"/>
      <c r="AF158" s="4135"/>
      <c r="AG158" s="4135"/>
      <c r="AH158" s="4135"/>
      <c r="AI158" s="4135"/>
      <c r="AJ158" s="4135"/>
      <c r="AK158" s="4135"/>
      <c r="AL158" s="4135"/>
      <c r="AM158" s="4263"/>
      <c r="AN158" s="4135"/>
      <c r="AO158" s="4255"/>
      <c r="AP158" s="4255"/>
      <c r="AQ158" s="4227"/>
      <c r="AR158" s="2594"/>
    </row>
    <row r="159" spans="1:45" ht="33.75" customHeight="1" x14ac:dyDescent="0.2">
      <c r="A159" s="1267"/>
      <c r="B159" s="1268"/>
      <c r="C159" s="1269"/>
      <c r="D159" s="1268"/>
      <c r="E159" s="1268"/>
      <c r="F159" s="1269"/>
      <c r="G159" s="1270"/>
      <c r="H159" s="1268"/>
      <c r="I159" s="1269"/>
      <c r="J159" s="4117"/>
      <c r="K159" s="4216"/>
      <c r="L159" s="4117"/>
      <c r="M159" s="4117"/>
      <c r="N159" s="2496"/>
      <c r="O159" s="4117"/>
      <c r="P159" s="4120"/>
      <c r="Q159" s="4246"/>
      <c r="R159" s="4249"/>
      <c r="S159" s="4251"/>
      <c r="T159" s="4257"/>
      <c r="U159" s="4244"/>
      <c r="V159" s="2592">
        <v>250000</v>
      </c>
      <c r="W159" s="2552">
        <v>114</v>
      </c>
      <c r="X159" s="2513" t="s">
        <v>353</v>
      </c>
      <c r="Y159" s="4243"/>
      <c r="Z159" s="4129"/>
      <c r="AA159" s="4135"/>
      <c r="AB159" s="4135"/>
      <c r="AC159" s="4135"/>
      <c r="AD159" s="4135"/>
      <c r="AE159" s="4135"/>
      <c r="AF159" s="4135"/>
      <c r="AG159" s="4135"/>
      <c r="AH159" s="4135"/>
      <c r="AI159" s="4135"/>
      <c r="AJ159" s="4135"/>
      <c r="AK159" s="4135"/>
      <c r="AL159" s="4135"/>
      <c r="AM159" s="4263"/>
      <c r="AN159" s="4135"/>
      <c r="AO159" s="4255"/>
      <c r="AP159" s="4255"/>
      <c r="AQ159" s="4227"/>
      <c r="AR159" s="2594"/>
    </row>
    <row r="160" spans="1:45" ht="33.75" customHeight="1" x14ac:dyDescent="0.2">
      <c r="A160" s="1267"/>
      <c r="B160" s="1268"/>
      <c r="C160" s="1269"/>
      <c r="D160" s="1268"/>
      <c r="E160" s="1268"/>
      <c r="F160" s="1269"/>
      <c r="G160" s="1270"/>
      <c r="H160" s="1268"/>
      <c r="I160" s="1269"/>
      <c r="J160" s="4117"/>
      <c r="K160" s="4216"/>
      <c r="L160" s="4117"/>
      <c r="M160" s="4117"/>
      <c r="N160" s="2496"/>
      <c r="O160" s="4117"/>
      <c r="P160" s="4120"/>
      <c r="Q160" s="4246"/>
      <c r="R160" s="4249"/>
      <c r="S160" s="4251"/>
      <c r="T160" s="4257"/>
      <c r="U160" s="4225"/>
      <c r="V160" s="2592">
        <v>3000000</v>
      </c>
      <c r="W160" s="2552">
        <v>98</v>
      </c>
      <c r="X160" s="2513" t="s">
        <v>356</v>
      </c>
      <c r="Y160" s="4243"/>
      <c r="Z160" s="4129"/>
      <c r="AA160" s="4135"/>
      <c r="AB160" s="4135"/>
      <c r="AC160" s="4135"/>
      <c r="AD160" s="4135"/>
      <c r="AE160" s="4135"/>
      <c r="AF160" s="4135"/>
      <c r="AG160" s="4135"/>
      <c r="AH160" s="4135"/>
      <c r="AI160" s="4135"/>
      <c r="AJ160" s="4135"/>
      <c r="AK160" s="4135"/>
      <c r="AL160" s="4135"/>
      <c r="AM160" s="4263"/>
      <c r="AN160" s="4135"/>
      <c r="AO160" s="4255"/>
      <c r="AP160" s="4255"/>
      <c r="AQ160" s="4227"/>
      <c r="AR160" s="1372"/>
      <c r="AS160" s="2593"/>
    </row>
    <row r="161" spans="1:45" ht="51.75" customHeight="1" x14ac:dyDescent="0.2">
      <c r="A161" s="1267"/>
      <c r="B161" s="1268"/>
      <c r="C161" s="1269"/>
      <c r="D161" s="1268"/>
      <c r="E161" s="1268"/>
      <c r="F161" s="1269"/>
      <c r="G161" s="1270"/>
      <c r="H161" s="1268"/>
      <c r="I161" s="1269"/>
      <c r="J161" s="4117"/>
      <c r="K161" s="4216"/>
      <c r="L161" s="4117"/>
      <c r="M161" s="4117"/>
      <c r="N161" s="1271" t="s">
        <v>357</v>
      </c>
      <c r="O161" s="4117"/>
      <c r="P161" s="4120"/>
      <c r="Q161" s="4246"/>
      <c r="R161" s="4249"/>
      <c r="S161" s="4251"/>
      <c r="T161" s="4257"/>
      <c r="U161" s="1534" t="s">
        <v>358</v>
      </c>
      <c r="V161" s="2554">
        <v>8993531</v>
      </c>
      <c r="W161" s="2552">
        <v>113</v>
      </c>
      <c r="X161" s="2513" t="s">
        <v>352</v>
      </c>
      <c r="Y161" s="4243"/>
      <c r="Z161" s="4129"/>
      <c r="AA161" s="4135"/>
      <c r="AB161" s="4135"/>
      <c r="AC161" s="4135"/>
      <c r="AD161" s="4135"/>
      <c r="AE161" s="4135"/>
      <c r="AF161" s="4135"/>
      <c r="AG161" s="4135"/>
      <c r="AH161" s="4135"/>
      <c r="AI161" s="4135"/>
      <c r="AJ161" s="4135"/>
      <c r="AK161" s="4135"/>
      <c r="AL161" s="4135"/>
      <c r="AM161" s="4263"/>
      <c r="AN161" s="4135"/>
      <c r="AO161" s="4255"/>
      <c r="AP161" s="4255"/>
      <c r="AQ161" s="4227"/>
      <c r="AR161" s="2594"/>
      <c r="AS161" s="2593"/>
    </row>
    <row r="162" spans="1:45" ht="42" customHeight="1" x14ac:dyDescent="0.2">
      <c r="A162" s="1267"/>
      <c r="B162" s="1268"/>
      <c r="C162" s="1269"/>
      <c r="D162" s="1268"/>
      <c r="E162" s="1268"/>
      <c r="F162" s="1269"/>
      <c r="G162" s="1270"/>
      <c r="H162" s="1268"/>
      <c r="I162" s="1269"/>
      <c r="J162" s="4117"/>
      <c r="K162" s="4216"/>
      <c r="L162" s="4117"/>
      <c r="M162" s="4117"/>
      <c r="N162" s="1271" t="s">
        <v>359</v>
      </c>
      <c r="O162" s="4117"/>
      <c r="P162" s="4120"/>
      <c r="Q162" s="4246"/>
      <c r="R162" s="4249"/>
      <c r="S162" s="4251"/>
      <c r="T162" s="4257"/>
      <c r="U162" s="4224" t="s">
        <v>360</v>
      </c>
      <c r="V162" s="2554">
        <v>500000</v>
      </c>
      <c r="W162" s="2552">
        <v>61</v>
      </c>
      <c r="X162" s="2513" t="s">
        <v>289</v>
      </c>
      <c r="Y162" s="4243"/>
      <c r="Z162" s="4129"/>
      <c r="AA162" s="4135"/>
      <c r="AB162" s="4135"/>
      <c r="AC162" s="4135"/>
      <c r="AD162" s="4135"/>
      <c r="AE162" s="4135"/>
      <c r="AF162" s="4135"/>
      <c r="AG162" s="4135"/>
      <c r="AH162" s="4135"/>
      <c r="AI162" s="4135"/>
      <c r="AJ162" s="4135"/>
      <c r="AK162" s="4135"/>
      <c r="AL162" s="4135"/>
      <c r="AM162" s="4263"/>
      <c r="AN162" s="4135"/>
      <c r="AO162" s="4255"/>
      <c r="AP162" s="4255"/>
      <c r="AQ162" s="4227"/>
      <c r="AS162" s="2593"/>
    </row>
    <row r="163" spans="1:45" ht="24" customHeight="1" x14ac:dyDescent="0.2">
      <c r="A163" s="1267"/>
      <c r="B163" s="1268"/>
      <c r="C163" s="1269"/>
      <c r="D163" s="1268"/>
      <c r="E163" s="1268"/>
      <c r="F163" s="1269"/>
      <c r="G163" s="1270"/>
      <c r="H163" s="1268"/>
      <c r="I163" s="1269"/>
      <c r="J163" s="4117"/>
      <c r="K163" s="4216"/>
      <c r="L163" s="4117"/>
      <c r="M163" s="4117"/>
      <c r="N163" s="1271"/>
      <c r="O163" s="4117"/>
      <c r="P163" s="4120"/>
      <c r="Q163" s="4246"/>
      <c r="R163" s="4249"/>
      <c r="S163" s="4251"/>
      <c r="T163" s="4257"/>
      <c r="U163" s="4244"/>
      <c r="V163" s="2554">
        <v>1911543</v>
      </c>
      <c r="W163" s="2552">
        <v>113</v>
      </c>
      <c r="X163" s="2513" t="s">
        <v>361</v>
      </c>
      <c r="Y163" s="4243"/>
      <c r="Z163" s="4129"/>
      <c r="AA163" s="4135"/>
      <c r="AB163" s="4135"/>
      <c r="AC163" s="4135"/>
      <c r="AD163" s="4135"/>
      <c r="AE163" s="4135"/>
      <c r="AF163" s="4135"/>
      <c r="AG163" s="4135"/>
      <c r="AH163" s="4135"/>
      <c r="AI163" s="4135"/>
      <c r="AJ163" s="4135"/>
      <c r="AK163" s="4135"/>
      <c r="AL163" s="4135"/>
      <c r="AM163" s="4263"/>
      <c r="AN163" s="4135"/>
      <c r="AO163" s="4255"/>
      <c r="AP163" s="4255"/>
      <c r="AQ163" s="4227"/>
      <c r="AS163" s="2593"/>
    </row>
    <row r="164" spans="1:45" ht="24.75" customHeight="1" x14ac:dyDescent="0.2">
      <c r="A164" s="1267"/>
      <c r="B164" s="1268"/>
      <c r="C164" s="1269"/>
      <c r="D164" s="1268"/>
      <c r="E164" s="1268"/>
      <c r="F164" s="1269"/>
      <c r="G164" s="1270"/>
      <c r="H164" s="1268"/>
      <c r="I164" s="1269"/>
      <c r="J164" s="4117"/>
      <c r="K164" s="4216"/>
      <c r="L164" s="4117"/>
      <c r="M164" s="4117"/>
      <c r="N164" s="1271"/>
      <c r="O164" s="4117"/>
      <c r="P164" s="4120"/>
      <c r="Q164" s="4246"/>
      <c r="R164" s="4249"/>
      <c r="S164" s="4251"/>
      <c r="T164" s="4258"/>
      <c r="U164" s="4225"/>
      <c r="V164" s="2554">
        <v>193819</v>
      </c>
      <c r="W164" s="2552">
        <v>114</v>
      </c>
      <c r="X164" s="2513" t="s">
        <v>362</v>
      </c>
      <c r="Y164" s="4243"/>
      <c r="Z164" s="4129"/>
      <c r="AA164" s="4135"/>
      <c r="AB164" s="4135"/>
      <c r="AC164" s="4135"/>
      <c r="AD164" s="4135"/>
      <c r="AE164" s="4135"/>
      <c r="AF164" s="4135"/>
      <c r="AG164" s="4135"/>
      <c r="AH164" s="4135"/>
      <c r="AI164" s="4135"/>
      <c r="AJ164" s="4135"/>
      <c r="AK164" s="4135"/>
      <c r="AL164" s="4135"/>
      <c r="AM164" s="4263"/>
      <c r="AN164" s="4135"/>
      <c r="AO164" s="4255"/>
      <c r="AP164" s="4255"/>
      <c r="AQ164" s="4227"/>
      <c r="AS164" s="2593"/>
    </row>
    <row r="165" spans="1:45" ht="28.5" customHeight="1" x14ac:dyDescent="0.2">
      <c r="A165" s="1267"/>
      <c r="B165" s="1268"/>
      <c r="C165" s="1269"/>
      <c r="D165" s="1268"/>
      <c r="E165" s="1268"/>
      <c r="F165" s="1269"/>
      <c r="G165" s="1270"/>
      <c r="H165" s="1268"/>
      <c r="I165" s="1269"/>
      <c r="J165" s="4117"/>
      <c r="K165" s="4216"/>
      <c r="L165" s="4117"/>
      <c r="M165" s="4117"/>
      <c r="N165" s="1272" t="s">
        <v>363</v>
      </c>
      <c r="O165" s="4117"/>
      <c r="P165" s="4120"/>
      <c r="Q165" s="4246"/>
      <c r="R165" s="4249"/>
      <c r="S165" s="4251"/>
      <c r="T165" s="4256" t="s">
        <v>364</v>
      </c>
      <c r="U165" s="4224" t="s">
        <v>365</v>
      </c>
      <c r="V165" s="2554">
        <v>1750000</v>
      </c>
      <c r="W165" s="2552">
        <v>61</v>
      </c>
      <c r="X165" s="2513" t="s">
        <v>289</v>
      </c>
      <c r="Y165" s="4243"/>
      <c r="Z165" s="4129"/>
      <c r="AA165" s="4135"/>
      <c r="AB165" s="4135"/>
      <c r="AC165" s="4135"/>
      <c r="AD165" s="4135"/>
      <c r="AE165" s="4135"/>
      <c r="AF165" s="4135"/>
      <c r="AG165" s="4135"/>
      <c r="AH165" s="4135"/>
      <c r="AI165" s="4135"/>
      <c r="AJ165" s="4135"/>
      <c r="AK165" s="4135"/>
      <c r="AL165" s="4135"/>
      <c r="AM165" s="4263"/>
      <c r="AN165" s="4135"/>
      <c r="AO165" s="4255"/>
      <c r="AP165" s="4255"/>
      <c r="AQ165" s="4227"/>
      <c r="AS165" s="2593"/>
    </row>
    <row r="166" spans="1:45" ht="30" customHeight="1" x14ac:dyDescent="0.2">
      <c r="A166" s="1267"/>
      <c r="B166" s="1268"/>
      <c r="C166" s="1269"/>
      <c r="D166" s="1268"/>
      <c r="E166" s="1268"/>
      <c r="F166" s="1269"/>
      <c r="G166" s="1270"/>
      <c r="H166" s="1268"/>
      <c r="I166" s="1269"/>
      <c r="J166" s="4117"/>
      <c r="K166" s="4216"/>
      <c r="L166" s="4117"/>
      <c r="M166" s="4117"/>
      <c r="N166" s="1272"/>
      <c r="O166" s="4117"/>
      <c r="P166" s="4120"/>
      <c r="Q166" s="4246"/>
      <c r="R166" s="4249"/>
      <c r="S166" s="4251"/>
      <c r="T166" s="4257"/>
      <c r="U166" s="4244"/>
      <c r="V166" s="2554">
        <v>3000000</v>
      </c>
      <c r="W166" s="2552">
        <v>113</v>
      </c>
      <c r="X166" s="2513" t="s">
        <v>355</v>
      </c>
      <c r="Y166" s="4243"/>
      <c r="Z166" s="4129"/>
      <c r="AA166" s="4135"/>
      <c r="AB166" s="4135"/>
      <c r="AC166" s="4135"/>
      <c r="AD166" s="4135"/>
      <c r="AE166" s="4135"/>
      <c r="AF166" s="4135"/>
      <c r="AG166" s="4135"/>
      <c r="AH166" s="4135"/>
      <c r="AI166" s="4135"/>
      <c r="AJ166" s="4135"/>
      <c r="AK166" s="4135"/>
      <c r="AL166" s="4135"/>
      <c r="AM166" s="4263"/>
      <c r="AN166" s="4135"/>
      <c r="AO166" s="4255"/>
      <c r="AP166" s="4255"/>
      <c r="AQ166" s="4227"/>
      <c r="AS166" s="2593"/>
    </row>
    <row r="167" spans="1:45" ht="27" customHeight="1" x14ac:dyDescent="0.2">
      <c r="A167" s="1267"/>
      <c r="B167" s="1268"/>
      <c r="C167" s="1269"/>
      <c r="D167" s="1268"/>
      <c r="E167" s="1268"/>
      <c r="F167" s="1269"/>
      <c r="G167" s="1270"/>
      <c r="H167" s="1268"/>
      <c r="I167" s="1269"/>
      <c r="J167" s="4117"/>
      <c r="K167" s="4216"/>
      <c r="L167" s="4117"/>
      <c r="M167" s="4117"/>
      <c r="N167" s="1272" t="s">
        <v>366</v>
      </c>
      <c r="O167" s="4117"/>
      <c r="P167" s="4120"/>
      <c r="Q167" s="4246"/>
      <c r="R167" s="4249"/>
      <c r="S167" s="4251"/>
      <c r="T167" s="4257"/>
      <c r="U167" s="4225"/>
      <c r="V167" s="2592">
        <v>250000</v>
      </c>
      <c r="W167" s="2510">
        <v>114</v>
      </c>
      <c r="X167" s="1531" t="s">
        <v>362</v>
      </c>
      <c r="Y167" s="4243"/>
      <c r="Z167" s="4129"/>
      <c r="AA167" s="4135"/>
      <c r="AB167" s="4135"/>
      <c r="AC167" s="4135"/>
      <c r="AD167" s="4135"/>
      <c r="AE167" s="4135"/>
      <c r="AF167" s="4135"/>
      <c r="AG167" s="4135"/>
      <c r="AH167" s="4135"/>
      <c r="AI167" s="4135"/>
      <c r="AJ167" s="4135"/>
      <c r="AK167" s="4135"/>
      <c r="AL167" s="4135"/>
      <c r="AM167" s="4263"/>
      <c r="AN167" s="4135"/>
      <c r="AO167" s="4255"/>
      <c r="AP167" s="4255"/>
      <c r="AQ167" s="4227"/>
      <c r="AS167" s="2593"/>
    </row>
    <row r="168" spans="1:45" ht="27.75" customHeight="1" x14ac:dyDescent="0.2">
      <c r="A168" s="1267"/>
      <c r="B168" s="1268"/>
      <c r="C168" s="1269"/>
      <c r="D168" s="1268"/>
      <c r="E168" s="1268"/>
      <c r="F168" s="1269"/>
      <c r="G168" s="1270"/>
      <c r="H168" s="1268"/>
      <c r="I168" s="1269"/>
      <c r="J168" s="4117"/>
      <c r="K168" s="4216"/>
      <c r="L168" s="4117"/>
      <c r="M168" s="4117"/>
      <c r="N168" s="2496"/>
      <c r="O168" s="4117"/>
      <c r="P168" s="4120"/>
      <c r="Q168" s="4246"/>
      <c r="R168" s="4249"/>
      <c r="S168" s="4251"/>
      <c r="T168" s="4257"/>
      <c r="U168" s="4224" t="s">
        <v>367</v>
      </c>
      <c r="V168" s="2592">
        <v>10000000</v>
      </c>
      <c r="W168" s="2510">
        <v>61</v>
      </c>
      <c r="X168" s="1531" t="s">
        <v>289</v>
      </c>
      <c r="Y168" s="4243"/>
      <c r="Z168" s="4129"/>
      <c r="AA168" s="4135"/>
      <c r="AB168" s="4135"/>
      <c r="AC168" s="4135"/>
      <c r="AD168" s="4135"/>
      <c r="AE168" s="4135"/>
      <c r="AF168" s="4135"/>
      <c r="AG168" s="4135"/>
      <c r="AH168" s="4135"/>
      <c r="AI168" s="4135"/>
      <c r="AJ168" s="4135"/>
      <c r="AK168" s="4135"/>
      <c r="AL168" s="4135"/>
      <c r="AM168" s="4263"/>
      <c r="AN168" s="4135"/>
      <c r="AO168" s="4255"/>
      <c r="AP168" s="4255"/>
      <c r="AQ168" s="4227"/>
      <c r="AS168" s="2593"/>
    </row>
    <row r="169" spans="1:45" ht="24" customHeight="1" x14ac:dyDescent="0.2">
      <c r="A169" s="1267"/>
      <c r="B169" s="1268"/>
      <c r="C169" s="1269"/>
      <c r="D169" s="1268"/>
      <c r="E169" s="1268"/>
      <c r="F169" s="1269"/>
      <c r="G169" s="1270"/>
      <c r="H169" s="1268"/>
      <c r="I169" s="1269"/>
      <c r="J169" s="4117"/>
      <c r="K169" s="4216"/>
      <c r="L169" s="4117"/>
      <c r="M169" s="4117"/>
      <c r="N169" s="2496"/>
      <c r="O169" s="4117"/>
      <c r="P169" s="4120"/>
      <c r="Q169" s="4246"/>
      <c r="R169" s="4249"/>
      <c r="S169" s="4251"/>
      <c r="T169" s="4257"/>
      <c r="U169" s="4244"/>
      <c r="V169" s="2592">
        <f>40000000+10719633</f>
        <v>50719633</v>
      </c>
      <c r="W169" s="2510">
        <v>113</v>
      </c>
      <c r="X169" s="1531" t="s">
        <v>355</v>
      </c>
      <c r="Y169" s="4243"/>
      <c r="Z169" s="4129"/>
      <c r="AA169" s="4135"/>
      <c r="AB169" s="4135"/>
      <c r="AC169" s="4135"/>
      <c r="AD169" s="4135"/>
      <c r="AE169" s="4135"/>
      <c r="AF169" s="4135"/>
      <c r="AG169" s="4135"/>
      <c r="AH169" s="4135"/>
      <c r="AI169" s="4135"/>
      <c r="AJ169" s="4135"/>
      <c r="AK169" s="4135"/>
      <c r="AL169" s="4135"/>
      <c r="AM169" s="4263"/>
      <c r="AN169" s="4135"/>
      <c r="AO169" s="4255"/>
      <c r="AP169" s="4255"/>
      <c r="AQ169" s="4227"/>
      <c r="AS169" s="2593"/>
    </row>
    <row r="170" spans="1:45" ht="25.5" customHeight="1" x14ac:dyDescent="0.2">
      <c r="A170" s="1267"/>
      <c r="B170" s="1268"/>
      <c r="C170" s="1269"/>
      <c r="D170" s="1268"/>
      <c r="E170" s="1268"/>
      <c r="F170" s="1269"/>
      <c r="G170" s="1270"/>
      <c r="H170" s="1268"/>
      <c r="I170" s="1269"/>
      <c r="J170" s="4117"/>
      <c r="K170" s="4216"/>
      <c r="L170" s="4117"/>
      <c r="M170" s="4117"/>
      <c r="N170" s="2496"/>
      <c r="O170" s="4117"/>
      <c r="P170" s="4120"/>
      <c r="Q170" s="4246"/>
      <c r="R170" s="4249"/>
      <c r="S170" s="4251"/>
      <c r="T170" s="4258"/>
      <c r="U170" s="4225"/>
      <c r="V170" s="2592">
        <f>4000000+15427300</f>
        <v>19427300</v>
      </c>
      <c r="W170" s="2510">
        <v>114</v>
      </c>
      <c r="X170" s="1531" t="s">
        <v>362</v>
      </c>
      <c r="Y170" s="4243"/>
      <c r="Z170" s="4129"/>
      <c r="AA170" s="4135"/>
      <c r="AB170" s="4135"/>
      <c r="AC170" s="4135"/>
      <c r="AD170" s="4135"/>
      <c r="AE170" s="4135"/>
      <c r="AF170" s="4135"/>
      <c r="AG170" s="4135"/>
      <c r="AH170" s="4135"/>
      <c r="AI170" s="4135"/>
      <c r="AJ170" s="4135"/>
      <c r="AK170" s="4135"/>
      <c r="AL170" s="4135"/>
      <c r="AM170" s="4263"/>
      <c r="AN170" s="4135"/>
      <c r="AO170" s="4255"/>
      <c r="AP170" s="4255"/>
      <c r="AQ170" s="4227"/>
      <c r="AS170" s="2593"/>
    </row>
    <row r="171" spans="1:45" ht="58.5" customHeight="1" x14ac:dyDescent="0.2">
      <c r="A171" s="1267"/>
      <c r="B171" s="1268"/>
      <c r="C171" s="1269"/>
      <c r="D171" s="1268"/>
      <c r="E171" s="1268"/>
      <c r="F171" s="1269"/>
      <c r="G171" s="1270"/>
      <c r="H171" s="1268"/>
      <c r="I171" s="1269"/>
      <c r="J171" s="4117"/>
      <c r="K171" s="4216"/>
      <c r="L171" s="4117"/>
      <c r="M171" s="4117"/>
      <c r="N171" s="2496"/>
      <c r="O171" s="4117"/>
      <c r="P171" s="4120"/>
      <c r="Q171" s="4246"/>
      <c r="R171" s="4249"/>
      <c r="S171" s="4251"/>
      <c r="T171" s="4259" t="s">
        <v>368</v>
      </c>
      <c r="U171" s="1534" t="s">
        <v>369</v>
      </c>
      <c r="V171" s="2592">
        <v>18000000</v>
      </c>
      <c r="W171" s="2510">
        <v>113</v>
      </c>
      <c r="X171" s="1531" t="s">
        <v>355</v>
      </c>
      <c r="Y171" s="4243"/>
      <c r="Z171" s="4129"/>
      <c r="AA171" s="4135"/>
      <c r="AB171" s="4135"/>
      <c r="AC171" s="4135"/>
      <c r="AD171" s="4135"/>
      <c r="AE171" s="4135"/>
      <c r="AF171" s="4135"/>
      <c r="AG171" s="4135"/>
      <c r="AH171" s="4135"/>
      <c r="AI171" s="4135"/>
      <c r="AJ171" s="4135"/>
      <c r="AK171" s="4135"/>
      <c r="AL171" s="4135"/>
      <c r="AM171" s="4263"/>
      <c r="AN171" s="4135"/>
      <c r="AO171" s="4255"/>
      <c r="AP171" s="4255"/>
      <c r="AQ171" s="4227"/>
      <c r="AS171" s="2593"/>
    </row>
    <row r="172" spans="1:45" ht="27.75" customHeight="1" x14ac:dyDescent="0.2">
      <c r="A172" s="1267"/>
      <c r="B172" s="1268"/>
      <c r="C172" s="1269"/>
      <c r="D172" s="1268"/>
      <c r="E172" s="1268"/>
      <c r="F172" s="1269"/>
      <c r="G172" s="1270"/>
      <c r="H172" s="1268"/>
      <c r="I172" s="1269"/>
      <c r="J172" s="4117"/>
      <c r="K172" s="4216"/>
      <c r="L172" s="4117"/>
      <c r="M172" s="4117"/>
      <c r="N172" s="2496"/>
      <c r="O172" s="4117"/>
      <c r="P172" s="4120"/>
      <c r="Q172" s="4246"/>
      <c r="R172" s="4249"/>
      <c r="S172" s="4251"/>
      <c r="T172" s="4260"/>
      <c r="U172" s="4224" t="s">
        <v>370</v>
      </c>
      <c r="V172" s="2592">
        <v>9000000</v>
      </c>
      <c r="W172" s="2510">
        <v>61</v>
      </c>
      <c r="X172" s="1531" t="s">
        <v>289</v>
      </c>
      <c r="Y172" s="4243"/>
      <c r="Z172" s="4129"/>
      <c r="AA172" s="4135"/>
      <c r="AB172" s="4135"/>
      <c r="AC172" s="4135"/>
      <c r="AD172" s="4135"/>
      <c r="AE172" s="4135"/>
      <c r="AF172" s="4135"/>
      <c r="AG172" s="4135"/>
      <c r="AH172" s="4135"/>
      <c r="AI172" s="4135"/>
      <c r="AJ172" s="4135"/>
      <c r="AK172" s="4135"/>
      <c r="AL172" s="4135"/>
      <c r="AM172" s="4263"/>
      <c r="AN172" s="4135"/>
      <c r="AO172" s="4255"/>
      <c r="AP172" s="4255"/>
      <c r="AQ172" s="4227"/>
      <c r="AS172" s="2593"/>
    </row>
    <row r="173" spans="1:45" ht="26.25" customHeight="1" x14ac:dyDescent="0.2">
      <c r="A173" s="1267"/>
      <c r="B173" s="1268"/>
      <c r="C173" s="1269"/>
      <c r="D173" s="1268"/>
      <c r="E173" s="1268"/>
      <c r="F173" s="1269"/>
      <c r="G173" s="1270"/>
      <c r="H173" s="1268"/>
      <c r="I173" s="1269"/>
      <c r="J173" s="4117"/>
      <c r="K173" s="4216"/>
      <c r="L173" s="4117"/>
      <c r="M173" s="4117"/>
      <c r="N173" s="2496"/>
      <c r="O173" s="4117"/>
      <c r="P173" s="4120"/>
      <c r="Q173" s="4246"/>
      <c r="R173" s="4249"/>
      <c r="S173" s="4251"/>
      <c r="T173" s="4260"/>
      <c r="U173" s="4244"/>
      <c r="V173" s="2592">
        <f>21000000-7589124</f>
        <v>13410876</v>
      </c>
      <c r="W173" s="2510">
        <v>113</v>
      </c>
      <c r="X173" s="1531" t="s">
        <v>361</v>
      </c>
      <c r="Y173" s="4243"/>
      <c r="Z173" s="4129"/>
      <c r="AA173" s="4135"/>
      <c r="AB173" s="4135"/>
      <c r="AC173" s="4135"/>
      <c r="AD173" s="4135"/>
      <c r="AE173" s="4135"/>
      <c r="AF173" s="4135"/>
      <c r="AG173" s="4135"/>
      <c r="AH173" s="4135"/>
      <c r="AI173" s="4135"/>
      <c r="AJ173" s="4135"/>
      <c r="AK173" s="4135"/>
      <c r="AL173" s="4135"/>
      <c r="AM173" s="4263"/>
      <c r="AN173" s="4135"/>
      <c r="AO173" s="4255"/>
      <c r="AP173" s="4255"/>
      <c r="AQ173" s="4227"/>
      <c r="AS173" s="2593"/>
    </row>
    <row r="174" spans="1:45" ht="22.5" customHeight="1" x14ac:dyDescent="0.2">
      <c r="A174" s="1267"/>
      <c r="B174" s="1268"/>
      <c r="C174" s="1269"/>
      <c r="D174" s="1268"/>
      <c r="E174" s="1268"/>
      <c r="F174" s="1269"/>
      <c r="G174" s="1270"/>
      <c r="H174" s="1268"/>
      <c r="I174" s="1269"/>
      <c r="J174" s="4117"/>
      <c r="K174" s="4216"/>
      <c r="L174" s="4117"/>
      <c r="M174" s="4117"/>
      <c r="N174" s="2496"/>
      <c r="O174" s="4117"/>
      <c r="P174" s="4120"/>
      <c r="Q174" s="4246"/>
      <c r="R174" s="4249"/>
      <c r="S174" s="4251"/>
      <c r="T174" s="4260"/>
      <c r="U174" s="4225"/>
      <c r="V174" s="2601">
        <f>5464666-5464666</f>
        <v>0</v>
      </c>
      <c r="W174" s="2510">
        <v>114</v>
      </c>
      <c r="X174" s="1531" t="s">
        <v>362</v>
      </c>
      <c r="Y174" s="4243"/>
      <c r="Z174" s="4129"/>
      <c r="AA174" s="4135"/>
      <c r="AB174" s="4135"/>
      <c r="AC174" s="4135"/>
      <c r="AD174" s="4135"/>
      <c r="AE174" s="4135"/>
      <c r="AF174" s="4135"/>
      <c r="AG174" s="4135"/>
      <c r="AH174" s="4135"/>
      <c r="AI174" s="4135"/>
      <c r="AJ174" s="4135"/>
      <c r="AK174" s="4135"/>
      <c r="AL174" s="4135"/>
      <c r="AM174" s="4263"/>
      <c r="AN174" s="4135"/>
      <c r="AO174" s="4255"/>
      <c r="AP174" s="4255"/>
      <c r="AQ174" s="4227"/>
      <c r="AS174" s="2593"/>
    </row>
    <row r="175" spans="1:45" ht="31.5" customHeight="1" x14ac:dyDescent="0.2">
      <c r="A175" s="1267"/>
      <c r="B175" s="1268"/>
      <c r="C175" s="1269"/>
      <c r="D175" s="1268"/>
      <c r="E175" s="1268"/>
      <c r="F175" s="1269"/>
      <c r="G175" s="1270"/>
      <c r="H175" s="1268"/>
      <c r="I175" s="1269"/>
      <c r="J175" s="4117"/>
      <c r="K175" s="4216"/>
      <c r="L175" s="4117"/>
      <c r="M175" s="4117"/>
      <c r="N175" s="2496"/>
      <c r="O175" s="4117"/>
      <c r="P175" s="4120"/>
      <c r="Q175" s="4246"/>
      <c r="R175" s="4249"/>
      <c r="S175" s="4251"/>
      <c r="T175" s="4260"/>
      <c r="U175" s="4224" t="s">
        <v>371</v>
      </c>
      <c r="V175" s="2592">
        <v>9000000</v>
      </c>
      <c r="W175" s="2510">
        <v>61</v>
      </c>
      <c r="X175" s="1531" t="s">
        <v>289</v>
      </c>
      <c r="Y175" s="4243"/>
      <c r="Z175" s="4129"/>
      <c r="AA175" s="4135"/>
      <c r="AB175" s="4135"/>
      <c r="AC175" s="4135"/>
      <c r="AD175" s="4135"/>
      <c r="AE175" s="4135"/>
      <c r="AF175" s="4135"/>
      <c r="AG175" s="4135"/>
      <c r="AH175" s="4135"/>
      <c r="AI175" s="4135"/>
      <c r="AJ175" s="4135"/>
      <c r="AK175" s="4135"/>
      <c r="AL175" s="4135"/>
      <c r="AM175" s="4263"/>
      <c r="AN175" s="4135"/>
      <c r="AO175" s="4255"/>
      <c r="AP175" s="4255"/>
      <c r="AQ175" s="4227"/>
      <c r="AS175" s="2593"/>
    </row>
    <row r="176" spans="1:45" ht="38.25" customHeight="1" x14ac:dyDescent="0.2">
      <c r="A176" s="1267"/>
      <c r="B176" s="1268"/>
      <c r="C176" s="1269"/>
      <c r="D176" s="1268"/>
      <c r="E176" s="1268"/>
      <c r="F176" s="1269"/>
      <c r="G176" s="1270"/>
      <c r="H176" s="1268"/>
      <c r="I176" s="1269"/>
      <c r="J176" s="4117"/>
      <c r="K176" s="4216"/>
      <c r="L176" s="4117"/>
      <c r="M176" s="4117"/>
      <c r="N176" s="2496"/>
      <c r="O176" s="4117"/>
      <c r="P176" s="4120"/>
      <c r="Q176" s="4246"/>
      <c r="R176" s="4249"/>
      <c r="S176" s="4251"/>
      <c r="T176" s="4260"/>
      <c r="U176" s="4244"/>
      <c r="V176" s="2592">
        <v>12334857</v>
      </c>
      <c r="W176" s="2510">
        <v>113</v>
      </c>
      <c r="X176" s="1531" t="s">
        <v>355</v>
      </c>
      <c r="Y176" s="4243"/>
      <c r="Z176" s="4129"/>
      <c r="AA176" s="4135"/>
      <c r="AB176" s="4135"/>
      <c r="AC176" s="4135"/>
      <c r="AD176" s="4135"/>
      <c r="AE176" s="4135"/>
      <c r="AF176" s="4135"/>
      <c r="AG176" s="4135"/>
      <c r="AH176" s="4135"/>
      <c r="AI176" s="4135"/>
      <c r="AJ176" s="4135"/>
      <c r="AK176" s="4135"/>
      <c r="AL176" s="4135"/>
      <c r="AM176" s="4263"/>
      <c r="AN176" s="4135"/>
      <c r="AO176" s="4255"/>
      <c r="AP176" s="4255"/>
      <c r="AQ176" s="4227"/>
      <c r="AS176" s="2593"/>
    </row>
    <row r="177" spans="1:45" ht="28.5" customHeight="1" x14ac:dyDescent="0.2">
      <c r="A177" s="1267"/>
      <c r="B177" s="1268"/>
      <c r="C177" s="1269"/>
      <c r="D177" s="1268"/>
      <c r="E177" s="1268"/>
      <c r="F177" s="1269"/>
      <c r="G177" s="1273"/>
      <c r="H177" s="1274"/>
      <c r="I177" s="1275"/>
      <c r="J177" s="4118"/>
      <c r="K177" s="4245"/>
      <c r="L177" s="4118"/>
      <c r="M177" s="4118"/>
      <c r="N177" s="2497"/>
      <c r="O177" s="4118"/>
      <c r="P177" s="4121"/>
      <c r="Q177" s="4247"/>
      <c r="R177" s="4250"/>
      <c r="S177" s="4251"/>
      <c r="T177" s="4261"/>
      <c r="U177" s="4225"/>
      <c r="V177" s="2602" t="s">
        <v>2563</v>
      </c>
      <c r="W177" s="2510">
        <v>114</v>
      </c>
      <c r="X177" s="1531" t="s">
        <v>353</v>
      </c>
      <c r="Y177" s="4243"/>
      <c r="Z177" s="4129"/>
      <c r="AA177" s="4136"/>
      <c r="AB177" s="4136"/>
      <c r="AC177" s="4136"/>
      <c r="AD177" s="4136"/>
      <c r="AE177" s="4136"/>
      <c r="AF177" s="4136"/>
      <c r="AG177" s="4136"/>
      <c r="AH177" s="4136"/>
      <c r="AI177" s="4136"/>
      <c r="AJ177" s="4136"/>
      <c r="AK177" s="4136"/>
      <c r="AL177" s="4136"/>
      <c r="AM177" s="4264"/>
      <c r="AN177" s="4136"/>
      <c r="AO177" s="4255"/>
      <c r="AP177" s="4255"/>
      <c r="AQ177" s="4228"/>
      <c r="AS177" s="2593"/>
    </row>
    <row r="178" spans="1:45" ht="38.25" customHeight="1" x14ac:dyDescent="0.2">
      <c r="A178" s="1199"/>
      <c r="B178" s="1200"/>
      <c r="C178" s="1201"/>
      <c r="D178" s="1200"/>
      <c r="E178" s="1200"/>
      <c r="F178" s="1201"/>
      <c r="G178" s="1234">
        <v>41</v>
      </c>
      <c r="H178" s="1205" t="s">
        <v>372</v>
      </c>
      <c r="I178" s="1205"/>
      <c r="J178" s="1205"/>
      <c r="K178" s="1206"/>
      <c r="L178" s="1205"/>
      <c r="M178" s="1205"/>
      <c r="N178" s="1207"/>
      <c r="O178" s="1205"/>
      <c r="P178" s="1206"/>
      <c r="Q178" s="1205"/>
      <c r="R178" s="1235"/>
      <c r="S178" s="1294"/>
      <c r="T178" s="1206"/>
      <c r="U178" s="1206"/>
      <c r="V178" s="4268"/>
      <c r="W178" s="4268"/>
      <c r="X178" s="4269"/>
      <c r="Y178" s="1207"/>
      <c r="Z178" s="1207"/>
      <c r="AA178" s="1207"/>
      <c r="AB178" s="1207"/>
      <c r="AC178" s="1207"/>
      <c r="AD178" s="1207"/>
      <c r="AE178" s="1207"/>
      <c r="AF178" s="1207"/>
      <c r="AG178" s="1207"/>
      <c r="AH178" s="1207"/>
      <c r="AI178" s="1207"/>
      <c r="AJ178" s="1207"/>
      <c r="AK178" s="1207"/>
      <c r="AL178" s="1207"/>
      <c r="AM178" s="1207"/>
      <c r="AN178" s="1207"/>
      <c r="AO178" s="1205"/>
      <c r="AP178" s="1205"/>
      <c r="AQ178" s="1212"/>
      <c r="AS178" s="2593"/>
    </row>
    <row r="179" spans="1:45" ht="27.75" customHeight="1" x14ac:dyDescent="0.2">
      <c r="A179" s="1213"/>
      <c r="B179" s="1214"/>
      <c r="C179" s="1215"/>
      <c r="D179" s="1214"/>
      <c r="E179" s="1214"/>
      <c r="F179" s="1215"/>
      <c r="G179" s="1216"/>
      <c r="H179" s="1217"/>
      <c r="I179" s="1218"/>
      <c r="J179" s="4116">
        <v>147</v>
      </c>
      <c r="K179" s="4119" t="s">
        <v>373</v>
      </c>
      <c r="L179" s="4122" t="s">
        <v>169</v>
      </c>
      <c r="M179" s="4122">
        <v>14</v>
      </c>
      <c r="N179" s="4122" t="s">
        <v>374</v>
      </c>
      <c r="O179" s="4122" t="s">
        <v>375</v>
      </c>
      <c r="P179" s="4119" t="s">
        <v>376</v>
      </c>
      <c r="Q179" s="4139">
        <f>SUM(V179:V182)/R179</f>
        <v>0.48275862068965519</v>
      </c>
      <c r="R179" s="4142">
        <f>SUM(V179:V187)</f>
        <v>29000000</v>
      </c>
      <c r="S179" s="4119" t="s">
        <v>377</v>
      </c>
      <c r="T179" s="4119" t="s">
        <v>378</v>
      </c>
      <c r="U179" s="4224" t="s">
        <v>379</v>
      </c>
      <c r="V179" s="1533">
        <v>6000000</v>
      </c>
      <c r="W179" s="2548">
        <v>61</v>
      </c>
      <c r="X179" s="2513" t="s">
        <v>380</v>
      </c>
      <c r="Y179" s="4265">
        <v>292684</v>
      </c>
      <c r="Z179" s="4122">
        <v>282326</v>
      </c>
      <c r="AA179" s="4134">
        <v>135912</v>
      </c>
      <c r="AB179" s="4134">
        <v>45122</v>
      </c>
      <c r="AC179" s="4134">
        <f>AC154</f>
        <v>307101</v>
      </c>
      <c r="AD179" s="4134">
        <f>AD154</f>
        <v>86875</v>
      </c>
      <c r="AE179" s="4134">
        <v>2145</v>
      </c>
      <c r="AF179" s="4134">
        <v>12718</v>
      </c>
      <c r="AG179" s="4134">
        <v>26</v>
      </c>
      <c r="AH179" s="4134">
        <v>37</v>
      </c>
      <c r="AI179" s="4134" t="s">
        <v>177</v>
      </c>
      <c r="AJ179" s="4134" t="s">
        <v>177</v>
      </c>
      <c r="AK179" s="4134">
        <v>53164</v>
      </c>
      <c r="AL179" s="4134">
        <v>16982</v>
      </c>
      <c r="AM179" s="4134">
        <v>60013</v>
      </c>
      <c r="AN179" s="4134">
        <v>575010</v>
      </c>
      <c r="AO179" s="4148">
        <v>43467</v>
      </c>
      <c r="AP179" s="4148">
        <v>43830</v>
      </c>
      <c r="AQ179" s="4151" t="s">
        <v>178</v>
      </c>
      <c r="AR179" s="2594"/>
      <c r="AS179" s="2593"/>
    </row>
    <row r="180" spans="1:45" ht="24" customHeight="1" x14ac:dyDescent="0.2">
      <c r="A180" s="1213"/>
      <c r="B180" s="1214"/>
      <c r="C180" s="1215"/>
      <c r="D180" s="1214"/>
      <c r="E180" s="1214"/>
      <c r="F180" s="1215"/>
      <c r="G180" s="1222"/>
      <c r="H180" s="1214"/>
      <c r="I180" s="1215"/>
      <c r="J180" s="4117"/>
      <c r="K180" s="4120"/>
      <c r="L180" s="4123"/>
      <c r="M180" s="4123"/>
      <c r="N180" s="4123"/>
      <c r="O180" s="4123"/>
      <c r="P180" s="4120"/>
      <c r="Q180" s="4140"/>
      <c r="R180" s="4143"/>
      <c r="S180" s="4120"/>
      <c r="T180" s="4120"/>
      <c r="U180" s="4225"/>
      <c r="V180" s="1533">
        <v>4000000</v>
      </c>
      <c r="W180" s="2548">
        <v>98</v>
      </c>
      <c r="X180" s="2513" t="s">
        <v>381</v>
      </c>
      <c r="Y180" s="4266"/>
      <c r="Z180" s="4123"/>
      <c r="AA180" s="4135"/>
      <c r="AB180" s="4135"/>
      <c r="AC180" s="4135"/>
      <c r="AD180" s="4135"/>
      <c r="AE180" s="4135"/>
      <c r="AF180" s="4135"/>
      <c r="AG180" s="4135"/>
      <c r="AH180" s="4135"/>
      <c r="AI180" s="4135"/>
      <c r="AJ180" s="4135"/>
      <c r="AK180" s="4135"/>
      <c r="AL180" s="4135"/>
      <c r="AM180" s="4135"/>
      <c r="AN180" s="4135"/>
      <c r="AO180" s="4149"/>
      <c r="AP180" s="4149"/>
      <c r="AQ180" s="4152"/>
      <c r="AR180" s="2594"/>
      <c r="AS180" s="2593"/>
    </row>
    <row r="181" spans="1:45" ht="42.75" x14ac:dyDescent="0.2">
      <c r="A181" s="1213"/>
      <c r="B181" s="1214"/>
      <c r="C181" s="1215"/>
      <c r="D181" s="1214"/>
      <c r="E181" s="1214"/>
      <c r="F181" s="1215"/>
      <c r="G181" s="1222"/>
      <c r="H181" s="1214"/>
      <c r="I181" s="1215"/>
      <c r="J181" s="4117"/>
      <c r="K181" s="4120"/>
      <c r="L181" s="4123"/>
      <c r="M181" s="4123"/>
      <c r="N181" s="4123"/>
      <c r="O181" s="4123"/>
      <c r="P181" s="4120"/>
      <c r="Q181" s="4140"/>
      <c r="R181" s="4143"/>
      <c r="S181" s="4120"/>
      <c r="T181" s="4120"/>
      <c r="U181" s="1534" t="s">
        <v>382</v>
      </c>
      <c r="V181" s="1533">
        <v>2000000</v>
      </c>
      <c r="W181" s="2548">
        <v>61</v>
      </c>
      <c r="X181" s="2513" t="s">
        <v>380</v>
      </c>
      <c r="Y181" s="4266"/>
      <c r="Z181" s="4123"/>
      <c r="AA181" s="4135"/>
      <c r="AB181" s="4135"/>
      <c r="AC181" s="4135"/>
      <c r="AD181" s="4135"/>
      <c r="AE181" s="4135"/>
      <c r="AF181" s="4135"/>
      <c r="AG181" s="4135"/>
      <c r="AH181" s="4135"/>
      <c r="AI181" s="4135"/>
      <c r="AJ181" s="4135"/>
      <c r="AK181" s="4135"/>
      <c r="AL181" s="4135"/>
      <c r="AM181" s="4135"/>
      <c r="AN181" s="4135"/>
      <c r="AO181" s="4149"/>
      <c r="AP181" s="4149"/>
      <c r="AQ181" s="4152"/>
      <c r="AS181" s="2593"/>
    </row>
    <row r="182" spans="1:45" ht="42.75" x14ac:dyDescent="0.2">
      <c r="A182" s="1213"/>
      <c r="B182" s="1214"/>
      <c r="C182" s="1215"/>
      <c r="D182" s="1214"/>
      <c r="E182" s="1214"/>
      <c r="F182" s="1215"/>
      <c r="G182" s="1222"/>
      <c r="H182" s="1214"/>
      <c r="I182" s="1215"/>
      <c r="J182" s="4118"/>
      <c r="K182" s="4121"/>
      <c r="L182" s="4124"/>
      <c r="M182" s="4124"/>
      <c r="N182" s="4123"/>
      <c r="O182" s="4123"/>
      <c r="P182" s="4120"/>
      <c r="Q182" s="4141"/>
      <c r="R182" s="4143"/>
      <c r="S182" s="4120"/>
      <c r="T182" s="4121"/>
      <c r="U182" s="1534" t="s">
        <v>383</v>
      </c>
      <c r="V182" s="1533">
        <v>2000000</v>
      </c>
      <c r="W182" s="2548">
        <v>61</v>
      </c>
      <c r="X182" s="2513" t="s">
        <v>380</v>
      </c>
      <c r="Y182" s="4266"/>
      <c r="Z182" s="4123"/>
      <c r="AA182" s="4135"/>
      <c r="AB182" s="4135"/>
      <c r="AC182" s="4135"/>
      <c r="AD182" s="4135"/>
      <c r="AE182" s="4135"/>
      <c r="AF182" s="4135"/>
      <c r="AG182" s="4135"/>
      <c r="AH182" s="4135"/>
      <c r="AI182" s="4135"/>
      <c r="AJ182" s="4135"/>
      <c r="AK182" s="4135"/>
      <c r="AL182" s="4135"/>
      <c r="AM182" s="4135"/>
      <c r="AN182" s="4135"/>
      <c r="AO182" s="4149"/>
      <c r="AP182" s="4149"/>
      <c r="AQ182" s="4152"/>
      <c r="AS182" s="2593"/>
    </row>
    <row r="183" spans="1:45" ht="34.5" customHeight="1" x14ac:dyDescent="0.2">
      <c r="A183" s="1213"/>
      <c r="B183" s="1214"/>
      <c r="C183" s="1215"/>
      <c r="D183" s="1214"/>
      <c r="E183" s="1214"/>
      <c r="F183" s="1215"/>
      <c r="G183" s="1222"/>
      <c r="H183" s="1214"/>
      <c r="I183" s="1215"/>
      <c r="J183" s="4116">
        <v>148</v>
      </c>
      <c r="K183" s="4119" t="s">
        <v>384</v>
      </c>
      <c r="L183" s="4122" t="s">
        <v>169</v>
      </c>
      <c r="M183" s="4122">
        <v>11</v>
      </c>
      <c r="N183" s="4123"/>
      <c r="O183" s="4123"/>
      <c r="P183" s="4120"/>
      <c r="Q183" s="4139">
        <f>SUM(V183:V187)/R179</f>
        <v>0.51724137931034486</v>
      </c>
      <c r="R183" s="4143"/>
      <c r="S183" s="4120"/>
      <c r="T183" s="4119" t="s">
        <v>385</v>
      </c>
      <c r="U183" s="4224" t="s">
        <v>386</v>
      </c>
      <c r="V183" s="1533">
        <v>7000000</v>
      </c>
      <c r="W183" s="2548">
        <v>61</v>
      </c>
      <c r="X183" s="2513" t="s">
        <v>380</v>
      </c>
      <c r="Y183" s="4266"/>
      <c r="Z183" s="4123"/>
      <c r="AA183" s="4135"/>
      <c r="AB183" s="4135"/>
      <c r="AC183" s="4135"/>
      <c r="AD183" s="4135"/>
      <c r="AE183" s="4135"/>
      <c r="AF183" s="4135"/>
      <c r="AG183" s="4135"/>
      <c r="AH183" s="4135"/>
      <c r="AI183" s="4135"/>
      <c r="AJ183" s="4135"/>
      <c r="AK183" s="4135"/>
      <c r="AL183" s="4135"/>
      <c r="AM183" s="4135"/>
      <c r="AN183" s="4135"/>
      <c r="AO183" s="4149"/>
      <c r="AP183" s="4149"/>
      <c r="AQ183" s="4152"/>
      <c r="AS183" s="2593"/>
    </row>
    <row r="184" spans="1:45" ht="39" customHeight="1" x14ac:dyDescent="0.2">
      <c r="A184" s="1213"/>
      <c r="B184" s="1214"/>
      <c r="C184" s="1215"/>
      <c r="D184" s="1214"/>
      <c r="E184" s="1214"/>
      <c r="F184" s="1215"/>
      <c r="G184" s="1222"/>
      <c r="H184" s="1214"/>
      <c r="I184" s="1215"/>
      <c r="J184" s="4117"/>
      <c r="K184" s="4120"/>
      <c r="L184" s="4123"/>
      <c r="M184" s="4123"/>
      <c r="N184" s="4123"/>
      <c r="O184" s="4123"/>
      <c r="P184" s="4120"/>
      <c r="Q184" s="4140"/>
      <c r="R184" s="4143"/>
      <c r="S184" s="4120"/>
      <c r="T184" s="4120"/>
      <c r="U184" s="4225"/>
      <c r="V184" s="1533">
        <v>5000000</v>
      </c>
      <c r="W184" s="2548">
        <v>98</v>
      </c>
      <c r="X184" s="2513" t="s">
        <v>381</v>
      </c>
      <c r="Y184" s="4266"/>
      <c r="Z184" s="4123"/>
      <c r="AA184" s="4135"/>
      <c r="AB184" s="4135"/>
      <c r="AC184" s="4135"/>
      <c r="AD184" s="4135"/>
      <c r="AE184" s="4135"/>
      <c r="AF184" s="4135"/>
      <c r="AG184" s="4135"/>
      <c r="AH184" s="4135"/>
      <c r="AI184" s="4135"/>
      <c r="AJ184" s="4135"/>
      <c r="AK184" s="4135"/>
      <c r="AL184" s="4135"/>
      <c r="AM184" s="4135"/>
      <c r="AN184" s="4135"/>
      <c r="AO184" s="4149"/>
      <c r="AP184" s="4149"/>
      <c r="AQ184" s="4152"/>
      <c r="AR184" s="2594"/>
      <c r="AS184" s="2593"/>
    </row>
    <row r="185" spans="1:45" ht="28.5" x14ac:dyDescent="0.2">
      <c r="A185" s="1213"/>
      <c r="B185" s="1214"/>
      <c r="C185" s="1215"/>
      <c r="D185" s="1214"/>
      <c r="E185" s="1214"/>
      <c r="F185" s="1215"/>
      <c r="G185" s="1222"/>
      <c r="H185" s="1214"/>
      <c r="I185" s="1215"/>
      <c r="J185" s="4117"/>
      <c r="K185" s="4120"/>
      <c r="L185" s="4123"/>
      <c r="M185" s="4123"/>
      <c r="N185" s="4123"/>
      <c r="O185" s="4123"/>
      <c r="P185" s="4120"/>
      <c r="Q185" s="4140"/>
      <c r="R185" s="4143"/>
      <c r="S185" s="4120"/>
      <c r="T185" s="4120"/>
      <c r="U185" s="1534" t="s">
        <v>387</v>
      </c>
      <c r="V185" s="1533">
        <v>1000000</v>
      </c>
      <c r="W185" s="2548">
        <v>61</v>
      </c>
      <c r="X185" s="2513" t="s">
        <v>380</v>
      </c>
      <c r="Y185" s="4266"/>
      <c r="Z185" s="4123"/>
      <c r="AA185" s="4135"/>
      <c r="AB185" s="4135"/>
      <c r="AC185" s="4135"/>
      <c r="AD185" s="4135"/>
      <c r="AE185" s="4135"/>
      <c r="AF185" s="4135"/>
      <c r="AG185" s="4135"/>
      <c r="AH185" s="4135"/>
      <c r="AI185" s="4135"/>
      <c r="AJ185" s="4135"/>
      <c r="AK185" s="4135"/>
      <c r="AL185" s="4135"/>
      <c r="AM185" s="4135"/>
      <c r="AN185" s="4135"/>
      <c r="AO185" s="4149"/>
      <c r="AP185" s="4149"/>
      <c r="AQ185" s="4152"/>
      <c r="AS185" s="2593"/>
    </row>
    <row r="186" spans="1:45" ht="42.75" x14ac:dyDescent="0.2">
      <c r="A186" s="1213"/>
      <c r="B186" s="1214"/>
      <c r="C186" s="1215"/>
      <c r="D186" s="1214"/>
      <c r="E186" s="1214"/>
      <c r="F186" s="1215"/>
      <c r="G186" s="1222"/>
      <c r="H186" s="1214"/>
      <c r="I186" s="1215"/>
      <c r="J186" s="4117"/>
      <c r="K186" s="4120"/>
      <c r="L186" s="4123"/>
      <c r="M186" s="4123"/>
      <c r="N186" s="4123"/>
      <c r="O186" s="4123"/>
      <c r="P186" s="4120"/>
      <c r="Q186" s="4140"/>
      <c r="R186" s="4143"/>
      <c r="S186" s="4120"/>
      <c r="T186" s="4120"/>
      <c r="U186" s="1534" t="s">
        <v>388</v>
      </c>
      <c r="V186" s="1533">
        <v>1000000</v>
      </c>
      <c r="W186" s="2548">
        <v>61</v>
      </c>
      <c r="X186" s="2513" t="s">
        <v>380</v>
      </c>
      <c r="Y186" s="4266"/>
      <c r="Z186" s="4123"/>
      <c r="AA186" s="4135"/>
      <c r="AB186" s="4135"/>
      <c r="AC186" s="4135"/>
      <c r="AD186" s="4135"/>
      <c r="AE186" s="4135"/>
      <c r="AF186" s="4135"/>
      <c r="AG186" s="4135"/>
      <c r="AH186" s="4135"/>
      <c r="AI186" s="4135"/>
      <c r="AJ186" s="4135"/>
      <c r="AK186" s="4135"/>
      <c r="AL186" s="4135"/>
      <c r="AM186" s="4135"/>
      <c r="AN186" s="4135"/>
      <c r="AO186" s="4149"/>
      <c r="AP186" s="4149"/>
      <c r="AQ186" s="4152"/>
      <c r="AS186" s="2593"/>
    </row>
    <row r="187" spans="1:45" ht="57" x14ac:dyDescent="0.2">
      <c r="A187" s="1213"/>
      <c r="B187" s="1214"/>
      <c r="C187" s="1215"/>
      <c r="D187" s="1214"/>
      <c r="E187" s="1214"/>
      <c r="F187" s="1215"/>
      <c r="G187" s="1226"/>
      <c r="H187" s="1224"/>
      <c r="I187" s="1225"/>
      <c r="J187" s="4118"/>
      <c r="K187" s="4121"/>
      <c r="L187" s="4124"/>
      <c r="M187" s="4124"/>
      <c r="N187" s="4124"/>
      <c r="O187" s="4124"/>
      <c r="P187" s="4121"/>
      <c r="Q187" s="4141"/>
      <c r="R187" s="4144"/>
      <c r="S187" s="4121"/>
      <c r="T187" s="4121"/>
      <c r="U187" s="1534" t="s">
        <v>389</v>
      </c>
      <c r="V187" s="1533">
        <v>1000000</v>
      </c>
      <c r="W187" s="2548">
        <v>61</v>
      </c>
      <c r="X187" s="2513" t="s">
        <v>380</v>
      </c>
      <c r="Y187" s="4267"/>
      <c r="Z187" s="4124"/>
      <c r="AA187" s="4136"/>
      <c r="AB187" s="4136"/>
      <c r="AC187" s="4136"/>
      <c r="AD187" s="4136"/>
      <c r="AE187" s="4136"/>
      <c r="AF187" s="4136"/>
      <c r="AG187" s="4136"/>
      <c r="AH187" s="4136"/>
      <c r="AI187" s="4136"/>
      <c r="AJ187" s="4136"/>
      <c r="AK187" s="4136"/>
      <c r="AL187" s="4136"/>
      <c r="AM187" s="4136"/>
      <c r="AN187" s="4136"/>
      <c r="AO187" s="4150"/>
      <c r="AP187" s="4150"/>
      <c r="AQ187" s="4153"/>
      <c r="AS187" s="2593"/>
    </row>
    <row r="188" spans="1:45" ht="36" customHeight="1" x14ac:dyDescent="0.2">
      <c r="A188" s="1199"/>
      <c r="B188" s="1200"/>
      <c r="C188" s="1201"/>
      <c r="D188" s="1200"/>
      <c r="E188" s="1200"/>
      <c r="F188" s="1201"/>
      <c r="G188" s="1234">
        <v>42</v>
      </c>
      <c r="H188" s="1205" t="s">
        <v>390</v>
      </c>
      <c r="I188" s="1205"/>
      <c r="J188" s="1205"/>
      <c r="K188" s="1206"/>
      <c r="L188" s="1205"/>
      <c r="M188" s="1205"/>
      <c r="N188" s="1207"/>
      <c r="O188" s="1205"/>
      <c r="P188" s="1206"/>
      <c r="Q188" s="1205"/>
      <c r="R188" s="1235"/>
      <c r="S188" s="1205"/>
      <c r="T188" s="1206"/>
      <c r="U188" s="1206"/>
      <c r="V188" s="1311"/>
      <c r="W188" s="1536"/>
      <c r="X188" s="1329"/>
      <c r="Y188" s="1207"/>
      <c r="Z188" s="1207"/>
      <c r="AA188" s="1207"/>
      <c r="AB188" s="1207"/>
      <c r="AC188" s="1207"/>
      <c r="AD188" s="1207"/>
      <c r="AE188" s="1207"/>
      <c r="AF188" s="1207"/>
      <c r="AG188" s="1207"/>
      <c r="AH188" s="1207"/>
      <c r="AI188" s="1207"/>
      <c r="AJ188" s="1207"/>
      <c r="AK188" s="1207"/>
      <c r="AL188" s="1207"/>
      <c r="AM188" s="1207"/>
      <c r="AN188" s="1207"/>
      <c r="AO188" s="1205"/>
      <c r="AP188" s="1205"/>
      <c r="AQ188" s="1212"/>
      <c r="AS188" s="2593"/>
    </row>
    <row r="189" spans="1:45" ht="81" customHeight="1" x14ac:dyDescent="0.2">
      <c r="A189" s="1213"/>
      <c r="B189" s="1214"/>
      <c r="C189" s="1215"/>
      <c r="D189" s="1214"/>
      <c r="E189" s="1214"/>
      <c r="F189" s="1215"/>
      <c r="G189" s="1216"/>
      <c r="H189" s="1217"/>
      <c r="I189" s="1218"/>
      <c r="J189" s="4116">
        <v>149</v>
      </c>
      <c r="K189" s="4119" t="s">
        <v>391</v>
      </c>
      <c r="L189" s="4122" t="s">
        <v>169</v>
      </c>
      <c r="M189" s="4122">
        <v>8</v>
      </c>
      <c r="N189" s="4122" t="s">
        <v>392</v>
      </c>
      <c r="O189" s="4122" t="s">
        <v>393</v>
      </c>
      <c r="P189" s="4119" t="s">
        <v>394</v>
      </c>
      <c r="Q189" s="4139">
        <f>SUM(V189:V194)/R189</f>
        <v>0.63157894736842102</v>
      </c>
      <c r="R189" s="4142">
        <f>SUM(V189:V199)</f>
        <v>76000000</v>
      </c>
      <c r="S189" s="4119" t="s">
        <v>395</v>
      </c>
      <c r="T189" s="4119" t="s">
        <v>396</v>
      </c>
      <c r="U189" s="1223" t="s">
        <v>397</v>
      </c>
      <c r="V189" s="1535">
        <v>8000000</v>
      </c>
      <c r="W189" s="2555">
        <v>61</v>
      </c>
      <c r="X189" s="2495" t="s">
        <v>380</v>
      </c>
      <c r="Y189" s="4116">
        <v>292684</v>
      </c>
      <c r="Z189" s="4122">
        <v>282326</v>
      </c>
      <c r="AA189" s="4134">
        <v>135912</v>
      </c>
      <c r="AB189" s="4134">
        <v>45122</v>
      </c>
      <c r="AC189" s="4134">
        <f t="shared" ref="AC189:AD189" si="0">AC179</f>
        <v>307101</v>
      </c>
      <c r="AD189" s="4134">
        <f t="shared" si="0"/>
        <v>86875</v>
      </c>
      <c r="AE189" s="4134">
        <v>2145</v>
      </c>
      <c r="AF189" s="4134">
        <v>12718</v>
      </c>
      <c r="AG189" s="4134">
        <v>26</v>
      </c>
      <c r="AH189" s="4134">
        <v>37</v>
      </c>
      <c r="AI189" s="4134" t="s">
        <v>177</v>
      </c>
      <c r="AJ189" s="4187" t="s">
        <v>177</v>
      </c>
      <c r="AK189" s="4134">
        <v>53164</v>
      </c>
      <c r="AL189" s="4134">
        <v>16982</v>
      </c>
      <c r="AM189" s="4187">
        <v>60013</v>
      </c>
      <c r="AN189" s="4134">
        <v>575010</v>
      </c>
      <c r="AO189" s="4148">
        <v>43467</v>
      </c>
      <c r="AP189" s="4148">
        <v>43830</v>
      </c>
      <c r="AQ189" s="4151" t="s">
        <v>178</v>
      </c>
      <c r="AR189" s="2594"/>
      <c r="AS189" s="2593"/>
    </row>
    <row r="190" spans="1:45" ht="57" x14ac:dyDescent="0.2">
      <c r="A190" s="1213"/>
      <c r="B190" s="1214"/>
      <c r="C190" s="1215"/>
      <c r="D190" s="1214"/>
      <c r="E190" s="1214"/>
      <c r="F190" s="1215"/>
      <c r="G190" s="1222"/>
      <c r="H190" s="1214"/>
      <c r="I190" s="1215"/>
      <c r="J190" s="4117"/>
      <c r="K190" s="4120"/>
      <c r="L190" s="4123"/>
      <c r="M190" s="4123"/>
      <c r="N190" s="4123"/>
      <c r="O190" s="4123"/>
      <c r="P190" s="4120"/>
      <c r="Q190" s="4140"/>
      <c r="R190" s="4143"/>
      <c r="S190" s="4120"/>
      <c r="T190" s="4120"/>
      <c r="U190" s="1223" t="s">
        <v>398</v>
      </c>
      <c r="V190" s="1535">
        <v>8000000</v>
      </c>
      <c r="W190" s="2555">
        <v>61</v>
      </c>
      <c r="X190" s="2495" t="s">
        <v>380</v>
      </c>
      <c r="Y190" s="4117"/>
      <c r="Z190" s="4123"/>
      <c r="AA190" s="4135"/>
      <c r="AB190" s="4135"/>
      <c r="AC190" s="4135"/>
      <c r="AD190" s="4135"/>
      <c r="AE190" s="4135"/>
      <c r="AF190" s="4135"/>
      <c r="AG190" s="4135"/>
      <c r="AH190" s="4135"/>
      <c r="AI190" s="4135"/>
      <c r="AJ190" s="4188"/>
      <c r="AK190" s="4135"/>
      <c r="AL190" s="4135"/>
      <c r="AM190" s="4188"/>
      <c r="AN190" s="4135"/>
      <c r="AO190" s="4149"/>
      <c r="AP190" s="4149"/>
      <c r="AQ190" s="4152"/>
      <c r="AR190" s="2594"/>
      <c r="AS190" s="2593"/>
    </row>
    <row r="191" spans="1:45" ht="57" x14ac:dyDescent="0.2">
      <c r="A191" s="1213"/>
      <c r="B191" s="1214"/>
      <c r="C191" s="1215"/>
      <c r="D191" s="1214"/>
      <c r="E191" s="1214"/>
      <c r="F191" s="1215"/>
      <c r="G191" s="1222"/>
      <c r="H191" s="1214"/>
      <c r="I191" s="1215"/>
      <c r="J191" s="4117"/>
      <c r="K191" s="4120"/>
      <c r="L191" s="4123"/>
      <c r="M191" s="4123"/>
      <c r="N191" s="4123"/>
      <c r="O191" s="4123"/>
      <c r="P191" s="4120"/>
      <c r="Q191" s="4140"/>
      <c r="R191" s="4143"/>
      <c r="S191" s="4120"/>
      <c r="T191" s="4120"/>
      <c r="U191" s="1223" t="s">
        <v>399</v>
      </c>
      <c r="V191" s="1535">
        <v>8000000</v>
      </c>
      <c r="W191" s="2555">
        <v>61</v>
      </c>
      <c r="X191" s="2495" t="s">
        <v>380</v>
      </c>
      <c r="Y191" s="4117"/>
      <c r="Z191" s="4123"/>
      <c r="AA191" s="4135"/>
      <c r="AB191" s="4135"/>
      <c r="AC191" s="4135"/>
      <c r="AD191" s="4135"/>
      <c r="AE191" s="4135"/>
      <c r="AF191" s="4135"/>
      <c r="AG191" s="4135"/>
      <c r="AH191" s="4135"/>
      <c r="AI191" s="4135"/>
      <c r="AJ191" s="4188"/>
      <c r="AK191" s="4135"/>
      <c r="AL191" s="4135"/>
      <c r="AM191" s="4188"/>
      <c r="AN191" s="4135"/>
      <c r="AO191" s="4149"/>
      <c r="AP191" s="4149"/>
      <c r="AQ191" s="4152"/>
      <c r="AR191" s="2594"/>
      <c r="AS191" s="2593"/>
    </row>
    <row r="192" spans="1:45" ht="57" x14ac:dyDescent="0.2">
      <c r="A192" s="1213"/>
      <c r="B192" s="1214"/>
      <c r="C192" s="1215"/>
      <c r="D192" s="1214"/>
      <c r="E192" s="1214"/>
      <c r="F192" s="1215"/>
      <c r="G192" s="1222"/>
      <c r="H192" s="1214"/>
      <c r="I192" s="1215"/>
      <c r="J192" s="4117"/>
      <c r="K192" s="4120"/>
      <c r="L192" s="4123"/>
      <c r="M192" s="4123"/>
      <c r="N192" s="4123"/>
      <c r="O192" s="4123"/>
      <c r="P192" s="4120"/>
      <c r="Q192" s="4140"/>
      <c r="R192" s="4143"/>
      <c r="S192" s="4120"/>
      <c r="T192" s="4120"/>
      <c r="U192" s="1223" t="s">
        <v>400</v>
      </c>
      <c r="V192" s="1535">
        <v>8000000</v>
      </c>
      <c r="W192" s="2555">
        <v>61</v>
      </c>
      <c r="X192" s="2495" t="s">
        <v>380</v>
      </c>
      <c r="Y192" s="4117"/>
      <c r="Z192" s="4123"/>
      <c r="AA192" s="4135"/>
      <c r="AB192" s="4135"/>
      <c r="AC192" s="4135"/>
      <c r="AD192" s="4135"/>
      <c r="AE192" s="4135"/>
      <c r="AF192" s="4135"/>
      <c r="AG192" s="4135"/>
      <c r="AH192" s="4135"/>
      <c r="AI192" s="4135"/>
      <c r="AJ192" s="4188"/>
      <c r="AK192" s="4135"/>
      <c r="AL192" s="4135"/>
      <c r="AM192" s="4188"/>
      <c r="AN192" s="4135"/>
      <c r="AO192" s="4149"/>
      <c r="AP192" s="4149"/>
      <c r="AQ192" s="4152"/>
      <c r="AS192" s="2593"/>
    </row>
    <row r="193" spans="1:45" ht="42.75" x14ac:dyDescent="0.2">
      <c r="A193" s="1213"/>
      <c r="B193" s="1214"/>
      <c r="C193" s="1215"/>
      <c r="D193" s="1214"/>
      <c r="E193" s="1214"/>
      <c r="F193" s="1215"/>
      <c r="G193" s="1222"/>
      <c r="H193" s="1214"/>
      <c r="I193" s="1215"/>
      <c r="J193" s="4117"/>
      <c r="K193" s="4120"/>
      <c r="L193" s="4123"/>
      <c r="M193" s="4123"/>
      <c r="N193" s="4123"/>
      <c r="O193" s="4123"/>
      <c r="P193" s="4120"/>
      <c r="Q193" s="4140"/>
      <c r="R193" s="4143"/>
      <c r="S193" s="4120"/>
      <c r="T193" s="4120"/>
      <c r="U193" s="1223" t="s">
        <v>401</v>
      </c>
      <c r="V193" s="1535">
        <v>8000000</v>
      </c>
      <c r="W193" s="2555">
        <v>61</v>
      </c>
      <c r="X193" s="2495" t="s">
        <v>380</v>
      </c>
      <c r="Y193" s="4117"/>
      <c r="Z193" s="4123"/>
      <c r="AA193" s="4135"/>
      <c r="AB193" s="4135"/>
      <c r="AC193" s="4135"/>
      <c r="AD193" s="4135"/>
      <c r="AE193" s="4135"/>
      <c r="AF193" s="4135"/>
      <c r="AG193" s="4135"/>
      <c r="AH193" s="4135"/>
      <c r="AI193" s="4135"/>
      <c r="AJ193" s="4188"/>
      <c r="AK193" s="4135"/>
      <c r="AL193" s="4135"/>
      <c r="AM193" s="4188"/>
      <c r="AN193" s="4135"/>
      <c r="AO193" s="4149"/>
      <c r="AP193" s="4149"/>
      <c r="AQ193" s="4152"/>
      <c r="AS193" s="2593"/>
    </row>
    <row r="194" spans="1:45" ht="67.5" customHeight="1" x14ac:dyDescent="0.2">
      <c r="A194" s="1213"/>
      <c r="B194" s="1214"/>
      <c r="C194" s="1215"/>
      <c r="D194" s="1214"/>
      <c r="E194" s="1214"/>
      <c r="F194" s="1215"/>
      <c r="G194" s="1222"/>
      <c r="H194" s="1214"/>
      <c r="I194" s="1215"/>
      <c r="J194" s="4118"/>
      <c r="K194" s="4121"/>
      <c r="L194" s="4124"/>
      <c r="M194" s="4124"/>
      <c r="N194" s="4123"/>
      <c r="O194" s="4123"/>
      <c r="P194" s="4120"/>
      <c r="Q194" s="4141"/>
      <c r="R194" s="4143"/>
      <c r="S194" s="4120"/>
      <c r="T194" s="4121"/>
      <c r="U194" s="1223" t="s">
        <v>402</v>
      </c>
      <c r="V194" s="1535">
        <v>8000000</v>
      </c>
      <c r="W194" s="2555">
        <v>61</v>
      </c>
      <c r="X194" s="2495" t="s">
        <v>380</v>
      </c>
      <c r="Y194" s="4117"/>
      <c r="Z194" s="4123"/>
      <c r="AA194" s="4135"/>
      <c r="AB194" s="4135"/>
      <c r="AC194" s="4135"/>
      <c r="AD194" s="4135"/>
      <c r="AE194" s="4135"/>
      <c r="AF194" s="4135"/>
      <c r="AG194" s="4135"/>
      <c r="AH194" s="4135"/>
      <c r="AI194" s="4135"/>
      <c r="AJ194" s="4188"/>
      <c r="AK194" s="4135"/>
      <c r="AL194" s="4135"/>
      <c r="AM194" s="4188"/>
      <c r="AN194" s="4135"/>
      <c r="AO194" s="4149"/>
      <c r="AP194" s="4149"/>
      <c r="AQ194" s="4152"/>
      <c r="AS194" s="2593"/>
    </row>
    <row r="195" spans="1:45" ht="42.75" x14ac:dyDescent="0.2">
      <c r="A195" s="1213"/>
      <c r="B195" s="1214"/>
      <c r="C195" s="1215"/>
      <c r="D195" s="1214"/>
      <c r="E195" s="1214"/>
      <c r="F195" s="1215"/>
      <c r="G195" s="1222"/>
      <c r="H195" s="1214"/>
      <c r="I195" s="1215"/>
      <c r="J195" s="4116">
        <v>150</v>
      </c>
      <c r="K195" s="4119" t="s">
        <v>403</v>
      </c>
      <c r="L195" s="4122" t="s">
        <v>169</v>
      </c>
      <c r="M195" s="4122">
        <v>14</v>
      </c>
      <c r="N195" s="4123"/>
      <c r="O195" s="4123"/>
      <c r="P195" s="4120"/>
      <c r="Q195" s="4139">
        <f>(V195+V198+V199+V196+V197)/R189</f>
        <v>0.36842105263157893</v>
      </c>
      <c r="R195" s="4143"/>
      <c r="S195" s="4120"/>
      <c r="T195" s="4119" t="s">
        <v>404</v>
      </c>
      <c r="U195" s="1223" t="s">
        <v>405</v>
      </c>
      <c r="V195" s="1535">
        <v>5000000</v>
      </c>
      <c r="W195" s="2555">
        <v>61</v>
      </c>
      <c r="X195" s="2495" t="s">
        <v>380</v>
      </c>
      <c r="Y195" s="4117"/>
      <c r="Z195" s="4123"/>
      <c r="AA195" s="4135"/>
      <c r="AB195" s="4135"/>
      <c r="AC195" s="4135"/>
      <c r="AD195" s="4135"/>
      <c r="AE195" s="4135"/>
      <c r="AF195" s="4135"/>
      <c r="AG195" s="4135"/>
      <c r="AH195" s="4135"/>
      <c r="AI195" s="4135"/>
      <c r="AJ195" s="4188"/>
      <c r="AK195" s="4135"/>
      <c r="AL195" s="4135"/>
      <c r="AM195" s="4188"/>
      <c r="AN195" s="4135"/>
      <c r="AO195" s="4149"/>
      <c r="AP195" s="4149"/>
      <c r="AQ195" s="4152"/>
      <c r="AS195" s="2593"/>
    </row>
    <row r="196" spans="1:45" ht="42.75" x14ac:dyDescent="0.2">
      <c r="A196" s="1213"/>
      <c r="B196" s="1214"/>
      <c r="C196" s="1215"/>
      <c r="D196" s="1214"/>
      <c r="E196" s="1214"/>
      <c r="F196" s="1215"/>
      <c r="G196" s="1222"/>
      <c r="H196" s="1214"/>
      <c r="I196" s="1215"/>
      <c r="J196" s="4117"/>
      <c r="K196" s="4120"/>
      <c r="L196" s="4123"/>
      <c r="M196" s="4123"/>
      <c r="N196" s="4123"/>
      <c r="O196" s="4123"/>
      <c r="P196" s="4120"/>
      <c r="Q196" s="4140"/>
      <c r="R196" s="4143"/>
      <c r="S196" s="4120"/>
      <c r="T196" s="4120"/>
      <c r="U196" s="1223" t="s">
        <v>406</v>
      </c>
      <c r="V196" s="1535">
        <v>5000000</v>
      </c>
      <c r="W196" s="2555">
        <v>61</v>
      </c>
      <c r="X196" s="2495" t="s">
        <v>380</v>
      </c>
      <c r="Y196" s="4117"/>
      <c r="Z196" s="4123"/>
      <c r="AA196" s="4135"/>
      <c r="AB196" s="4135"/>
      <c r="AC196" s="4135"/>
      <c r="AD196" s="4135"/>
      <c r="AE196" s="4135"/>
      <c r="AF196" s="4135"/>
      <c r="AG196" s="4135"/>
      <c r="AH196" s="4135"/>
      <c r="AI196" s="4135"/>
      <c r="AJ196" s="4188"/>
      <c r="AK196" s="4135"/>
      <c r="AL196" s="4135"/>
      <c r="AM196" s="4188"/>
      <c r="AN196" s="4135"/>
      <c r="AO196" s="4149"/>
      <c r="AP196" s="4149"/>
      <c r="AQ196" s="4152"/>
      <c r="AS196" s="2593"/>
    </row>
    <row r="197" spans="1:45" ht="71.25" x14ac:dyDescent="0.2">
      <c r="A197" s="1213"/>
      <c r="B197" s="1214"/>
      <c r="C197" s="1215"/>
      <c r="D197" s="1214"/>
      <c r="E197" s="1214"/>
      <c r="F197" s="1215"/>
      <c r="G197" s="1222"/>
      <c r="H197" s="1214"/>
      <c r="I197" s="1215"/>
      <c r="J197" s="4117"/>
      <c r="K197" s="4120"/>
      <c r="L197" s="4123"/>
      <c r="M197" s="4123"/>
      <c r="N197" s="4123"/>
      <c r="O197" s="4123"/>
      <c r="P197" s="4120"/>
      <c r="Q197" s="4140"/>
      <c r="R197" s="4143"/>
      <c r="S197" s="4120"/>
      <c r="T197" s="4120"/>
      <c r="U197" s="1223" t="s">
        <v>407</v>
      </c>
      <c r="V197" s="1535">
        <v>5000000</v>
      </c>
      <c r="W197" s="2555">
        <v>61</v>
      </c>
      <c r="X197" s="2495" t="s">
        <v>380</v>
      </c>
      <c r="Y197" s="4117"/>
      <c r="Z197" s="4123"/>
      <c r="AA197" s="4135"/>
      <c r="AB197" s="4135"/>
      <c r="AC197" s="4135"/>
      <c r="AD197" s="4135"/>
      <c r="AE197" s="4135"/>
      <c r="AF197" s="4135"/>
      <c r="AG197" s="4135"/>
      <c r="AH197" s="4135"/>
      <c r="AI197" s="4135"/>
      <c r="AJ197" s="4188"/>
      <c r="AK197" s="4135"/>
      <c r="AL197" s="4135"/>
      <c r="AM197" s="4188"/>
      <c r="AN197" s="4135"/>
      <c r="AO197" s="4149"/>
      <c r="AP197" s="4149"/>
      <c r="AQ197" s="4152"/>
      <c r="AS197" s="2593"/>
    </row>
    <row r="198" spans="1:45" ht="58.5" customHeight="1" x14ac:dyDescent="0.2">
      <c r="A198" s="1213"/>
      <c r="B198" s="1214"/>
      <c r="C198" s="1215"/>
      <c r="D198" s="1214"/>
      <c r="E198" s="1214"/>
      <c r="F198" s="1215"/>
      <c r="G198" s="1222"/>
      <c r="H198" s="1214"/>
      <c r="I198" s="1215"/>
      <c r="J198" s="4117"/>
      <c r="K198" s="4120"/>
      <c r="L198" s="4123"/>
      <c r="M198" s="4123"/>
      <c r="N198" s="4123"/>
      <c r="O198" s="4123"/>
      <c r="P198" s="4120"/>
      <c r="Q198" s="4140"/>
      <c r="R198" s="4143"/>
      <c r="S198" s="4120"/>
      <c r="T198" s="4120"/>
      <c r="U198" s="1223" t="s">
        <v>408</v>
      </c>
      <c r="V198" s="1535">
        <v>5000000</v>
      </c>
      <c r="W198" s="2555">
        <v>61</v>
      </c>
      <c r="X198" s="2495" t="s">
        <v>380</v>
      </c>
      <c r="Y198" s="4117"/>
      <c r="Z198" s="4123"/>
      <c r="AA198" s="4135"/>
      <c r="AB198" s="4135"/>
      <c r="AC198" s="4135"/>
      <c r="AD198" s="4135"/>
      <c r="AE198" s="4135"/>
      <c r="AF198" s="4135"/>
      <c r="AG198" s="4135"/>
      <c r="AH198" s="4135"/>
      <c r="AI198" s="4135"/>
      <c r="AJ198" s="4188"/>
      <c r="AK198" s="4135"/>
      <c r="AL198" s="4135"/>
      <c r="AM198" s="4188"/>
      <c r="AN198" s="4135"/>
      <c r="AO198" s="4149"/>
      <c r="AP198" s="4149"/>
      <c r="AQ198" s="4152"/>
      <c r="AS198" s="2593"/>
    </row>
    <row r="199" spans="1:45" ht="42.75" x14ac:dyDescent="0.2">
      <c r="A199" s="1213"/>
      <c r="B199" s="1214"/>
      <c r="C199" s="1215"/>
      <c r="D199" s="1214"/>
      <c r="E199" s="1214"/>
      <c r="F199" s="1215"/>
      <c r="G199" s="1226"/>
      <c r="H199" s="1224"/>
      <c r="I199" s="1225"/>
      <c r="J199" s="4118"/>
      <c r="K199" s="4121"/>
      <c r="L199" s="4124"/>
      <c r="M199" s="4124"/>
      <c r="N199" s="4124"/>
      <c r="O199" s="4124"/>
      <c r="P199" s="4121"/>
      <c r="Q199" s="4141"/>
      <c r="R199" s="4144"/>
      <c r="S199" s="4121"/>
      <c r="T199" s="4121"/>
      <c r="U199" s="1223" t="s">
        <v>409</v>
      </c>
      <c r="V199" s="1535">
        <v>8000000</v>
      </c>
      <c r="W199" s="2555">
        <v>61</v>
      </c>
      <c r="X199" s="2495" t="s">
        <v>380</v>
      </c>
      <c r="Y199" s="4118"/>
      <c r="Z199" s="4124"/>
      <c r="AA199" s="4136"/>
      <c r="AB199" s="4136"/>
      <c r="AC199" s="4136"/>
      <c r="AD199" s="4136"/>
      <c r="AE199" s="4136"/>
      <c r="AF199" s="4136"/>
      <c r="AG199" s="4136"/>
      <c r="AH199" s="4136"/>
      <c r="AI199" s="4136"/>
      <c r="AJ199" s="4189"/>
      <c r="AK199" s="4136"/>
      <c r="AL199" s="4136"/>
      <c r="AM199" s="4189"/>
      <c r="AN199" s="4136"/>
      <c r="AO199" s="4150"/>
      <c r="AP199" s="4150"/>
      <c r="AQ199" s="4153"/>
      <c r="AS199" s="2593"/>
    </row>
    <row r="200" spans="1:45" ht="36" customHeight="1" x14ac:dyDescent="0.2">
      <c r="A200" s="1199"/>
      <c r="B200" s="1200"/>
      <c r="C200" s="1201"/>
      <c r="D200" s="1200"/>
      <c r="E200" s="1200"/>
      <c r="F200" s="1201"/>
      <c r="G200" s="1234">
        <v>43</v>
      </c>
      <c r="H200" s="1205" t="s">
        <v>410</v>
      </c>
      <c r="I200" s="1205"/>
      <c r="J200" s="1205"/>
      <c r="K200" s="1206"/>
      <c r="L200" s="1205"/>
      <c r="M200" s="1205"/>
      <c r="N200" s="1207"/>
      <c r="O200" s="1205"/>
      <c r="P200" s="1206"/>
      <c r="Q200" s="1205"/>
      <c r="R200" s="1235"/>
      <c r="S200" s="1205"/>
      <c r="T200" s="1206"/>
      <c r="U200" s="1206"/>
      <c r="V200" s="1552"/>
      <c r="W200" s="1553"/>
      <c r="X200" s="1554"/>
      <c r="Y200" s="1551"/>
      <c r="Z200" s="1207"/>
      <c r="AA200" s="1207"/>
      <c r="AB200" s="1207"/>
      <c r="AC200" s="1207"/>
      <c r="AD200" s="1207"/>
      <c r="AE200" s="1207"/>
      <c r="AF200" s="1207"/>
      <c r="AG200" s="1207"/>
      <c r="AH200" s="1207"/>
      <c r="AI200" s="1207"/>
      <c r="AJ200" s="1207"/>
      <c r="AK200" s="1207"/>
      <c r="AL200" s="1207"/>
      <c r="AM200" s="1207"/>
      <c r="AN200" s="1207"/>
      <c r="AO200" s="1205"/>
      <c r="AP200" s="1205"/>
      <c r="AQ200" s="1212"/>
      <c r="AS200" s="2593"/>
    </row>
    <row r="201" spans="1:45" ht="81.75" customHeight="1" x14ac:dyDescent="0.2">
      <c r="A201" s="1238"/>
      <c r="B201" s="1239"/>
      <c r="C201" s="1240"/>
      <c r="D201" s="1239"/>
      <c r="E201" s="1239"/>
      <c r="F201" s="1240"/>
      <c r="G201" s="1241"/>
      <c r="H201" s="1242"/>
      <c r="I201" s="1243"/>
      <c r="J201" s="4116">
        <v>151</v>
      </c>
      <c r="K201" s="4215" t="s">
        <v>411</v>
      </c>
      <c r="L201" s="4278" t="s">
        <v>169</v>
      </c>
      <c r="M201" s="4278">
        <v>12</v>
      </c>
      <c r="N201" s="2499"/>
      <c r="O201" s="4122" t="s">
        <v>412</v>
      </c>
      <c r="P201" s="4119" t="s">
        <v>413</v>
      </c>
      <c r="Q201" s="4139">
        <f>SUM(V201:V205)/R201</f>
        <v>7.1805462249808105E-2</v>
      </c>
      <c r="R201" s="4142">
        <f>SUM(V201:V215)</f>
        <v>1615475987</v>
      </c>
      <c r="S201" s="4119" t="s">
        <v>414</v>
      </c>
      <c r="T201" s="4119" t="s">
        <v>415</v>
      </c>
      <c r="U201" s="1534" t="s">
        <v>416</v>
      </c>
      <c r="V201" s="1533">
        <v>15000000</v>
      </c>
      <c r="W201" s="2548">
        <v>61</v>
      </c>
      <c r="X201" s="2513" t="s">
        <v>289</v>
      </c>
      <c r="Y201" s="4274">
        <v>292684</v>
      </c>
      <c r="Z201" s="4122">
        <v>282326</v>
      </c>
      <c r="AA201" s="4134">
        <v>135912</v>
      </c>
      <c r="AB201" s="4134">
        <v>45122</v>
      </c>
      <c r="AC201" s="4134">
        <f t="shared" ref="AC201:AD201" si="1">AC189</f>
        <v>307101</v>
      </c>
      <c r="AD201" s="4134">
        <f t="shared" si="1"/>
        <v>86875</v>
      </c>
      <c r="AE201" s="4134">
        <v>2145</v>
      </c>
      <c r="AF201" s="4134">
        <v>12718</v>
      </c>
      <c r="AG201" s="4134">
        <v>26</v>
      </c>
      <c r="AH201" s="4134">
        <v>37</v>
      </c>
      <c r="AI201" s="4134" t="s">
        <v>177</v>
      </c>
      <c r="AJ201" s="4134" t="s">
        <v>177</v>
      </c>
      <c r="AK201" s="4134">
        <v>53164</v>
      </c>
      <c r="AL201" s="4134">
        <v>16982</v>
      </c>
      <c r="AM201" s="4134">
        <v>60013</v>
      </c>
      <c r="AN201" s="4134">
        <v>575010</v>
      </c>
      <c r="AO201" s="4271">
        <f>+AO189</f>
        <v>43467</v>
      </c>
      <c r="AP201" s="4271">
        <v>43830</v>
      </c>
      <c r="AQ201" s="4151" t="s">
        <v>178</v>
      </c>
      <c r="AR201" s="2594"/>
      <c r="AS201" s="2593"/>
    </row>
    <row r="202" spans="1:45" ht="29.25" customHeight="1" x14ac:dyDescent="0.2">
      <c r="A202" s="1238"/>
      <c r="B202" s="1239"/>
      <c r="C202" s="1240"/>
      <c r="D202" s="1239"/>
      <c r="E202" s="1239"/>
      <c r="F202" s="1240"/>
      <c r="G202" s="1244"/>
      <c r="H202" s="1239"/>
      <c r="I202" s="1240"/>
      <c r="J202" s="4117"/>
      <c r="K202" s="4216"/>
      <c r="L202" s="4278"/>
      <c r="M202" s="4278"/>
      <c r="N202" s="2500"/>
      <c r="O202" s="4123"/>
      <c r="P202" s="4120"/>
      <c r="Q202" s="4140"/>
      <c r="R202" s="4143"/>
      <c r="S202" s="4120"/>
      <c r="T202" s="4120"/>
      <c r="U202" s="4224" t="s">
        <v>417</v>
      </c>
      <c r="V202" s="1533">
        <v>9000000</v>
      </c>
      <c r="W202" s="2548">
        <v>61</v>
      </c>
      <c r="X202" s="2513" t="s">
        <v>289</v>
      </c>
      <c r="Y202" s="4275"/>
      <c r="Z202" s="4123"/>
      <c r="AA202" s="4135"/>
      <c r="AB202" s="4135"/>
      <c r="AC202" s="4135"/>
      <c r="AD202" s="4135"/>
      <c r="AE202" s="4135"/>
      <c r="AF202" s="4135"/>
      <c r="AG202" s="4135"/>
      <c r="AH202" s="4135"/>
      <c r="AI202" s="4135"/>
      <c r="AJ202" s="4135"/>
      <c r="AK202" s="4135"/>
      <c r="AL202" s="4135"/>
      <c r="AM202" s="4135"/>
      <c r="AN202" s="4135"/>
      <c r="AO202" s="4272"/>
      <c r="AP202" s="4272"/>
      <c r="AQ202" s="4152"/>
      <c r="AR202" s="2594"/>
      <c r="AS202" s="2593"/>
    </row>
    <row r="203" spans="1:45" ht="30" customHeight="1" x14ac:dyDescent="0.2">
      <c r="A203" s="1238"/>
      <c r="B203" s="1239"/>
      <c r="C203" s="1240"/>
      <c r="D203" s="1239"/>
      <c r="E203" s="1239"/>
      <c r="F203" s="1240"/>
      <c r="G203" s="1244"/>
      <c r="H203" s="1239"/>
      <c r="I203" s="1240"/>
      <c r="J203" s="4117"/>
      <c r="K203" s="4216"/>
      <c r="L203" s="4278"/>
      <c r="M203" s="4278"/>
      <c r="N203" s="2500"/>
      <c r="O203" s="4123"/>
      <c r="P203" s="4120"/>
      <c r="Q203" s="4140"/>
      <c r="R203" s="4143"/>
      <c r="S203" s="4120"/>
      <c r="T203" s="4120"/>
      <c r="U203" s="4244"/>
      <c r="V203" s="1533">
        <v>36000000</v>
      </c>
      <c r="W203" s="2548">
        <v>20</v>
      </c>
      <c r="X203" s="2513" t="s">
        <v>61</v>
      </c>
      <c r="Y203" s="4275"/>
      <c r="Z203" s="4123"/>
      <c r="AA203" s="4135"/>
      <c r="AB203" s="4135"/>
      <c r="AC203" s="4135"/>
      <c r="AD203" s="4135"/>
      <c r="AE203" s="4135"/>
      <c r="AF203" s="4135"/>
      <c r="AG203" s="4135"/>
      <c r="AH203" s="4135"/>
      <c r="AI203" s="4135"/>
      <c r="AJ203" s="4135"/>
      <c r="AK203" s="4135"/>
      <c r="AL203" s="4135"/>
      <c r="AM203" s="4135"/>
      <c r="AN203" s="4135"/>
      <c r="AO203" s="4272"/>
      <c r="AP203" s="4272"/>
      <c r="AQ203" s="4152"/>
      <c r="AR203" s="2594"/>
      <c r="AS203" s="2593"/>
    </row>
    <row r="204" spans="1:45" ht="36" customHeight="1" x14ac:dyDescent="0.2">
      <c r="A204" s="1238"/>
      <c r="B204" s="1239"/>
      <c r="C204" s="1240"/>
      <c r="D204" s="1239"/>
      <c r="E204" s="1239"/>
      <c r="F204" s="1240"/>
      <c r="G204" s="1244"/>
      <c r="H204" s="1239"/>
      <c r="I204" s="1240"/>
      <c r="J204" s="4117"/>
      <c r="K204" s="4216"/>
      <c r="L204" s="4278"/>
      <c r="M204" s="4278"/>
      <c r="N204" s="2500"/>
      <c r="O204" s="4123"/>
      <c r="P204" s="4120"/>
      <c r="Q204" s="4140"/>
      <c r="R204" s="4143"/>
      <c r="S204" s="4120"/>
      <c r="T204" s="4120"/>
      <c r="U204" s="4225"/>
      <c r="V204" s="1533">
        <v>32000000</v>
      </c>
      <c r="W204" s="2548">
        <v>98</v>
      </c>
      <c r="X204" s="2513" t="s">
        <v>418</v>
      </c>
      <c r="Y204" s="4275"/>
      <c r="Z204" s="4123"/>
      <c r="AA204" s="4135"/>
      <c r="AB204" s="4135"/>
      <c r="AC204" s="4135"/>
      <c r="AD204" s="4135"/>
      <c r="AE204" s="4135"/>
      <c r="AF204" s="4135"/>
      <c r="AG204" s="4135"/>
      <c r="AH204" s="4135"/>
      <c r="AI204" s="4135"/>
      <c r="AJ204" s="4135"/>
      <c r="AK204" s="4135"/>
      <c r="AL204" s="4135"/>
      <c r="AM204" s="4135"/>
      <c r="AN204" s="4135"/>
      <c r="AO204" s="4272"/>
      <c r="AP204" s="4272"/>
      <c r="AQ204" s="4152"/>
      <c r="AR204" s="2594"/>
      <c r="AS204" s="2593"/>
    </row>
    <row r="205" spans="1:45" ht="71.25" x14ac:dyDescent="0.2">
      <c r="A205" s="1238"/>
      <c r="B205" s="1239"/>
      <c r="C205" s="1240"/>
      <c r="D205" s="1239"/>
      <c r="E205" s="1239"/>
      <c r="F205" s="1240"/>
      <c r="G205" s="1244"/>
      <c r="H205" s="1239"/>
      <c r="I205" s="1240"/>
      <c r="J205" s="4117"/>
      <c r="K205" s="4216"/>
      <c r="L205" s="4122"/>
      <c r="M205" s="4122"/>
      <c r="N205" s="2500"/>
      <c r="O205" s="4123"/>
      <c r="P205" s="4120"/>
      <c r="Q205" s="4141"/>
      <c r="R205" s="4143"/>
      <c r="S205" s="4120"/>
      <c r="T205" s="4121"/>
      <c r="U205" s="1534" t="s">
        <v>419</v>
      </c>
      <c r="V205" s="1533">
        <v>24000000</v>
      </c>
      <c r="W205" s="2548">
        <v>61</v>
      </c>
      <c r="X205" s="2513" t="s">
        <v>289</v>
      </c>
      <c r="Y205" s="4275"/>
      <c r="Z205" s="4123"/>
      <c r="AA205" s="4135"/>
      <c r="AB205" s="4135"/>
      <c r="AC205" s="4135"/>
      <c r="AD205" s="4135"/>
      <c r="AE205" s="4135"/>
      <c r="AF205" s="4135"/>
      <c r="AG205" s="4135"/>
      <c r="AH205" s="4135"/>
      <c r="AI205" s="4135"/>
      <c r="AJ205" s="4135"/>
      <c r="AK205" s="4135"/>
      <c r="AL205" s="4135"/>
      <c r="AM205" s="4135"/>
      <c r="AN205" s="4135"/>
      <c r="AO205" s="4272"/>
      <c r="AP205" s="4272"/>
      <c r="AQ205" s="4152"/>
      <c r="AR205" s="2594"/>
      <c r="AS205" s="2593"/>
    </row>
    <row r="206" spans="1:45" ht="43.5" customHeight="1" x14ac:dyDescent="0.2">
      <c r="A206" s="1238"/>
      <c r="B206" s="1239"/>
      <c r="C206" s="1240"/>
      <c r="D206" s="1239"/>
      <c r="E206" s="1239"/>
      <c r="F206" s="1240"/>
      <c r="G206" s="1244"/>
      <c r="H206" s="1239"/>
      <c r="I206" s="1239"/>
      <c r="J206" s="4279">
        <v>152</v>
      </c>
      <c r="K206" s="4280" t="s">
        <v>420</v>
      </c>
      <c r="L206" s="4270" t="s">
        <v>169</v>
      </c>
      <c r="M206" s="4270">
        <v>1</v>
      </c>
      <c r="N206" s="2506" t="s">
        <v>421</v>
      </c>
      <c r="O206" s="4123"/>
      <c r="P206" s="4120"/>
      <c r="Q206" s="4139">
        <f>SUM(V206:V207)/R201</f>
        <v>4.0854831969718411E-2</v>
      </c>
      <c r="R206" s="4143"/>
      <c r="S206" s="4120"/>
      <c r="T206" s="4119" t="s">
        <v>422</v>
      </c>
      <c r="U206" s="4224" t="s">
        <v>423</v>
      </c>
      <c r="V206" s="1533">
        <v>48000000</v>
      </c>
      <c r="W206" s="2548">
        <v>61</v>
      </c>
      <c r="X206" s="2513" t="s">
        <v>380</v>
      </c>
      <c r="Y206" s="4275"/>
      <c r="Z206" s="4123"/>
      <c r="AA206" s="4135"/>
      <c r="AB206" s="4135"/>
      <c r="AC206" s="4135"/>
      <c r="AD206" s="4135"/>
      <c r="AE206" s="4135"/>
      <c r="AF206" s="4135"/>
      <c r="AG206" s="4135"/>
      <c r="AH206" s="4135"/>
      <c r="AI206" s="4135"/>
      <c r="AJ206" s="4135"/>
      <c r="AK206" s="4135"/>
      <c r="AL206" s="4135"/>
      <c r="AM206" s="4135"/>
      <c r="AN206" s="4135"/>
      <c r="AO206" s="4272"/>
      <c r="AP206" s="4272"/>
      <c r="AQ206" s="4152"/>
      <c r="AS206" s="2593"/>
    </row>
    <row r="207" spans="1:45" ht="54.75" customHeight="1" x14ac:dyDescent="0.2">
      <c r="A207" s="1238"/>
      <c r="B207" s="1239"/>
      <c r="C207" s="1240"/>
      <c r="D207" s="1239"/>
      <c r="E207" s="1239"/>
      <c r="F207" s="1240"/>
      <c r="G207" s="1244"/>
      <c r="H207" s="1239"/>
      <c r="I207" s="1239"/>
      <c r="J207" s="4279"/>
      <c r="K207" s="4280"/>
      <c r="L207" s="4270"/>
      <c r="M207" s="4270"/>
      <c r="N207" s="2506"/>
      <c r="O207" s="4123"/>
      <c r="P207" s="4120"/>
      <c r="Q207" s="4141"/>
      <c r="R207" s="4143"/>
      <c r="S207" s="4120"/>
      <c r="T207" s="4120"/>
      <c r="U207" s="4225"/>
      <c r="V207" s="1533">
        <v>18000000</v>
      </c>
      <c r="W207" s="2548">
        <v>98</v>
      </c>
      <c r="X207" s="2513" t="s">
        <v>418</v>
      </c>
      <c r="Y207" s="4275"/>
      <c r="Z207" s="4123"/>
      <c r="AA207" s="4135"/>
      <c r="AB207" s="4135"/>
      <c r="AC207" s="4135"/>
      <c r="AD207" s="4135"/>
      <c r="AE207" s="4135"/>
      <c r="AF207" s="4135"/>
      <c r="AG207" s="4135"/>
      <c r="AH207" s="4135"/>
      <c r="AI207" s="4135"/>
      <c r="AJ207" s="4135"/>
      <c r="AK207" s="4135"/>
      <c r="AL207" s="4135"/>
      <c r="AM207" s="4135"/>
      <c r="AN207" s="4135"/>
      <c r="AO207" s="4272"/>
      <c r="AP207" s="4272"/>
      <c r="AQ207" s="4152"/>
      <c r="AS207" s="2593"/>
    </row>
    <row r="208" spans="1:45" ht="57" x14ac:dyDescent="0.2">
      <c r="A208" s="1238"/>
      <c r="B208" s="1239"/>
      <c r="C208" s="1240"/>
      <c r="D208" s="1239"/>
      <c r="E208" s="1239"/>
      <c r="F208" s="1240"/>
      <c r="G208" s="1244"/>
      <c r="H208" s="1239"/>
      <c r="I208" s="1240"/>
      <c r="J208" s="4118">
        <v>153</v>
      </c>
      <c r="K208" s="4216" t="s">
        <v>424</v>
      </c>
      <c r="L208" s="4123" t="s">
        <v>169</v>
      </c>
      <c r="M208" s="4123">
        <v>150</v>
      </c>
      <c r="N208" s="2500" t="s">
        <v>425</v>
      </c>
      <c r="O208" s="4123"/>
      <c r="P208" s="4120"/>
      <c r="Q208" s="4139">
        <f>SUM(V208:V215)/R201</f>
        <v>0.8873397057804735</v>
      </c>
      <c r="R208" s="4143"/>
      <c r="S208" s="4120"/>
      <c r="T208" s="4120"/>
      <c r="U208" s="2556" t="s">
        <v>426</v>
      </c>
      <c r="V208" s="1533">
        <v>24000000</v>
      </c>
      <c r="W208" s="2548">
        <v>63</v>
      </c>
      <c r="X208" s="2513" t="s">
        <v>427</v>
      </c>
      <c r="Y208" s="4275"/>
      <c r="Z208" s="4123"/>
      <c r="AA208" s="4135"/>
      <c r="AB208" s="4135"/>
      <c r="AC208" s="4135"/>
      <c r="AD208" s="4135"/>
      <c r="AE208" s="4135"/>
      <c r="AF208" s="4135"/>
      <c r="AG208" s="4135"/>
      <c r="AH208" s="4135"/>
      <c r="AI208" s="4135"/>
      <c r="AJ208" s="4135"/>
      <c r="AK208" s="4135"/>
      <c r="AL208" s="4135"/>
      <c r="AM208" s="4135"/>
      <c r="AN208" s="4135"/>
      <c r="AO208" s="4272"/>
      <c r="AP208" s="4272"/>
      <c r="AQ208" s="4152"/>
      <c r="AS208" s="2593"/>
    </row>
    <row r="209" spans="1:45" ht="33.75" customHeight="1" x14ac:dyDescent="0.2">
      <c r="A209" s="1238"/>
      <c r="B209" s="1239"/>
      <c r="C209" s="1240"/>
      <c r="D209" s="1239"/>
      <c r="E209" s="1239"/>
      <c r="F209" s="1240"/>
      <c r="G209" s="1244"/>
      <c r="H209" s="1239"/>
      <c r="I209" s="1240"/>
      <c r="J209" s="4129"/>
      <c r="K209" s="4216"/>
      <c r="L209" s="4123"/>
      <c r="M209" s="4123"/>
      <c r="N209" s="2500"/>
      <c r="O209" s="4123"/>
      <c r="P209" s="4120"/>
      <c r="Q209" s="4140"/>
      <c r="R209" s="4143"/>
      <c r="S209" s="4120"/>
      <c r="T209" s="4120"/>
      <c r="U209" s="4276" t="s">
        <v>428</v>
      </c>
      <c r="V209" s="1533">
        <v>718800528</v>
      </c>
      <c r="W209" s="2548">
        <v>63</v>
      </c>
      <c r="X209" s="2513" t="s">
        <v>427</v>
      </c>
      <c r="Y209" s="4275"/>
      <c r="Z209" s="4123"/>
      <c r="AA209" s="4135"/>
      <c r="AB209" s="4135"/>
      <c r="AC209" s="4135"/>
      <c r="AD209" s="4135"/>
      <c r="AE209" s="4135"/>
      <c r="AF209" s="4135"/>
      <c r="AG209" s="4135"/>
      <c r="AH209" s="4135"/>
      <c r="AI209" s="4135"/>
      <c r="AJ209" s="4135"/>
      <c r="AK209" s="4135"/>
      <c r="AL209" s="4135"/>
      <c r="AM209" s="4135"/>
      <c r="AN209" s="4135"/>
      <c r="AO209" s="4272"/>
      <c r="AP209" s="4272"/>
      <c r="AQ209" s="4152"/>
      <c r="AS209" s="2593"/>
    </row>
    <row r="210" spans="1:45" ht="45" customHeight="1" x14ac:dyDescent="0.2">
      <c r="A210" s="1238"/>
      <c r="B210" s="1239"/>
      <c r="C210" s="1240"/>
      <c r="D210" s="1239"/>
      <c r="E210" s="1239"/>
      <c r="F210" s="1240"/>
      <c r="G210" s="1244"/>
      <c r="H210" s="1239"/>
      <c r="I210" s="1240"/>
      <c r="J210" s="4129"/>
      <c r="K210" s="4216"/>
      <c r="L210" s="4123"/>
      <c r="M210" s="4123"/>
      <c r="N210" s="2500" t="s">
        <v>429</v>
      </c>
      <c r="O210" s="4123"/>
      <c r="P210" s="4120"/>
      <c r="Q210" s="4140"/>
      <c r="R210" s="4143"/>
      <c r="S210" s="4120"/>
      <c r="T210" s="4120"/>
      <c r="U210" s="4277"/>
      <c r="V210" s="1533">
        <v>590675459</v>
      </c>
      <c r="W210" s="2548">
        <v>99</v>
      </c>
      <c r="X210" s="2513" t="s">
        <v>430</v>
      </c>
      <c r="Y210" s="4275"/>
      <c r="Z210" s="4123"/>
      <c r="AA210" s="4135"/>
      <c r="AB210" s="4135"/>
      <c r="AC210" s="4135"/>
      <c r="AD210" s="4135"/>
      <c r="AE210" s="4135"/>
      <c r="AF210" s="4135"/>
      <c r="AG210" s="4135"/>
      <c r="AH210" s="4135"/>
      <c r="AI210" s="4135"/>
      <c r="AJ210" s="4135"/>
      <c r="AK210" s="4135"/>
      <c r="AL210" s="4135"/>
      <c r="AM210" s="4135"/>
      <c r="AN210" s="4135"/>
      <c r="AO210" s="4272"/>
      <c r="AP210" s="4272"/>
      <c r="AQ210" s="4152"/>
      <c r="AS210" s="2593"/>
    </row>
    <row r="211" spans="1:45" ht="42.75" x14ac:dyDescent="0.2">
      <c r="A211" s="1238"/>
      <c r="B211" s="1239"/>
      <c r="C211" s="1240"/>
      <c r="D211" s="1239"/>
      <c r="E211" s="1239"/>
      <c r="F211" s="1240"/>
      <c r="G211" s="1244"/>
      <c r="H211" s="1239"/>
      <c r="I211" s="1240"/>
      <c r="J211" s="4129"/>
      <c r="K211" s="4216"/>
      <c r="L211" s="4123"/>
      <c r="M211" s="4123"/>
      <c r="N211" s="2500" t="s">
        <v>431</v>
      </c>
      <c r="O211" s="4123"/>
      <c r="P211" s="4120"/>
      <c r="Q211" s="4140"/>
      <c r="R211" s="4143"/>
      <c r="S211" s="4120"/>
      <c r="T211" s="4120"/>
      <c r="U211" s="1557" t="s">
        <v>432</v>
      </c>
      <c r="V211" s="1533">
        <v>20000000</v>
      </c>
      <c r="W211" s="2548">
        <v>63</v>
      </c>
      <c r="X211" s="2513" t="s">
        <v>427</v>
      </c>
      <c r="Y211" s="4275"/>
      <c r="Z211" s="4123"/>
      <c r="AA211" s="4135"/>
      <c r="AB211" s="4135"/>
      <c r="AC211" s="4135"/>
      <c r="AD211" s="4135"/>
      <c r="AE211" s="4135"/>
      <c r="AF211" s="4135"/>
      <c r="AG211" s="4135"/>
      <c r="AH211" s="4135"/>
      <c r="AI211" s="4135"/>
      <c r="AJ211" s="4135"/>
      <c r="AK211" s="4135"/>
      <c r="AL211" s="4135"/>
      <c r="AM211" s="4135"/>
      <c r="AN211" s="4135"/>
      <c r="AO211" s="4272"/>
      <c r="AP211" s="4272"/>
      <c r="AQ211" s="4152"/>
      <c r="AS211" s="2593"/>
    </row>
    <row r="212" spans="1:45" ht="57" x14ac:dyDescent="0.2">
      <c r="A212" s="1238"/>
      <c r="B212" s="1239"/>
      <c r="C212" s="1240"/>
      <c r="D212" s="1239"/>
      <c r="E212" s="1239"/>
      <c r="F212" s="1240"/>
      <c r="G212" s="1244"/>
      <c r="H212" s="1239"/>
      <c r="I212" s="1240"/>
      <c r="J212" s="4129"/>
      <c r="K212" s="4216"/>
      <c r="L212" s="4123"/>
      <c r="M212" s="4123"/>
      <c r="N212" s="2506" t="s">
        <v>433</v>
      </c>
      <c r="O212" s="4123"/>
      <c r="P212" s="4120"/>
      <c r="Q212" s="4140"/>
      <c r="R212" s="4143"/>
      <c r="S212" s="4120"/>
      <c r="T212" s="4120"/>
      <c r="U212" s="1558" t="s">
        <v>434</v>
      </c>
      <c r="V212" s="1533">
        <v>20000000</v>
      </c>
      <c r="W212" s="2548">
        <v>63</v>
      </c>
      <c r="X212" s="2513" t="s">
        <v>427</v>
      </c>
      <c r="Y212" s="4275"/>
      <c r="Z212" s="4123"/>
      <c r="AA212" s="4135"/>
      <c r="AB212" s="4135"/>
      <c r="AC212" s="4135"/>
      <c r="AD212" s="4135"/>
      <c r="AE212" s="4135"/>
      <c r="AF212" s="4135"/>
      <c r="AG212" s="4135"/>
      <c r="AH212" s="4135"/>
      <c r="AI212" s="4135"/>
      <c r="AJ212" s="4135"/>
      <c r="AK212" s="4135"/>
      <c r="AL212" s="4135"/>
      <c r="AM212" s="4135"/>
      <c r="AN212" s="4135"/>
      <c r="AO212" s="4272"/>
      <c r="AP212" s="4272"/>
      <c r="AQ212" s="4152"/>
      <c r="AS212" s="2593"/>
    </row>
    <row r="213" spans="1:45" ht="57" x14ac:dyDescent="0.2">
      <c r="A213" s="1238"/>
      <c r="B213" s="1239"/>
      <c r="C213" s="1240"/>
      <c r="D213" s="1239"/>
      <c r="E213" s="1239"/>
      <c r="F213" s="1240"/>
      <c r="G213" s="1244"/>
      <c r="H213" s="1239"/>
      <c r="I213" s="1240"/>
      <c r="J213" s="4129"/>
      <c r="K213" s="4216"/>
      <c r="L213" s="4123"/>
      <c r="M213" s="4123"/>
      <c r="N213" s="1277"/>
      <c r="O213" s="4123"/>
      <c r="P213" s="4120"/>
      <c r="Q213" s="4140"/>
      <c r="R213" s="4143"/>
      <c r="S213" s="4120"/>
      <c r="T213" s="4120"/>
      <c r="U213" s="1223" t="s">
        <v>435</v>
      </c>
      <c r="V213" s="1535">
        <v>20000000</v>
      </c>
      <c r="W213" s="2557">
        <v>63</v>
      </c>
      <c r="X213" s="2497" t="s">
        <v>427</v>
      </c>
      <c r="Y213" s="4172"/>
      <c r="Z213" s="4123"/>
      <c r="AA213" s="4135"/>
      <c r="AB213" s="4135"/>
      <c r="AC213" s="4135"/>
      <c r="AD213" s="4135"/>
      <c r="AE213" s="4135"/>
      <c r="AF213" s="4135"/>
      <c r="AG213" s="4135"/>
      <c r="AH213" s="4135"/>
      <c r="AI213" s="4135"/>
      <c r="AJ213" s="4135"/>
      <c r="AK213" s="4135"/>
      <c r="AL213" s="4135"/>
      <c r="AM213" s="4135"/>
      <c r="AN213" s="4135"/>
      <c r="AO213" s="4272"/>
      <c r="AP213" s="4272"/>
      <c r="AQ213" s="4152"/>
      <c r="AS213" s="2593"/>
    </row>
    <row r="214" spans="1:45" ht="45" customHeight="1" x14ac:dyDescent="0.2">
      <c r="A214" s="1238"/>
      <c r="B214" s="1239"/>
      <c r="C214" s="1240"/>
      <c r="D214" s="1239"/>
      <c r="E214" s="1239"/>
      <c r="F214" s="1240"/>
      <c r="G214" s="1244"/>
      <c r="H214" s="1239"/>
      <c r="I214" s="1240"/>
      <c r="J214" s="4129"/>
      <c r="K214" s="4216"/>
      <c r="L214" s="4123"/>
      <c r="M214" s="4123"/>
      <c r="O214" s="4123"/>
      <c r="P214" s="4120"/>
      <c r="Q214" s="4140"/>
      <c r="R214" s="4143"/>
      <c r="S214" s="4120"/>
      <c r="T214" s="4120"/>
      <c r="U214" s="1223" t="s">
        <v>436</v>
      </c>
      <c r="V214" s="1535">
        <v>20000000</v>
      </c>
      <c r="W214" s="2555">
        <v>63</v>
      </c>
      <c r="X214" s="2497" t="s">
        <v>427</v>
      </c>
      <c r="Y214" s="4172"/>
      <c r="Z214" s="4123"/>
      <c r="AA214" s="4135"/>
      <c r="AB214" s="4135"/>
      <c r="AC214" s="4135"/>
      <c r="AD214" s="4135"/>
      <c r="AE214" s="4135"/>
      <c r="AF214" s="4135"/>
      <c r="AG214" s="4135"/>
      <c r="AH214" s="4135"/>
      <c r="AI214" s="4135"/>
      <c r="AJ214" s="4135"/>
      <c r="AK214" s="4135"/>
      <c r="AL214" s="4135"/>
      <c r="AM214" s="4135"/>
      <c r="AN214" s="4135"/>
      <c r="AO214" s="4272"/>
      <c r="AP214" s="4272"/>
      <c r="AQ214" s="4152"/>
      <c r="AS214" s="2593"/>
    </row>
    <row r="215" spans="1:45" ht="81" customHeight="1" x14ac:dyDescent="0.2">
      <c r="A215" s="1213"/>
      <c r="B215" s="1214"/>
      <c r="C215" s="1215"/>
      <c r="D215" s="1214"/>
      <c r="E215" s="1214"/>
      <c r="F215" s="1215"/>
      <c r="G215" s="1226"/>
      <c r="H215" s="1224"/>
      <c r="I215" s="1225"/>
      <c r="J215" s="4129"/>
      <c r="K215" s="4245"/>
      <c r="L215" s="4124"/>
      <c r="M215" s="4124"/>
      <c r="N215" s="2504"/>
      <c r="O215" s="4124"/>
      <c r="P215" s="4121"/>
      <c r="Q215" s="4141"/>
      <c r="R215" s="4144"/>
      <c r="S215" s="4121"/>
      <c r="T215" s="4121"/>
      <c r="U215" s="1223" t="s">
        <v>437</v>
      </c>
      <c r="V215" s="1535">
        <v>20000000</v>
      </c>
      <c r="W215" s="2555">
        <v>61</v>
      </c>
      <c r="X215" s="2513" t="s">
        <v>380</v>
      </c>
      <c r="Y215" s="4173"/>
      <c r="Z215" s="4124"/>
      <c r="AA215" s="4136"/>
      <c r="AB215" s="4136"/>
      <c r="AC215" s="4136"/>
      <c r="AD215" s="4136"/>
      <c r="AE215" s="4136"/>
      <c r="AF215" s="4136"/>
      <c r="AG215" s="4136"/>
      <c r="AH215" s="4136"/>
      <c r="AI215" s="4136"/>
      <c r="AJ215" s="4136"/>
      <c r="AK215" s="4136"/>
      <c r="AL215" s="4136"/>
      <c r="AM215" s="4136"/>
      <c r="AN215" s="4136"/>
      <c r="AO215" s="4273"/>
      <c r="AP215" s="4273"/>
      <c r="AQ215" s="4153"/>
      <c r="AS215" s="2593"/>
    </row>
    <row r="216" spans="1:45" ht="36" customHeight="1" x14ac:dyDescent="0.2">
      <c r="A216" s="1199"/>
      <c r="B216" s="1200"/>
      <c r="C216" s="1201"/>
      <c r="D216" s="1200"/>
      <c r="E216" s="1200"/>
      <c r="F216" s="1201"/>
      <c r="G216" s="1234">
        <v>44</v>
      </c>
      <c r="H216" s="1205" t="s">
        <v>438</v>
      </c>
      <c r="I216" s="1205"/>
      <c r="J216" s="1205"/>
      <c r="K216" s="1206"/>
      <c r="L216" s="1205"/>
      <c r="M216" s="1205"/>
      <c r="N216" s="1207"/>
      <c r="O216" s="1205"/>
      <c r="P216" s="1206"/>
      <c r="Q216" s="1205"/>
      <c r="R216" s="1235"/>
      <c r="S216" s="1205"/>
      <c r="T216" s="1206"/>
      <c r="U216" s="1205"/>
      <c r="V216" s="1559"/>
      <c r="W216" s="1550"/>
      <c r="X216" s="1551"/>
      <c r="Y216" s="1551"/>
      <c r="Z216" s="1551"/>
      <c r="AA216" s="1551"/>
      <c r="AB216" s="1207"/>
      <c r="AC216" s="1207"/>
      <c r="AD216" s="1207"/>
      <c r="AE216" s="1207"/>
      <c r="AF216" s="1207"/>
      <c r="AG216" s="1207"/>
      <c r="AH216" s="1207"/>
      <c r="AI216" s="1207"/>
      <c r="AJ216" s="1207"/>
      <c r="AK216" s="1207"/>
      <c r="AL216" s="1207"/>
      <c r="AM216" s="1207"/>
      <c r="AN216" s="1207"/>
      <c r="AO216" s="1207"/>
      <c r="AP216" s="1205"/>
      <c r="AQ216" s="1212"/>
      <c r="AS216" s="2593"/>
    </row>
    <row r="217" spans="1:45" ht="95.25" customHeight="1" x14ac:dyDescent="0.2">
      <c r="A217" s="1213"/>
      <c r="B217" s="1214"/>
      <c r="C217" s="1215"/>
      <c r="D217" s="1214"/>
      <c r="E217" s="1214"/>
      <c r="F217" s="1215"/>
      <c r="G217" s="1216"/>
      <c r="H217" s="1217"/>
      <c r="I217" s="1218"/>
      <c r="J217" s="4116">
        <v>154</v>
      </c>
      <c r="K217" s="4119" t="s">
        <v>439</v>
      </c>
      <c r="L217" s="4122" t="s">
        <v>169</v>
      </c>
      <c r="M217" s="4122">
        <v>5</v>
      </c>
      <c r="N217" s="4122" t="s">
        <v>440</v>
      </c>
      <c r="O217" s="4122" t="s">
        <v>441</v>
      </c>
      <c r="P217" s="4119" t="s">
        <v>442</v>
      </c>
      <c r="Q217" s="4139">
        <f>SUM(V217:V223)/R217</f>
        <v>0.18272536398900383</v>
      </c>
      <c r="R217" s="4142">
        <f>SUM(V217:V247)</f>
        <v>317416251</v>
      </c>
      <c r="S217" s="4119" t="s">
        <v>443</v>
      </c>
      <c r="T217" s="4119" t="s">
        <v>444</v>
      </c>
      <c r="U217" s="1223" t="s">
        <v>445</v>
      </c>
      <c r="V217" s="1535">
        <v>4000000</v>
      </c>
      <c r="W217" s="2555">
        <v>61</v>
      </c>
      <c r="X217" s="2507" t="s">
        <v>380</v>
      </c>
      <c r="Y217" s="4284">
        <v>292684</v>
      </c>
      <c r="Z217" s="4281">
        <v>282326</v>
      </c>
      <c r="AA217" s="4134" t="s">
        <v>177</v>
      </c>
      <c r="AB217" s="4134" t="s">
        <v>177</v>
      </c>
      <c r="AC217" s="4154" t="s">
        <v>177</v>
      </c>
      <c r="AD217" s="4134" t="s">
        <v>177</v>
      </c>
      <c r="AE217" s="4134">
        <v>2145</v>
      </c>
      <c r="AF217" s="4134">
        <v>12718</v>
      </c>
      <c r="AG217" s="4134">
        <v>26</v>
      </c>
      <c r="AH217" s="4134">
        <v>37</v>
      </c>
      <c r="AI217" s="4134" t="s">
        <v>177</v>
      </c>
      <c r="AJ217" s="4134" t="s">
        <v>177</v>
      </c>
      <c r="AK217" s="4134">
        <v>53164</v>
      </c>
      <c r="AL217" s="4134">
        <v>16982</v>
      </c>
      <c r="AM217" s="4134">
        <v>60013</v>
      </c>
      <c r="AN217" s="4134">
        <v>575010</v>
      </c>
      <c r="AO217" s="4271">
        <v>43467</v>
      </c>
      <c r="AP217" s="4271">
        <v>43830</v>
      </c>
      <c r="AQ217" s="4287" t="s">
        <v>178</v>
      </c>
      <c r="AR217" s="2594"/>
      <c r="AS217" s="2593"/>
    </row>
    <row r="218" spans="1:45" ht="58.5" customHeight="1" x14ac:dyDescent="0.2">
      <c r="A218" s="1213"/>
      <c r="B218" s="1214"/>
      <c r="C218" s="1215"/>
      <c r="D218" s="1214"/>
      <c r="E218" s="1214"/>
      <c r="F218" s="1215"/>
      <c r="G218" s="1222"/>
      <c r="H218" s="1214"/>
      <c r="I218" s="1215"/>
      <c r="J218" s="4117"/>
      <c r="K218" s="4120"/>
      <c r="L218" s="4123"/>
      <c r="M218" s="4123"/>
      <c r="N218" s="4123"/>
      <c r="O218" s="4123"/>
      <c r="P218" s="4120"/>
      <c r="Q218" s="4140"/>
      <c r="R218" s="4143"/>
      <c r="S218" s="4120"/>
      <c r="T218" s="4120"/>
      <c r="U218" s="1223" t="s">
        <v>446</v>
      </c>
      <c r="V218" s="1535">
        <v>3000000</v>
      </c>
      <c r="W218" s="2555">
        <v>61</v>
      </c>
      <c r="X218" s="2507" t="s">
        <v>380</v>
      </c>
      <c r="Y218" s="4285"/>
      <c r="Z218" s="4282"/>
      <c r="AA218" s="4135"/>
      <c r="AB218" s="4135"/>
      <c r="AC218" s="4155"/>
      <c r="AD218" s="4135"/>
      <c r="AE218" s="4135"/>
      <c r="AF218" s="4135"/>
      <c r="AG218" s="4135"/>
      <c r="AH218" s="4135"/>
      <c r="AI218" s="4135"/>
      <c r="AJ218" s="4135"/>
      <c r="AK218" s="4135"/>
      <c r="AL218" s="4135"/>
      <c r="AM218" s="4135"/>
      <c r="AN218" s="4135"/>
      <c r="AO218" s="4272"/>
      <c r="AP218" s="4272"/>
      <c r="AQ218" s="4288"/>
      <c r="AR218" s="2594"/>
      <c r="AS218" s="2593"/>
    </row>
    <row r="219" spans="1:45" ht="86.25" customHeight="1" x14ac:dyDescent="0.2">
      <c r="A219" s="1213"/>
      <c r="B219" s="1214"/>
      <c r="C219" s="1215"/>
      <c r="D219" s="1214"/>
      <c r="E219" s="1214"/>
      <c r="F219" s="1215"/>
      <c r="G219" s="1222"/>
      <c r="H219" s="1214"/>
      <c r="I219" s="1215"/>
      <c r="J219" s="4117"/>
      <c r="K219" s="4120"/>
      <c r="L219" s="4123"/>
      <c r="M219" s="4123"/>
      <c r="N219" s="4123"/>
      <c r="O219" s="4123"/>
      <c r="P219" s="4120"/>
      <c r="Q219" s="4140"/>
      <c r="R219" s="4143"/>
      <c r="S219" s="4120"/>
      <c r="T219" s="4120"/>
      <c r="U219" s="1223" t="s">
        <v>447</v>
      </c>
      <c r="V219" s="1535">
        <v>16000000</v>
      </c>
      <c r="W219" s="2555">
        <v>61</v>
      </c>
      <c r="X219" s="2507" t="s">
        <v>380</v>
      </c>
      <c r="Y219" s="4285"/>
      <c r="Z219" s="4282"/>
      <c r="AA219" s="4135"/>
      <c r="AB219" s="4135"/>
      <c r="AC219" s="4155"/>
      <c r="AD219" s="4135"/>
      <c r="AE219" s="4135"/>
      <c r="AF219" s="4135"/>
      <c r="AG219" s="4135"/>
      <c r="AH219" s="4135"/>
      <c r="AI219" s="4135"/>
      <c r="AJ219" s="4135"/>
      <c r="AK219" s="4135"/>
      <c r="AL219" s="4135"/>
      <c r="AM219" s="4135"/>
      <c r="AN219" s="4135"/>
      <c r="AO219" s="4272"/>
      <c r="AP219" s="4272"/>
      <c r="AQ219" s="4288"/>
      <c r="AR219" s="2594"/>
      <c r="AS219" s="2593"/>
    </row>
    <row r="220" spans="1:45" ht="79.5" customHeight="1" x14ac:dyDescent="0.2">
      <c r="A220" s="1213"/>
      <c r="B220" s="1214"/>
      <c r="C220" s="1215"/>
      <c r="D220" s="1214"/>
      <c r="E220" s="1214"/>
      <c r="F220" s="1215"/>
      <c r="G220" s="1222"/>
      <c r="H220" s="1214"/>
      <c r="I220" s="1215"/>
      <c r="J220" s="4117"/>
      <c r="K220" s="4120"/>
      <c r="L220" s="4123"/>
      <c r="M220" s="4123"/>
      <c r="N220" s="4123"/>
      <c r="O220" s="4123"/>
      <c r="P220" s="4120"/>
      <c r="Q220" s="4140"/>
      <c r="R220" s="4143"/>
      <c r="S220" s="4120"/>
      <c r="T220" s="4120"/>
      <c r="U220" s="1223" t="s">
        <v>448</v>
      </c>
      <c r="V220" s="1535">
        <v>6000000</v>
      </c>
      <c r="W220" s="2555">
        <v>61</v>
      </c>
      <c r="X220" s="2507" t="s">
        <v>380</v>
      </c>
      <c r="Y220" s="4285"/>
      <c r="Z220" s="4282"/>
      <c r="AA220" s="4135"/>
      <c r="AB220" s="4135"/>
      <c r="AC220" s="4155"/>
      <c r="AD220" s="4135"/>
      <c r="AE220" s="4135"/>
      <c r="AF220" s="4135"/>
      <c r="AG220" s="4135"/>
      <c r="AH220" s="4135"/>
      <c r="AI220" s="4135"/>
      <c r="AJ220" s="4135"/>
      <c r="AK220" s="4135"/>
      <c r="AL220" s="4135"/>
      <c r="AM220" s="4135"/>
      <c r="AN220" s="4135"/>
      <c r="AO220" s="4272"/>
      <c r="AP220" s="4272"/>
      <c r="AQ220" s="4288"/>
      <c r="AS220" s="2593"/>
    </row>
    <row r="221" spans="1:45" ht="133.5" customHeight="1" x14ac:dyDescent="0.2">
      <c r="A221" s="1213"/>
      <c r="B221" s="1214"/>
      <c r="C221" s="1215"/>
      <c r="D221" s="1214"/>
      <c r="E221" s="1214"/>
      <c r="F221" s="1215"/>
      <c r="G221" s="1222"/>
      <c r="H221" s="1214"/>
      <c r="I221" s="1215"/>
      <c r="J221" s="4117"/>
      <c r="K221" s="4120"/>
      <c r="L221" s="4123"/>
      <c r="M221" s="4123"/>
      <c r="N221" s="4123"/>
      <c r="O221" s="4123"/>
      <c r="P221" s="4120"/>
      <c r="Q221" s="4140"/>
      <c r="R221" s="4143"/>
      <c r="S221" s="4120"/>
      <c r="T221" s="4120"/>
      <c r="U221" s="1223" t="s">
        <v>449</v>
      </c>
      <c r="V221" s="1535">
        <v>3000000</v>
      </c>
      <c r="W221" s="2555">
        <v>61</v>
      </c>
      <c r="X221" s="2507" t="s">
        <v>380</v>
      </c>
      <c r="Y221" s="4285"/>
      <c r="Z221" s="4282"/>
      <c r="AA221" s="4135"/>
      <c r="AB221" s="4135"/>
      <c r="AC221" s="4155"/>
      <c r="AD221" s="4135"/>
      <c r="AE221" s="4135"/>
      <c r="AF221" s="4135"/>
      <c r="AG221" s="4135"/>
      <c r="AH221" s="4135"/>
      <c r="AI221" s="4135"/>
      <c r="AJ221" s="4135"/>
      <c r="AK221" s="4135"/>
      <c r="AL221" s="4135"/>
      <c r="AM221" s="4135"/>
      <c r="AN221" s="4135"/>
      <c r="AO221" s="4272"/>
      <c r="AP221" s="4272"/>
      <c r="AQ221" s="4288"/>
      <c r="AS221" s="2593"/>
    </row>
    <row r="222" spans="1:45" ht="32.25" customHeight="1" x14ac:dyDescent="0.2">
      <c r="A222" s="1213"/>
      <c r="B222" s="1214"/>
      <c r="C222" s="1215"/>
      <c r="D222" s="1214"/>
      <c r="E222" s="1214"/>
      <c r="F222" s="1215"/>
      <c r="G222" s="1222"/>
      <c r="H222" s="1214"/>
      <c r="I222" s="1215"/>
      <c r="J222" s="4117"/>
      <c r="K222" s="4120"/>
      <c r="L222" s="4123"/>
      <c r="M222" s="4123"/>
      <c r="N222" s="4123"/>
      <c r="O222" s="4123"/>
      <c r="P222" s="4120"/>
      <c r="Q222" s="4140"/>
      <c r="R222" s="4143"/>
      <c r="S222" s="4120"/>
      <c r="T222" s="4120"/>
      <c r="U222" s="4137" t="s">
        <v>450</v>
      </c>
      <c r="V222" s="1535">
        <v>12000000</v>
      </c>
      <c r="W222" s="2555">
        <v>61</v>
      </c>
      <c r="X222" s="2507" t="s">
        <v>380</v>
      </c>
      <c r="Y222" s="4285"/>
      <c r="Z222" s="4282"/>
      <c r="AA222" s="4135"/>
      <c r="AB222" s="4135"/>
      <c r="AC222" s="4155"/>
      <c r="AD222" s="4135"/>
      <c r="AE222" s="4135"/>
      <c r="AF222" s="4135"/>
      <c r="AG222" s="4135"/>
      <c r="AH222" s="4135"/>
      <c r="AI222" s="4135"/>
      <c r="AJ222" s="4135"/>
      <c r="AK222" s="4135"/>
      <c r="AL222" s="4135"/>
      <c r="AM222" s="4135"/>
      <c r="AN222" s="4135"/>
      <c r="AO222" s="4272"/>
      <c r="AP222" s="4272"/>
      <c r="AQ222" s="4288"/>
      <c r="AS222" s="2593"/>
    </row>
    <row r="223" spans="1:45" ht="54.75" customHeight="1" x14ac:dyDescent="0.2">
      <c r="A223" s="1213"/>
      <c r="B223" s="1214"/>
      <c r="C223" s="1215"/>
      <c r="D223" s="1214"/>
      <c r="E223" s="1214"/>
      <c r="F223" s="1215"/>
      <c r="G223" s="1222"/>
      <c r="H223" s="1214"/>
      <c r="I223" s="1215"/>
      <c r="J223" s="4118"/>
      <c r="K223" s="4121"/>
      <c r="L223" s="4124"/>
      <c r="M223" s="4124"/>
      <c r="N223" s="4123"/>
      <c r="O223" s="4123"/>
      <c r="P223" s="4120"/>
      <c r="Q223" s="4141"/>
      <c r="R223" s="4143"/>
      <c r="S223" s="4120"/>
      <c r="T223" s="4121"/>
      <c r="U223" s="4138"/>
      <c r="V223" s="1535">
        <v>14000000</v>
      </c>
      <c r="W223" s="2555">
        <v>98</v>
      </c>
      <c r="X223" s="2507" t="s">
        <v>451</v>
      </c>
      <c r="Y223" s="4285"/>
      <c r="Z223" s="4282"/>
      <c r="AA223" s="4135"/>
      <c r="AB223" s="4135"/>
      <c r="AC223" s="4155"/>
      <c r="AD223" s="4135"/>
      <c r="AE223" s="4135"/>
      <c r="AF223" s="4135"/>
      <c r="AG223" s="4135"/>
      <c r="AH223" s="4135"/>
      <c r="AI223" s="4135"/>
      <c r="AJ223" s="4135"/>
      <c r="AK223" s="4135"/>
      <c r="AL223" s="4135"/>
      <c r="AM223" s="4135"/>
      <c r="AN223" s="4135"/>
      <c r="AO223" s="4272"/>
      <c r="AP223" s="4272"/>
      <c r="AQ223" s="4288"/>
      <c r="AS223" s="2593"/>
    </row>
    <row r="224" spans="1:45" ht="61.5" customHeight="1" x14ac:dyDescent="0.2">
      <c r="A224" s="1213"/>
      <c r="B224" s="1214"/>
      <c r="C224" s="1215"/>
      <c r="D224" s="1214"/>
      <c r="E224" s="1214"/>
      <c r="F224" s="1215"/>
      <c r="G224" s="1222"/>
      <c r="H224" s="1214"/>
      <c r="I224" s="1215"/>
      <c r="J224" s="4116">
        <v>155</v>
      </c>
      <c r="K224" s="4119" t="s">
        <v>452</v>
      </c>
      <c r="L224" s="4122" t="s">
        <v>169</v>
      </c>
      <c r="M224" s="4122">
        <v>1</v>
      </c>
      <c r="N224" s="4123"/>
      <c r="O224" s="4123"/>
      <c r="P224" s="4120"/>
      <c r="Q224" s="4139">
        <f>SUM(V224:V232)/R217</f>
        <v>0.31346851236044621</v>
      </c>
      <c r="R224" s="4143"/>
      <c r="S224" s="4120"/>
      <c r="T224" s="4119" t="s">
        <v>453</v>
      </c>
      <c r="U224" s="1223" t="s">
        <v>454</v>
      </c>
      <c r="V224" s="1535">
        <v>1000000</v>
      </c>
      <c r="W224" s="2555">
        <v>61</v>
      </c>
      <c r="X224" s="2507" t="s">
        <v>380</v>
      </c>
      <c r="Y224" s="4285"/>
      <c r="Z224" s="4282"/>
      <c r="AA224" s="4135"/>
      <c r="AB224" s="4135"/>
      <c r="AC224" s="4155"/>
      <c r="AD224" s="4135"/>
      <c r="AE224" s="4135"/>
      <c r="AF224" s="4135"/>
      <c r="AG224" s="4135"/>
      <c r="AH224" s="4135"/>
      <c r="AI224" s="4135"/>
      <c r="AJ224" s="4135"/>
      <c r="AK224" s="4135"/>
      <c r="AL224" s="4135"/>
      <c r="AM224" s="4135"/>
      <c r="AN224" s="4135"/>
      <c r="AO224" s="4272"/>
      <c r="AP224" s="4272"/>
      <c r="AQ224" s="4288"/>
      <c r="AS224" s="2593"/>
    </row>
    <row r="225" spans="1:43" ht="85.5" x14ac:dyDescent="0.2">
      <c r="A225" s="1213"/>
      <c r="B225" s="1214"/>
      <c r="C225" s="1215"/>
      <c r="D225" s="1214"/>
      <c r="E225" s="1214"/>
      <c r="F225" s="1215"/>
      <c r="G225" s="1222"/>
      <c r="H225" s="1214"/>
      <c r="I225" s="1215"/>
      <c r="J225" s="4117"/>
      <c r="K225" s="4120"/>
      <c r="L225" s="4123"/>
      <c r="M225" s="4123"/>
      <c r="N225" s="4123"/>
      <c r="O225" s="4123"/>
      <c r="P225" s="4120"/>
      <c r="Q225" s="4140"/>
      <c r="R225" s="4143"/>
      <c r="S225" s="4120"/>
      <c r="T225" s="4120"/>
      <c r="U225" s="1223" t="s">
        <v>455</v>
      </c>
      <c r="V225" s="1535">
        <v>18000000</v>
      </c>
      <c r="W225" s="2555">
        <v>61</v>
      </c>
      <c r="X225" s="2507" t="s">
        <v>380</v>
      </c>
      <c r="Y225" s="4285"/>
      <c r="Z225" s="4282"/>
      <c r="AA225" s="4135"/>
      <c r="AB225" s="4135"/>
      <c r="AC225" s="4155"/>
      <c r="AD225" s="4135"/>
      <c r="AE225" s="4135"/>
      <c r="AF225" s="4135"/>
      <c r="AG225" s="4135"/>
      <c r="AH225" s="4135"/>
      <c r="AI225" s="4135"/>
      <c r="AJ225" s="4135"/>
      <c r="AK225" s="4135"/>
      <c r="AL225" s="4135"/>
      <c r="AM225" s="4135"/>
      <c r="AN225" s="4135"/>
      <c r="AO225" s="4272"/>
      <c r="AP225" s="4272"/>
      <c r="AQ225" s="4288"/>
    </row>
    <row r="226" spans="1:43" ht="26.25" customHeight="1" x14ac:dyDescent="0.2">
      <c r="A226" s="1213"/>
      <c r="B226" s="1214"/>
      <c r="C226" s="1215"/>
      <c r="D226" s="1214"/>
      <c r="E226" s="1214"/>
      <c r="F226" s="1215"/>
      <c r="G226" s="1222"/>
      <c r="H226" s="1214"/>
      <c r="I226" s="1215"/>
      <c r="J226" s="4117"/>
      <c r="K226" s="4120"/>
      <c r="L226" s="4123"/>
      <c r="M226" s="4123"/>
      <c r="N226" s="4123"/>
      <c r="O226" s="4123"/>
      <c r="P226" s="4120"/>
      <c r="Q226" s="4140"/>
      <c r="R226" s="4143"/>
      <c r="S226" s="4120"/>
      <c r="T226" s="4120"/>
      <c r="U226" s="4193" t="s">
        <v>456</v>
      </c>
      <c r="V226" s="1535">
        <v>45000000</v>
      </c>
      <c r="W226" s="2555">
        <v>61</v>
      </c>
      <c r="X226" s="2507" t="s">
        <v>380</v>
      </c>
      <c r="Y226" s="4285"/>
      <c r="Z226" s="4282"/>
      <c r="AA226" s="4135"/>
      <c r="AB226" s="4135"/>
      <c r="AC226" s="4155"/>
      <c r="AD226" s="4135"/>
      <c r="AE226" s="4135"/>
      <c r="AF226" s="4135"/>
      <c r="AG226" s="4135"/>
      <c r="AH226" s="4135"/>
      <c r="AI226" s="4135"/>
      <c r="AJ226" s="4135"/>
      <c r="AK226" s="4135"/>
      <c r="AL226" s="4135"/>
      <c r="AM226" s="4135"/>
      <c r="AN226" s="4135"/>
      <c r="AO226" s="4272"/>
      <c r="AP226" s="4272"/>
      <c r="AQ226" s="4288"/>
    </row>
    <row r="227" spans="1:43" ht="27.75" customHeight="1" x14ac:dyDescent="0.2">
      <c r="A227" s="1213"/>
      <c r="B227" s="1214"/>
      <c r="C227" s="1215"/>
      <c r="D227" s="1214"/>
      <c r="E227" s="1214"/>
      <c r="F227" s="1215"/>
      <c r="G227" s="1222"/>
      <c r="H227" s="1214"/>
      <c r="I227" s="1215"/>
      <c r="J227" s="4117"/>
      <c r="K227" s="4120"/>
      <c r="L227" s="4123"/>
      <c r="M227" s="4123"/>
      <c r="N227" s="4123"/>
      <c r="O227" s="4123"/>
      <c r="P227" s="4120"/>
      <c r="Q227" s="4140"/>
      <c r="R227" s="4143"/>
      <c r="S227" s="4120"/>
      <c r="T227" s="4120"/>
      <c r="U227" s="4194"/>
      <c r="V227" s="1535">
        <v>15500000</v>
      </c>
      <c r="W227" s="2555">
        <v>98</v>
      </c>
      <c r="X227" s="2507" t="s">
        <v>451</v>
      </c>
      <c r="Y227" s="4285"/>
      <c r="Z227" s="4282"/>
      <c r="AA227" s="4135"/>
      <c r="AB227" s="4135"/>
      <c r="AC227" s="4155"/>
      <c r="AD227" s="4135"/>
      <c r="AE227" s="4135"/>
      <c r="AF227" s="4135"/>
      <c r="AG227" s="4135"/>
      <c r="AH227" s="4135"/>
      <c r="AI227" s="4135"/>
      <c r="AJ227" s="4135"/>
      <c r="AK227" s="4135"/>
      <c r="AL227" s="4135"/>
      <c r="AM227" s="4135"/>
      <c r="AN227" s="4135"/>
      <c r="AO227" s="4272"/>
      <c r="AP227" s="4272"/>
      <c r="AQ227" s="4288"/>
    </row>
    <row r="228" spans="1:43" ht="42.75" x14ac:dyDescent="0.2">
      <c r="A228" s="1213"/>
      <c r="B228" s="1214"/>
      <c r="C228" s="1215"/>
      <c r="D228" s="1214"/>
      <c r="E228" s="1214"/>
      <c r="F228" s="1215"/>
      <c r="G228" s="1222"/>
      <c r="H228" s="1214"/>
      <c r="I228" s="1215"/>
      <c r="J228" s="4117"/>
      <c r="K228" s="4120"/>
      <c r="L228" s="4123"/>
      <c r="M228" s="4123"/>
      <c r="N228" s="4123"/>
      <c r="O228" s="4123"/>
      <c r="P228" s="4120"/>
      <c r="Q228" s="4140"/>
      <c r="R228" s="4143"/>
      <c r="S228" s="4120"/>
      <c r="T228" s="4120"/>
      <c r="U228" s="1223" t="s">
        <v>457</v>
      </c>
      <c r="V228" s="1535">
        <v>1000000</v>
      </c>
      <c r="W228" s="2555">
        <v>61</v>
      </c>
      <c r="X228" s="2507" t="s">
        <v>380</v>
      </c>
      <c r="Y228" s="4285"/>
      <c r="Z228" s="4282"/>
      <c r="AA228" s="4135"/>
      <c r="AB228" s="4135"/>
      <c r="AC228" s="4155"/>
      <c r="AD228" s="4135"/>
      <c r="AE228" s="4135"/>
      <c r="AF228" s="4135"/>
      <c r="AG228" s="4135"/>
      <c r="AH228" s="4135"/>
      <c r="AI228" s="4135"/>
      <c r="AJ228" s="4135"/>
      <c r="AK228" s="4135"/>
      <c r="AL228" s="4135"/>
      <c r="AM228" s="4135"/>
      <c r="AN228" s="4135"/>
      <c r="AO228" s="4272"/>
      <c r="AP228" s="4272"/>
      <c r="AQ228" s="4288"/>
    </row>
    <row r="229" spans="1:43" ht="57" x14ac:dyDescent="0.2">
      <c r="A229" s="1213"/>
      <c r="B229" s="1214"/>
      <c r="C229" s="1215"/>
      <c r="D229" s="1214"/>
      <c r="E229" s="1214"/>
      <c r="F229" s="1215"/>
      <c r="G229" s="1222"/>
      <c r="H229" s="1214"/>
      <c r="I229" s="1215"/>
      <c r="J229" s="4117"/>
      <c r="K229" s="4120"/>
      <c r="L229" s="4123"/>
      <c r="M229" s="4123"/>
      <c r="N229" s="4123"/>
      <c r="O229" s="4123"/>
      <c r="P229" s="4120"/>
      <c r="Q229" s="4140"/>
      <c r="R229" s="4143"/>
      <c r="S229" s="4120"/>
      <c r="T229" s="4120"/>
      <c r="U229" s="1223" t="s">
        <v>458</v>
      </c>
      <c r="V229" s="1535">
        <v>1000000</v>
      </c>
      <c r="W229" s="2555">
        <v>61</v>
      </c>
      <c r="X229" s="2507" t="s">
        <v>380</v>
      </c>
      <c r="Y229" s="4285"/>
      <c r="Z229" s="4282"/>
      <c r="AA229" s="4135"/>
      <c r="AB229" s="4135"/>
      <c r="AC229" s="4155"/>
      <c r="AD229" s="4135"/>
      <c r="AE229" s="4135"/>
      <c r="AF229" s="4135"/>
      <c r="AG229" s="4135"/>
      <c r="AH229" s="4135"/>
      <c r="AI229" s="4135"/>
      <c r="AJ229" s="4135"/>
      <c r="AK229" s="4135"/>
      <c r="AL229" s="4135"/>
      <c r="AM229" s="4135"/>
      <c r="AN229" s="4135"/>
      <c r="AO229" s="4272"/>
      <c r="AP229" s="4272"/>
      <c r="AQ229" s="4288"/>
    </row>
    <row r="230" spans="1:43" ht="42.75" x14ac:dyDescent="0.2">
      <c r="A230" s="1213"/>
      <c r="B230" s="1214"/>
      <c r="C230" s="1215"/>
      <c r="D230" s="1214"/>
      <c r="E230" s="1214"/>
      <c r="F230" s="1215"/>
      <c r="G230" s="1222"/>
      <c r="H230" s="1214"/>
      <c r="I230" s="1215"/>
      <c r="J230" s="4117"/>
      <c r="K230" s="4120"/>
      <c r="L230" s="4123"/>
      <c r="M230" s="4123"/>
      <c r="N230" s="4123"/>
      <c r="O230" s="4123"/>
      <c r="P230" s="4120"/>
      <c r="Q230" s="4140"/>
      <c r="R230" s="4143"/>
      <c r="S230" s="4120"/>
      <c r="T230" s="4120"/>
      <c r="U230" s="1223" t="s">
        <v>459</v>
      </c>
      <c r="V230" s="1535">
        <v>13500000</v>
      </c>
      <c r="W230" s="2555">
        <v>61</v>
      </c>
      <c r="X230" s="2507" t="s">
        <v>380</v>
      </c>
      <c r="Y230" s="4285"/>
      <c r="Z230" s="4282"/>
      <c r="AA230" s="4135"/>
      <c r="AB230" s="4135"/>
      <c r="AC230" s="4155"/>
      <c r="AD230" s="4135"/>
      <c r="AE230" s="4135"/>
      <c r="AF230" s="4135"/>
      <c r="AG230" s="4135"/>
      <c r="AH230" s="4135"/>
      <c r="AI230" s="4135"/>
      <c r="AJ230" s="4135"/>
      <c r="AK230" s="4135"/>
      <c r="AL230" s="4135"/>
      <c r="AM230" s="4135"/>
      <c r="AN230" s="4135"/>
      <c r="AO230" s="4272"/>
      <c r="AP230" s="4272"/>
      <c r="AQ230" s="4288"/>
    </row>
    <row r="231" spans="1:43" ht="28.5" x14ac:dyDescent="0.2">
      <c r="A231" s="1213"/>
      <c r="B231" s="1214"/>
      <c r="C231" s="1215"/>
      <c r="D231" s="1214"/>
      <c r="E231" s="1214"/>
      <c r="F231" s="1215"/>
      <c r="G231" s="1222"/>
      <c r="H231" s="1214"/>
      <c r="I231" s="1215"/>
      <c r="J231" s="4117"/>
      <c r="K231" s="4120"/>
      <c r="L231" s="4123"/>
      <c r="M231" s="4123"/>
      <c r="N231" s="4123"/>
      <c r="O231" s="4123"/>
      <c r="P231" s="4120"/>
      <c r="Q231" s="4140"/>
      <c r="R231" s="4143"/>
      <c r="S231" s="4120"/>
      <c r="T231" s="4120"/>
      <c r="U231" s="1223" t="s">
        <v>460</v>
      </c>
      <c r="V231" s="1535">
        <v>3500000</v>
      </c>
      <c r="W231" s="2555">
        <v>61</v>
      </c>
      <c r="X231" s="2507" t="s">
        <v>380</v>
      </c>
      <c r="Y231" s="4285"/>
      <c r="Z231" s="4282"/>
      <c r="AA231" s="4135"/>
      <c r="AB231" s="4135"/>
      <c r="AC231" s="4155"/>
      <c r="AD231" s="4135"/>
      <c r="AE231" s="4135"/>
      <c r="AF231" s="4135"/>
      <c r="AG231" s="4135"/>
      <c r="AH231" s="4135"/>
      <c r="AI231" s="4135"/>
      <c r="AJ231" s="4135"/>
      <c r="AK231" s="4135"/>
      <c r="AL231" s="4135"/>
      <c r="AM231" s="4135"/>
      <c r="AN231" s="4135"/>
      <c r="AO231" s="4272"/>
      <c r="AP231" s="4272"/>
      <c r="AQ231" s="4288"/>
    </row>
    <row r="232" spans="1:43" ht="42.75" x14ac:dyDescent="0.2">
      <c r="A232" s="1213"/>
      <c r="B232" s="1214"/>
      <c r="C232" s="1215"/>
      <c r="D232" s="1214"/>
      <c r="E232" s="1214"/>
      <c r="F232" s="1215"/>
      <c r="G232" s="1222"/>
      <c r="H232" s="1214"/>
      <c r="I232" s="1215"/>
      <c r="J232" s="4118"/>
      <c r="K232" s="4121"/>
      <c r="L232" s="4124"/>
      <c r="M232" s="4124"/>
      <c r="N232" s="4123"/>
      <c r="O232" s="4123"/>
      <c r="P232" s="4120"/>
      <c r="Q232" s="4141"/>
      <c r="R232" s="4143"/>
      <c r="S232" s="4120"/>
      <c r="T232" s="4121"/>
      <c r="U232" s="1223" t="s">
        <v>461</v>
      </c>
      <c r="V232" s="1535">
        <v>1000000</v>
      </c>
      <c r="W232" s="2555">
        <v>61</v>
      </c>
      <c r="X232" s="2507" t="s">
        <v>380</v>
      </c>
      <c r="Y232" s="4285"/>
      <c r="Z232" s="4282"/>
      <c r="AA232" s="4135"/>
      <c r="AB232" s="4135"/>
      <c r="AC232" s="4155"/>
      <c r="AD232" s="4135"/>
      <c r="AE232" s="4135"/>
      <c r="AF232" s="4135"/>
      <c r="AG232" s="4135"/>
      <c r="AH232" s="4135"/>
      <c r="AI232" s="4135"/>
      <c r="AJ232" s="4135"/>
      <c r="AK232" s="4135"/>
      <c r="AL232" s="4135"/>
      <c r="AM232" s="4135"/>
      <c r="AN232" s="4135"/>
      <c r="AO232" s="4272"/>
      <c r="AP232" s="4272"/>
      <c r="AQ232" s="4288"/>
    </row>
    <row r="233" spans="1:43" ht="68.25" customHeight="1" x14ac:dyDescent="0.2">
      <c r="A233" s="1213"/>
      <c r="B233" s="1214"/>
      <c r="C233" s="1215"/>
      <c r="D233" s="1214"/>
      <c r="E233" s="1214"/>
      <c r="F233" s="1215"/>
      <c r="G233" s="1222"/>
      <c r="H233" s="1214"/>
      <c r="I233" s="1215"/>
      <c r="J233" s="4116">
        <v>156</v>
      </c>
      <c r="K233" s="4119" t="s">
        <v>462</v>
      </c>
      <c r="L233" s="4122" t="s">
        <v>169</v>
      </c>
      <c r="M233" s="4122">
        <v>12</v>
      </c>
      <c r="N233" s="4123"/>
      <c r="O233" s="4123"/>
      <c r="P233" s="4120"/>
      <c r="Q233" s="4139">
        <f>SUM(V233:V239)/R217</f>
        <v>0.32738163428185663</v>
      </c>
      <c r="R233" s="4143"/>
      <c r="S233" s="4120"/>
      <c r="T233" s="4119" t="s">
        <v>463</v>
      </c>
      <c r="U233" s="1223" t="s">
        <v>464</v>
      </c>
      <c r="V233" s="1535">
        <v>20000000</v>
      </c>
      <c r="W233" s="2555">
        <v>61</v>
      </c>
      <c r="X233" s="2507" t="s">
        <v>380</v>
      </c>
      <c r="Y233" s="4285"/>
      <c r="Z233" s="4282"/>
      <c r="AA233" s="4135"/>
      <c r="AB233" s="4135"/>
      <c r="AC233" s="4155"/>
      <c r="AD233" s="4135"/>
      <c r="AE233" s="4135"/>
      <c r="AF233" s="4135"/>
      <c r="AG233" s="4135"/>
      <c r="AH233" s="4135"/>
      <c r="AI233" s="4135"/>
      <c r="AJ233" s="4135"/>
      <c r="AK233" s="4135"/>
      <c r="AL233" s="4135"/>
      <c r="AM233" s="4135"/>
      <c r="AN233" s="4135"/>
      <c r="AO233" s="4272"/>
      <c r="AP233" s="4272"/>
      <c r="AQ233" s="4288"/>
    </row>
    <row r="234" spans="1:43" ht="69.75" customHeight="1" x14ac:dyDescent="0.2">
      <c r="A234" s="1213"/>
      <c r="B234" s="1214"/>
      <c r="C234" s="1215"/>
      <c r="D234" s="1214"/>
      <c r="E234" s="1214"/>
      <c r="F234" s="1215"/>
      <c r="G234" s="1222"/>
      <c r="H234" s="1214"/>
      <c r="I234" s="1215"/>
      <c r="J234" s="4117"/>
      <c r="K234" s="4120"/>
      <c r="L234" s="4123"/>
      <c r="M234" s="4123"/>
      <c r="N234" s="4123"/>
      <c r="O234" s="4123"/>
      <c r="P234" s="4120"/>
      <c r="Q234" s="4140"/>
      <c r="R234" s="4143"/>
      <c r="S234" s="4120"/>
      <c r="T234" s="4120"/>
      <c r="U234" s="1223" t="s">
        <v>465</v>
      </c>
      <c r="V234" s="1535">
        <v>20000000</v>
      </c>
      <c r="W234" s="2555">
        <v>61</v>
      </c>
      <c r="X234" s="2507" t="s">
        <v>380</v>
      </c>
      <c r="Y234" s="4285"/>
      <c r="Z234" s="4282"/>
      <c r="AA234" s="4135"/>
      <c r="AB234" s="4135"/>
      <c r="AC234" s="4155"/>
      <c r="AD234" s="4135"/>
      <c r="AE234" s="4135"/>
      <c r="AF234" s="4135"/>
      <c r="AG234" s="4135"/>
      <c r="AH234" s="4135"/>
      <c r="AI234" s="4135"/>
      <c r="AJ234" s="4135"/>
      <c r="AK234" s="4135"/>
      <c r="AL234" s="4135"/>
      <c r="AM234" s="4135"/>
      <c r="AN234" s="4135"/>
      <c r="AO234" s="4272"/>
      <c r="AP234" s="4272"/>
      <c r="AQ234" s="4288"/>
    </row>
    <row r="235" spans="1:43" ht="57" x14ac:dyDescent="0.2">
      <c r="A235" s="1213"/>
      <c r="B235" s="1214"/>
      <c r="C235" s="1215"/>
      <c r="D235" s="1214"/>
      <c r="E235" s="1214"/>
      <c r="F235" s="1215"/>
      <c r="G235" s="1222"/>
      <c r="H235" s="1214"/>
      <c r="I235" s="1215"/>
      <c r="J235" s="4117"/>
      <c r="K235" s="4120"/>
      <c r="L235" s="4123"/>
      <c r="M235" s="4123"/>
      <c r="N235" s="4123"/>
      <c r="O235" s="4123"/>
      <c r="P235" s="4120"/>
      <c r="Q235" s="4140"/>
      <c r="R235" s="4143"/>
      <c r="S235" s="4120"/>
      <c r="T235" s="4120"/>
      <c r="U235" s="1223" t="s">
        <v>466</v>
      </c>
      <c r="V235" s="1535">
        <v>4000000</v>
      </c>
      <c r="W235" s="2555">
        <v>61</v>
      </c>
      <c r="X235" s="2507" t="s">
        <v>380</v>
      </c>
      <c r="Y235" s="4285"/>
      <c r="Z235" s="4282"/>
      <c r="AA235" s="4135"/>
      <c r="AB235" s="4135"/>
      <c r="AC235" s="4155"/>
      <c r="AD235" s="4135"/>
      <c r="AE235" s="4135"/>
      <c r="AF235" s="4135"/>
      <c r="AG235" s="4135"/>
      <c r="AH235" s="4135"/>
      <c r="AI235" s="4135"/>
      <c r="AJ235" s="4135"/>
      <c r="AK235" s="4135"/>
      <c r="AL235" s="4135"/>
      <c r="AM235" s="4135"/>
      <c r="AN235" s="4135"/>
      <c r="AO235" s="4272"/>
      <c r="AP235" s="4272"/>
      <c r="AQ235" s="4288"/>
    </row>
    <row r="236" spans="1:43" ht="39" customHeight="1" x14ac:dyDescent="0.2">
      <c r="A236" s="1213"/>
      <c r="B236" s="1214"/>
      <c r="C236" s="1215"/>
      <c r="D236" s="1214"/>
      <c r="E236" s="1214"/>
      <c r="F236" s="1215"/>
      <c r="G236" s="1222"/>
      <c r="H236" s="1214"/>
      <c r="I236" s="1215"/>
      <c r="J236" s="4117"/>
      <c r="K236" s="4120"/>
      <c r="L236" s="4123"/>
      <c r="M236" s="4123"/>
      <c r="N236" s="4123"/>
      <c r="O236" s="4123"/>
      <c r="P236" s="4120"/>
      <c r="Q236" s="4140"/>
      <c r="R236" s="4143"/>
      <c r="S236" s="4120"/>
      <c r="T236" s="4120"/>
      <c r="U236" s="4193" t="s">
        <v>467</v>
      </c>
      <c r="V236" s="1535">
        <v>16000000</v>
      </c>
      <c r="W236" s="2555">
        <v>61</v>
      </c>
      <c r="X236" s="2507" t="s">
        <v>380</v>
      </c>
      <c r="Y236" s="4285"/>
      <c r="Z236" s="4282"/>
      <c r="AA236" s="4135"/>
      <c r="AB236" s="4135"/>
      <c r="AC236" s="4155"/>
      <c r="AD236" s="4135"/>
      <c r="AE236" s="4135"/>
      <c r="AF236" s="4135"/>
      <c r="AG236" s="4135"/>
      <c r="AH236" s="4135"/>
      <c r="AI236" s="4135"/>
      <c r="AJ236" s="4135"/>
      <c r="AK236" s="4135"/>
      <c r="AL236" s="4135"/>
      <c r="AM236" s="4135"/>
      <c r="AN236" s="4135"/>
      <c r="AO236" s="4272"/>
      <c r="AP236" s="4272"/>
      <c r="AQ236" s="4288"/>
    </row>
    <row r="237" spans="1:43" ht="27.75" customHeight="1" x14ac:dyDescent="0.2">
      <c r="A237" s="1213"/>
      <c r="B237" s="1214"/>
      <c r="C237" s="1215"/>
      <c r="D237" s="1214"/>
      <c r="E237" s="1214"/>
      <c r="F237" s="1215"/>
      <c r="G237" s="1222"/>
      <c r="H237" s="1214"/>
      <c r="I237" s="1215"/>
      <c r="J237" s="4117"/>
      <c r="K237" s="4120"/>
      <c r="L237" s="4123"/>
      <c r="M237" s="4123"/>
      <c r="N237" s="4123"/>
      <c r="O237" s="4123"/>
      <c r="P237" s="4120"/>
      <c r="Q237" s="4140"/>
      <c r="R237" s="4143"/>
      <c r="S237" s="4120"/>
      <c r="T237" s="4120"/>
      <c r="U237" s="4194"/>
      <c r="V237" s="1535">
        <v>11916251</v>
      </c>
      <c r="W237" s="2555">
        <v>98</v>
      </c>
      <c r="X237" s="2507" t="s">
        <v>451</v>
      </c>
      <c r="Y237" s="4285"/>
      <c r="Z237" s="4282"/>
      <c r="AA237" s="4135"/>
      <c r="AB237" s="4135"/>
      <c r="AC237" s="4155"/>
      <c r="AD237" s="4135"/>
      <c r="AE237" s="4135"/>
      <c r="AF237" s="4135"/>
      <c r="AG237" s="4135"/>
      <c r="AH237" s="4135"/>
      <c r="AI237" s="4135"/>
      <c r="AJ237" s="4135"/>
      <c r="AK237" s="4135"/>
      <c r="AL237" s="4135"/>
      <c r="AM237" s="4135"/>
      <c r="AN237" s="4135"/>
      <c r="AO237" s="4272"/>
      <c r="AP237" s="4272"/>
      <c r="AQ237" s="4288"/>
    </row>
    <row r="238" spans="1:43" ht="42.75" x14ac:dyDescent="0.2">
      <c r="A238" s="1213"/>
      <c r="B238" s="1214"/>
      <c r="C238" s="1215"/>
      <c r="D238" s="1214"/>
      <c r="E238" s="1214"/>
      <c r="F238" s="1215"/>
      <c r="G238" s="1222"/>
      <c r="H238" s="1214"/>
      <c r="I238" s="1215"/>
      <c r="J238" s="4117"/>
      <c r="K238" s="4120"/>
      <c r="L238" s="4123"/>
      <c r="M238" s="4123"/>
      <c r="N238" s="4123"/>
      <c r="O238" s="4123"/>
      <c r="P238" s="4120"/>
      <c r="Q238" s="4140"/>
      <c r="R238" s="4143"/>
      <c r="S238" s="4120"/>
      <c r="T238" s="4120"/>
      <c r="U238" s="1223" t="s">
        <v>468</v>
      </c>
      <c r="V238" s="1535">
        <v>16000000</v>
      </c>
      <c r="W238" s="2555">
        <v>61</v>
      </c>
      <c r="X238" s="2507" t="s">
        <v>380</v>
      </c>
      <c r="Y238" s="4285"/>
      <c r="Z238" s="4282"/>
      <c r="AA238" s="4135"/>
      <c r="AB238" s="4135"/>
      <c r="AC238" s="4155"/>
      <c r="AD238" s="4135"/>
      <c r="AE238" s="4135"/>
      <c r="AF238" s="4135"/>
      <c r="AG238" s="4135"/>
      <c r="AH238" s="4135"/>
      <c r="AI238" s="4135"/>
      <c r="AJ238" s="4135"/>
      <c r="AK238" s="4135"/>
      <c r="AL238" s="4135"/>
      <c r="AM238" s="4135"/>
      <c r="AN238" s="4135"/>
      <c r="AO238" s="4272"/>
      <c r="AP238" s="4272"/>
      <c r="AQ238" s="4288"/>
    </row>
    <row r="239" spans="1:43" ht="51.75" customHeight="1" x14ac:dyDescent="0.2">
      <c r="A239" s="1213"/>
      <c r="B239" s="1214"/>
      <c r="C239" s="1215"/>
      <c r="D239" s="1214"/>
      <c r="E239" s="1214"/>
      <c r="F239" s="1215"/>
      <c r="G239" s="1222"/>
      <c r="H239" s="1214"/>
      <c r="I239" s="1215"/>
      <c r="J239" s="4118"/>
      <c r="K239" s="4121"/>
      <c r="L239" s="4124"/>
      <c r="M239" s="4124"/>
      <c r="N239" s="4123"/>
      <c r="O239" s="4123"/>
      <c r="P239" s="4120"/>
      <c r="Q239" s="4141"/>
      <c r="R239" s="4143"/>
      <c r="S239" s="4120"/>
      <c r="T239" s="4121"/>
      <c r="U239" s="1223" t="s">
        <v>469</v>
      </c>
      <c r="V239" s="1535">
        <v>16000000</v>
      </c>
      <c r="W239" s="2555">
        <v>61</v>
      </c>
      <c r="X239" s="2507" t="s">
        <v>380</v>
      </c>
      <c r="Y239" s="4285"/>
      <c r="Z239" s="4282"/>
      <c r="AA239" s="4135"/>
      <c r="AB239" s="4135"/>
      <c r="AC239" s="4155"/>
      <c r="AD239" s="4135"/>
      <c r="AE239" s="4135"/>
      <c r="AF239" s="4135"/>
      <c r="AG239" s="4135"/>
      <c r="AH239" s="4135"/>
      <c r="AI239" s="4135"/>
      <c r="AJ239" s="4135"/>
      <c r="AK239" s="4135"/>
      <c r="AL239" s="4135"/>
      <c r="AM239" s="4135"/>
      <c r="AN239" s="4135"/>
      <c r="AO239" s="4272"/>
      <c r="AP239" s="4272"/>
      <c r="AQ239" s="4288"/>
    </row>
    <row r="240" spans="1:43" ht="42.75" x14ac:dyDescent="0.2">
      <c r="A240" s="1213"/>
      <c r="B240" s="1214"/>
      <c r="C240" s="1215"/>
      <c r="D240" s="1214"/>
      <c r="E240" s="1214"/>
      <c r="F240" s="1215"/>
      <c r="G240" s="1222"/>
      <c r="H240" s="1214"/>
      <c r="I240" s="1215"/>
      <c r="J240" s="4116">
        <v>157</v>
      </c>
      <c r="K240" s="4119" t="s">
        <v>470</v>
      </c>
      <c r="L240" s="4122" t="s">
        <v>169</v>
      </c>
      <c r="M240" s="4122">
        <v>12</v>
      </c>
      <c r="N240" s="4123"/>
      <c r="O240" s="4123"/>
      <c r="P240" s="4120"/>
      <c r="Q240" s="4139">
        <f>SUM(V240:V247)/R217</f>
        <v>0.17642448936869334</v>
      </c>
      <c r="R240" s="4143"/>
      <c r="S240" s="4120"/>
      <c r="T240" s="4119" t="s">
        <v>471</v>
      </c>
      <c r="U240" s="1223" t="s">
        <v>472</v>
      </c>
      <c r="V240" s="1537">
        <v>4800000</v>
      </c>
      <c r="W240" s="2555">
        <v>61</v>
      </c>
      <c r="X240" s="2507" t="s">
        <v>380</v>
      </c>
      <c r="Y240" s="4285"/>
      <c r="Z240" s="4282"/>
      <c r="AA240" s="4135"/>
      <c r="AB240" s="4135"/>
      <c r="AC240" s="4155"/>
      <c r="AD240" s="4135"/>
      <c r="AE240" s="4135"/>
      <c r="AF240" s="4135"/>
      <c r="AG240" s="4135"/>
      <c r="AH240" s="4135"/>
      <c r="AI240" s="4135"/>
      <c r="AJ240" s="4135"/>
      <c r="AK240" s="4135"/>
      <c r="AL240" s="4135"/>
      <c r="AM240" s="4135"/>
      <c r="AN240" s="4135"/>
      <c r="AO240" s="4272"/>
      <c r="AP240" s="4272"/>
      <c r="AQ240" s="4288"/>
    </row>
    <row r="241" spans="1:44" ht="42.75" x14ac:dyDescent="0.2">
      <c r="A241" s="1213"/>
      <c r="B241" s="1214"/>
      <c r="C241" s="1215"/>
      <c r="D241" s="1214"/>
      <c r="E241" s="1214"/>
      <c r="F241" s="1215"/>
      <c r="G241" s="1222"/>
      <c r="H241" s="1214"/>
      <c r="I241" s="1215"/>
      <c r="J241" s="4117"/>
      <c r="K241" s="4120"/>
      <c r="L241" s="4123"/>
      <c r="M241" s="4123"/>
      <c r="N241" s="4123"/>
      <c r="O241" s="4123"/>
      <c r="P241" s="4120"/>
      <c r="Q241" s="4140"/>
      <c r="R241" s="4143"/>
      <c r="S241" s="4120"/>
      <c r="T241" s="4120"/>
      <c r="U241" s="1223" t="s">
        <v>473</v>
      </c>
      <c r="V241" s="1535">
        <v>10800000</v>
      </c>
      <c r="W241" s="2555">
        <v>61</v>
      </c>
      <c r="X241" s="2507" t="s">
        <v>380</v>
      </c>
      <c r="Y241" s="4285"/>
      <c r="Z241" s="4282"/>
      <c r="AA241" s="4135"/>
      <c r="AB241" s="4135"/>
      <c r="AC241" s="4155"/>
      <c r="AD241" s="4135"/>
      <c r="AE241" s="4135"/>
      <c r="AF241" s="4135"/>
      <c r="AG241" s="4135"/>
      <c r="AH241" s="4135"/>
      <c r="AI241" s="4135"/>
      <c r="AJ241" s="4135"/>
      <c r="AK241" s="4135"/>
      <c r="AL241" s="4135"/>
      <c r="AM241" s="4135"/>
      <c r="AN241" s="4135"/>
      <c r="AO241" s="4272"/>
      <c r="AP241" s="4272"/>
      <c r="AQ241" s="4288"/>
    </row>
    <row r="242" spans="1:44" ht="87.75" customHeight="1" x14ac:dyDescent="0.2">
      <c r="A242" s="1213"/>
      <c r="B242" s="1214"/>
      <c r="C242" s="1215"/>
      <c r="D242" s="1214"/>
      <c r="E242" s="1214"/>
      <c r="F242" s="1215"/>
      <c r="G242" s="1222"/>
      <c r="H242" s="1214"/>
      <c r="I242" s="1215"/>
      <c r="J242" s="4117"/>
      <c r="K242" s="4120"/>
      <c r="L242" s="4123"/>
      <c r="M242" s="4123"/>
      <c r="N242" s="4123"/>
      <c r="O242" s="4123"/>
      <c r="P242" s="4120"/>
      <c r="Q242" s="4140"/>
      <c r="R242" s="4143"/>
      <c r="S242" s="4120"/>
      <c r="T242" s="4120"/>
      <c r="U242" s="1223" t="s">
        <v>474</v>
      </c>
      <c r="V242" s="1535">
        <v>4800000</v>
      </c>
      <c r="W242" s="2555">
        <v>61</v>
      </c>
      <c r="X242" s="2507" t="s">
        <v>380</v>
      </c>
      <c r="Y242" s="4285"/>
      <c r="Z242" s="4282"/>
      <c r="AA242" s="4135"/>
      <c r="AB242" s="4135"/>
      <c r="AC242" s="4155"/>
      <c r="AD242" s="4135"/>
      <c r="AE242" s="4135"/>
      <c r="AF242" s="4135"/>
      <c r="AG242" s="4135"/>
      <c r="AH242" s="4135"/>
      <c r="AI242" s="4135"/>
      <c r="AJ242" s="4135"/>
      <c r="AK242" s="4135"/>
      <c r="AL242" s="4135"/>
      <c r="AM242" s="4135"/>
      <c r="AN242" s="4135"/>
      <c r="AO242" s="4272"/>
      <c r="AP242" s="4272"/>
      <c r="AQ242" s="4288"/>
    </row>
    <row r="243" spans="1:44" ht="28.5" x14ac:dyDescent="0.2">
      <c r="A243" s="1213"/>
      <c r="B243" s="1214"/>
      <c r="C243" s="1215"/>
      <c r="D243" s="1214"/>
      <c r="E243" s="1214"/>
      <c r="F243" s="1215"/>
      <c r="G243" s="1222"/>
      <c r="H243" s="1214"/>
      <c r="I243" s="1215"/>
      <c r="J243" s="4117"/>
      <c r="K243" s="4120"/>
      <c r="L243" s="4123"/>
      <c r="M243" s="4123"/>
      <c r="N243" s="4123"/>
      <c r="O243" s="4123"/>
      <c r="P243" s="4120"/>
      <c r="Q243" s="4140"/>
      <c r="R243" s="4143"/>
      <c r="S243" s="4120"/>
      <c r="T243" s="4120"/>
      <c r="U243" s="1223" t="s">
        <v>475</v>
      </c>
      <c r="V243" s="1535">
        <v>3600000</v>
      </c>
      <c r="W243" s="2555">
        <v>61</v>
      </c>
      <c r="X243" s="2507" t="s">
        <v>380</v>
      </c>
      <c r="Y243" s="4285"/>
      <c r="Z243" s="4282"/>
      <c r="AA243" s="4135"/>
      <c r="AB243" s="4135"/>
      <c r="AC243" s="4155"/>
      <c r="AD243" s="4135"/>
      <c r="AE243" s="4135"/>
      <c r="AF243" s="4135"/>
      <c r="AG243" s="4135"/>
      <c r="AH243" s="4135"/>
      <c r="AI243" s="4135"/>
      <c r="AJ243" s="4135"/>
      <c r="AK243" s="4135"/>
      <c r="AL243" s="4135"/>
      <c r="AM243" s="4135"/>
      <c r="AN243" s="4135"/>
      <c r="AO243" s="4272"/>
      <c r="AP243" s="4272"/>
      <c r="AQ243" s="4288"/>
    </row>
    <row r="244" spans="1:44" ht="42.75" x14ac:dyDescent="0.2">
      <c r="A244" s="1213"/>
      <c r="B244" s="1214"/>
      <c r="C244" s="1215"/>
      <c r="D244" s="1214"/>
      <c r="E244" s="1214"/>
      <c r="F244" s="1215"/>
      <c r="G244" s="1222"/>
      <c r="H244" s="1214"/>
      <c r="I244" s="1215"/>
      <c r="J244" s="4117"/>
      <c r="K244" s="4120"/>
      <c r="L244" s="4123"/>
      <c r="M244" s="4123"/>
      <c r="N244" s="4123"/>
      <c r="O244" s="4123"/>
      <c r="P244" s="4120"/>
      <c r="Q244" s="4140"/>
      <c r="R244" s="4143"/>
      <c r="S244" s="4120"/>
      <c r="T244" s="4120"/>
      <c r="U244" s="1223" t="s">
        <v>476</v>
      </c>
      <c r="V244" s="1535">
        <v>6000000</v>
      </c>
      <c r="W244" s="2555">
        <v>61</v>
      </c>
      <c r="X244" s="2507" t="s">
        <v>380</v>
      </c>
      <c r="Y244" s="4285"/>
      <c r="Z244" s="4282"/>
      <c r="AA244" s="4135"/>
      <c r="AB244" s="4135"/>
      <c r="AC244" s="4155"/>
      <c r="AD244" s="4135"/>
      <c r="AE244" s="4135"/>
      <c r="AF244" s="4135"/>
      <c r="AG244" s="4135"/>
      <c r="AH244" s="4135"/>
      <c r="AI244" s="4135"/>
      <c r="AJ244" s="4135"/>
      <c r="AK244" s="4135"/>
      <c r="AL244" s="4135"/>
      <c r="AM244" s="4135"/>
      <c r="AN244" s="4135"/>
      <c r="AO244" s="4272"/>
      <c r="AP244" s="4272"/>
      <c r="AQ244" s="4288"/>
    </row>
    <row r="245" spans="1:44" ht="42.75" x14ac:dyDescent="0.2">
      <c r="A245" s="1213"/>
      <c r="B245" s="1214"/>
      <c r="C245" s="1215"/>
      <c r="D245" s="1214"/>
      <c r="E245" s="1214"/>
      <c r="F245" s="1215"/>
      <c r="G245" s="1222"/>
      <c r="H245" s="1214"/>
      <c r="I245" s="1215"/>
      <c r="J245" s="4117"/>
      <c r="K245" s="4120"/>
      <c r="L245" s="4123"/>
      <c r="M245" s="4123"/>
      <c r="N245" s="4123"/>
      <c r="O245" s="4123"/>
      <c r="P245" s="4120"/>
      <c r="Q245" s="4140"/>
      <c r="R245" s="4143"/>
      <c r="S245" s="4120"/>
      <c r="T245" s="4120"/>
      <c r="U245" s="1223" t="s">
        <v>477</v>
      </c>
      <c r="V245" s="1535">
        <v>8000000</v>
      </c>
      <c r="W245" s="2555">
        <v>61</v>
      </c>
      <c r="X245" s="2507" t="s">
        <v>380</v>
      </c>
      <c r="Y245" s="4285"/>
      <c r="Z245" s="4282"/>
      <c r="AA245" s="4135"/>
      <c r="AB245" s="4135"/>
      <c r="AC245" s="4155"/>
      <c r="AD245" s="4135"/>
      <c r="AE245" s="4135"/>
      <c r="AF245" s="4135"/>
      <c r="AG245" s="4135"/>
      <c r="AH245" s="4135"/>
      <c r="AI245" s="4135"/>
      <c r="AJ245" s="4135"/>
      <c r="AK245" s="4135"/>
      <c r="AL245" s="4135"/>
      <c r="AM245" s="4135"/>
      <c r="AN245" s="4135"/>
      <c r="AO245" s="4272"/>
      <c r="AP245" s="4272"/>
      <c r="AQ245" s="4288"/>
    </row>
    <row r="246" spans="1:44" ht="57" x14ac:dyDescent="0.2">
      <c r="A246" s="1213"/>
      <c r="B246" s="1214"/>
      <c r="C246" s="1215"/>
      <c r="D246" s="1214"/>
      <c r="E246" s="1214"/>
      <c r="F246" s="1215"/>
      <c r="G246" s="1222"/>
      <c r="H246" s="1214"/>
      <c r="I246" s="1215"/>
      <c r="J246" s="4117"/>
      <c r="K246" s="4120"/>
      <c r="L246" s="4123"/>
      <c r="M246" s="4123"/>
      <c r="N246" s="4123"/>
      <c r="O246" s="4123"/>
      <c r="P246" s="4120"/>
      <c r="Q246" s="4140"/>
      <c r="R246" s="4143"/>
      <c r="S246" s="4120"/>
      <c r="T246" s="4120"/>
      <c r="U246" s="1223" t="s">
        <v>478</v>
      </c>
      <c r="V246" s="1535">
        <v>12000000</v>
      </c>
      <c r="W246" s="2555">
        <v>61</v>
      </c>
      <c r="X246" s="2507" t="s">
        <v>380</v>
      </c>
      <c r="Y246" s="4285"/>
      <c r="Z246" s="4282"/>
      <c r="AA246" s="4135"/>
      <c r="AB246" s="4135"/>
      <c r="AC246" s="4155"/>
      <c r="AD246" s="4135"/>
      <c r="AE246" s="4135"/>
      <c r="AF246" s="4135"/>
      <c r="AG246" s="4135"/>
      <c r="AH246" s="4135"/>
      <c r="AI246" s="4135"/>
      <c r="AJ246" s="4135"/>
      <c r="AK246" s="4135"/>
      <c r="AL246" s="4135"/>
      <c r="AM246" s="4135"/>
      <c r="AN246" s="4135"/>
      <c r="AO246" s="4272"/>
      <c r="AP246" s="4272"/>
      <c r="AQ246" s="4288"/>
    </row>
    <row r="247" spans="1:44" ht="57" x14ac:dyDescent="0.2">
      <c r="A247" s="1213"/>
      <c r="B247" s="1214"/>
      <c r="C247" s="1215"/>
      <c r="D247" s="1214"/>
      <c r="E247" s="1214"/>
      <c r="F247" s="1215"/>
      <c r="G247" s="1226"/>
      <c r="H247" s="1224"/>
      <c r="I247" s="1225"/>
      <c r="J247" s="4118"/>
      <c r="K247" s="4121"/>
      <c r="L247" s="4124"/>
      <c r="M247" s="4124"/>
      <c r="N247" s="4124"/>
      <c r="O247" s="4124"/>
      <c r="P247" s="4121"/>
      <c r="Q247" s="4141"/>
      <c r="R247" s="4144"/>
      <c r="S247" s="4121"/>
      <c r="T247" s="4121"/>
      <c r="U247" s="1223" t="s">
        <v>479</v>
      </c>
      <c r="V247" s="1535">
        <v>6000000</v>
      </c>
      <c r="W247" s="2555">
        <v>61</v>
      </c>
      <c r="X247" s="2507" t="s">
        <v>380</v>
      </c>
      <c r="Y247" s="4286"/>
      <c r="Z247" s="4283"/>
      <c r="AA247" s="4136"/>
      <c r="AB247" s="4136"/>
      <c r="AC247" s="4156"/>
      <c r="AD247" s="4136"/>
      <c r="AE247" s="4136"/>
      <c r="AF247" s="4136"/>
      <c r="AG247" s="4136"/>
      <c r="AH247" s="4136"/>
      <c r="AI247" s="4136"/>
      <c r="AJ247" s="4136"/>
      <c r="AK247" s="4136"/>
      <c r="AL247" s="4136"/>
      <c r="AM247" s="4136"/>
      <c r="AN247" s="4136"/>
      <c r="AO247" s="4273"/>
      <c r="AP247" s="4273"/>
      <c r="AQ247" s="4289"/>
    </row>
    <row r="248" spans="1:44" ht="36" customHeight="1" x14ac:dyDescent="0.2">
      <c r="A248" s="1199"/>
      <c r="B248" s="1200"/>
      <c r="C248" s="1201"/>
      <c r="D248" s="1200"/>
      <c r="E248" s="1200"/>
      <c r="F248" s="1201"/>
      <c r="G248" s="1234">
        <v>45</v>
      </c>
      <c r="H248" s="1205" t="s">
        <v>480</v>
      </c>
      <c r="I248" s="1205"/>
      <c r="J248" s="1205"/>
      <c r="K248" s="1206"/>
      <c r="L248" s="1205"/>
      <c r="M248" s="1205"/>
      <c r="N248" s="1207"/>
      <c r="O248" s="1205"/>
      <c r="P248" s="1206"/>
      <c r="Q248" s="1205"/>
      <c r="R248" s="1235"/>
      <c r="S248" s="1205"/>
      <c r="T248" s="1206"/>
      <c r="U248" s="1206"/>
      <c r="V248" s="1560"/>
      <c r="W248" s="1550"/>
      <c r="X248" s="1551"/>
      <c r="Y248" s="1551"/>
      <c r="Z248" s="1207"/>
      <c r="AA248" s="1207"/>
      <c r="AB248" s="1207"/>
      <c r="AC248" s="1207"/>
      <c r="AD248" s="1207"/>
      <c r="AE248" s="1207"/>
      <c r="AF248" s="1207"/>
      <c r="AG248" s="1207"/>
      <c r="AH248" s="1207"/>
      <c r="AI248" s="1207"/>
      <c r="AJ248" s="1207"/>
      <c r="AK248" s="1207"/>
      <c r="AL248" s="1207"/>
      <c r="AM248" s="1207"/>
      <c r="AN248" s="1207"/>
      <c r="AO248" s="1207"/>
      <c r="AP248" s="1205"/>
      <c r="AQ248" s="1212"/>
    </row>
    <row r="249" spans="1:44" s="1221" customFormat="1" ht="24" customHeight="1" x14ac:dyDescent="0.2">
      <c r="A249" s="1213"/>
      <c r="B249" s="1214"/>
      <c r="C249" s="1215"/>
      <c r="D249" s="1214"/>
      <c r="E249" s="1214"/>
      <c r="F249" s="1215"/>
      <c r="G249" s="1216"/>
      <c r="H249" s="1217"/>
      <c r="I249" s="1218"/>
      <c r="J249" s="4116">
        <v>158</v>
      </c>
      <c r="K249" s="4122" t="s">
        <v>481</v>
      </c>
      <c r="L249" s="4122" t="s">
        <v>169</v>
      </c>
      <c r="M249" s="4122">
        <v>11</v>
      </c>
      <c r="N249" s="4122" t="s">
        <v>482</v>
      </c>
      <c r="O249" s="4122" t="s">
        <v>483</v>
      </c>
      <c r="P249" s="4119" t="s">
        <v>484</v>
      </c>
      <c r="Q249" s="4139">
        <f>+SUM(V249:V255)/R249</f>
        <v>1</v>
      </c>
      <c r="R249" s="4142">
        <f>SUM(V249:V256)</f>
        <v>1538707111</v>
      </c>
      <c r="S249" s="4119" t="s">
        <v>485</v>
      </c>
      <c r="T249" s="4145" t="s">
        <v>486</v>
      </c>
      <c r="U249" s="4137" t="s">
        <v>487</v>
      </c>
      <c r="V249" s="1523">
        <v>180000000</v>
      </c>
      <c r="W249" s="2555">
        <v>61</v>
      </c>
      <c r="X249" s="2507" t="s">
        <v>380</v>
      </c>
      <c r="Y249" s="4116">
        <v>292684</v>
      </c>
      <c r="Z249" s="4122">
        <v>282326</v>
      </c>
      <c r="AA249" s="4165">
        <v>135912</v>
      </c>
      <c r="AB249" s="4165">
        <v>45122</v>
      </c>
      <c r="AC249" s="4165">
        <v>307101</v>
      </c>
      <c r="AD249" s="4165">
        <v>86875</v>
      </c>
      <c r="AE249" s="4165">
        <v>2145</v>
      </c>
      <c r="AF249" s="4165">
        <v>12718</v>
      </c>
      <c r="AG249" s="4165">
        <v>26</v>
      </c>
      <c r="AH249" s="4165">
        <v>37</v>
      </c>
      <c r="AI249" s="4165" t="s">
        <v>177</v>
      </c>
      <c r="AJ249" s="4165" t="s">
        <v>177</v>
      </c>
      <c r="AK249" s="4165">
        <v>53164</v>
      </c>
      <c r="AL249" s="4165">
        <v>16982</v>
      </c>
      <c r="AM249" s="4165">
        <v>60013</v>
      </c>
      <c r="AN249" s="4165">
        <v>575010</v>
      </c>
      <c r="AO249" s="4148">
        <v>43467</v>
      </c>
      <c r="AP249" s="4148">
        <v>43830</v>
      </c>
      <c r="AQ249" s="4151" t="s">
        <v>178</v>
      </c>
      <c r="AR249" s="2594"/>
    </row>
    <row r="250" spans="1:44" s="1221" customFormat="1" ht="24" customHeight="1" x14ac:dyDescent="0.2">
      <c r="A250" s="1213"/>
      <c r="B250" s="1214"/>
      <c r="C250" s="1215"/>
      <c r="D250" s="1214"/>
      <c r="E250" s="1214"/>
      <c r="F250" s="1215"/>
      <c r="G250" s="1222"/>
      <c r="H250" s="1214"/>
      <c r="I250" s="1215"/>
      <c r="J250" s="4117"/>
      <c r="K250" s="4123"/>
      <c r="L250" s="4123"/>
      <c r="M250" s="4123"/>
      <c r="N250" s="4123"/>
      <c r="O250" s="4123"/>
      <c r="P250" s="4120"/>
      <c r="Q250" s="4140"/>
      <c r="R250" s="4143"/>
      <c r="S250" s="4120"/>
      <c r="T250" s="4146"/>
      <c r="U250" s="4138"/>
      <c r="V250" s="1523">
        <v>33000000</v>
      </c>
      <c r="W250" s="2555">
        <v>98</v>
      </c>
      <c r="X250" s="2507" t="s">
        <v>381</v>
      </c>
      <c r="Y250" s="4117"/>
      <c r="Z250" s="4123"/>
      <c r="AA250" s="4166"/>
      <c r="AB250" s="4166"/>
      <c r="AC250" s="4166"/>
      <c r="AD250" s="4166"/>
      <c r="AE250" s="4166"/>
      <c r="AF250" s="4166"/>
      <c r="AG250" s="4166"/>
      <c r="AH250" s="4166"/>
      <c r="AI250" s="4166"/>
      <c r="AJ250" s="4166"/>
      <c r="AK250" s="4166"/>
      <c r="AL250" s="4166"/>
      <c r="AM250" s="4166"/>
      <c r="AN250" s="4166"/>
      <c r="AO250" s="4149"/>
      <c r="AP250" s="4149"/>
      <c r="AQ250" s="4152"/>
      <c r="AR250" s="2594"/>
    </row>
    <row r="251" spans="1:44" s="1221" customFormat="1" ht="24" customHeight="1" x14ac:dyDescent="0.2">
      <c r="A251" s="1213"/>
      <c r="B251" s="1214"/>
      <c r="C251" s="1215"/>
      <c r="D251" s="1214"/>
      <c r="E251" s="1214"/>
      <c r="F251" s="1215"/>
      <c r="G251" s="1222"/>
      <c r="H251" s="1214"/>
      <c r="I251" s="1215"/>
      <c r="J251" s="4117"/>
      <c r="K251" s="4123"/>
      <c r="L251" s="4123"/>
      <c r="M251" s="4123"/>
      <c r="N251" s="4123"/>
      <c r="O251" s="4123"/>
      <c r="P251" s="4120"/>
      <c r="Q251" s="4140"/>
      <c r="R251" s="4143"/>
      <c r="S251" s="4120"/>
      <c r="T251" s="4146"/>
      <c r="U251" s="4137" t="s">
        <v>488</v>
      </c>
      <c r="V251" s="1523">
        <f>20000000+102300000+21200000</f>
        <v>143500000</v>
      </c>
      <c r="W251" s="2555">
        <v>61</v>
      </c>
      <c r="X251" s="2507" t="s">
        <v>380</v>
      </c>
      <c r="Y251" s="4117"/>
      <c r="Z251" s="4123"/>
      <c r="AA251" s="4166"/>
      <c r="AB251" s="4166"/>
      <c r="AC251" s="4166"/>
      <c r="AD251" s="4166"/>
      <c r="AE251" s="4166"/>
      <c r="AF251" s="4166"/>
      <c r="AG251" s="4166"/>
      <c r="AH251" s="4166"/>
      <c r="AI251" s="4166"/>
      <c r="AJ251" s="4166"/>
      <c r="AK251" s="4166"/>
      <c r="AL251" s="4166"/>
      <c r="AM251" s="4166"/>
      <c r="AN251" s="4166"/>
      <c r="AO251" s="4149"/>
      <c r="AP251" s="4149"/>
      <c r="AQ251" s="4152"/>
      <c r="AR251" s="1372"/>
    </row>
    <row r="252" spans="1:44" s="1221" customFormat="1" ht="22.5" customHeight="1" x14ac:dyDescent="0.2">
      <c r="A252" s="1213"/>
      <c r="B252" s="1214"/>
      <c r="C252" s="1215"/>
      <c r="D252" s="1214"/>
      <c r="E252" s="1214"/>
      <c r="F252" s="1215"/>
      <c r="G252" s="1222"/>
      <c r="H252" s="1214"/>
      <c r="I252" s="1215"/>
      <c r="J252" s="4117"/>
      <c r="K252" s="4123"/>
      <c r="L252" s="4123"/>
      <c r="M252" s="4123"/>
      <c r="N252" s="4123"/>
      <c r="O252" s="4123"/>
      <c r="P252" s="4120"/>
      <c r="Q252" s="4140"/>
      <c r="R252" s="4143"/>
      <c r="S252" s="4120"/>
      <c r="T252" s="4146"/>
      <c r="U252" s="4138"/>
      <c r="V252" s="1523">
        <v>100000000</v>
      </c>
      <c r="W252" s="2555">
        <v>98</v>
      </c>
      <c r="X252" s="2507" t="s">
        <v>381</v>
      </c>
      <c r="Y252" s="4117"/>
      <c r="Z252" s="4123"/>
      <c r="AA252" s="4166"/>
      <c r="AB252" s="4166"/>
      <c r="AC252" s="4166"/>
      <c r="AD252" s="4166"/>
      <c r="AE252" s="4166"/>
      <c r="AF252" s="4166"/>
      <c r="AG252" s="4166"/>
      <c r="AH252" s="4166"/>
      <c r="AI252" s="4166"/>
      <c r="AJ252" s="4166"/>
      <c r="AK252" s="4166"/>
      <c r="AL252" s="4166"/>
      <c r="AM252" s="4166"/>
      <c r="AN252" s="4166"/>
      <c r="AO252" s="4149"/>
      <c r="AP252" s="4149"/>
      <c r="AQ252" s="4152"/>
      <c r="AR252" s="2593"/>
    </row>
    <row r="253" spans="1:44" s="1221" customFormat="1" ht="28.5" x14ac:dyDescent="0.2">
      <c r="A253" s="1213"/>
      <c r="B253" s="1214"/>
      <c r="C253" s="1215"/>
      <c r="D253" s="1214"/>
      <c r="E253" s="1214"/>
      <c r="F253" s="1215"/>
      <c r="G253" s="1222"/>
      <c r="H253" s="1214"/>
      <c r="I253" s="1215"/>
      <c r="J253" s="4117"/>
      <c r="K253" s="4123"/>
      <c r="L253" s="4123"/>
      <c r="M253" s="4123"/>
      <c r="N253" s="4123"/>
      <c r="O253" s="4123"/>
      <c r="P253" s="4120"/>
      <c r="Q253" s="4140"/>
      <c r="R253" s="4143"/>
      <c r="S253" s="4120"/>
      <c r="T253" s="4146"/>
      <c r="U253" s="1223" t="s">
        <v>489</v>
      </c>
      <c r="V253" s="1523">
        <v>300000000</v>
      </c>
      <c r="W253" s="2555">
        <v>61</v>
      </c>
      <c r="X253" s="2507" t="s">
        <v>380</v>
      </c>
      <c r="Y253" s="4117"/>
      <c r="Z253" s="4123"/>
      <c r="AA253" s="4166"/>
      <c r="AB253" s="4166"/>
      <c r="AC253" s="4166"/>
      <c r="AD253" s="4166"/>
      <c r="AE253" s="4166"/>
      <c r="AF253" s="4166"/>
      <c r="AG253" s="4166"/>
      <c r="AH253" s="4166"/>
      <c r="AI253" s="4166"/>
      <c r="AJ253" s="4166"/>
      <c r="AK253" s="4166"/>
      <c r="AL253" s="4166"/>
      <c r="AM253" s="4166"/>
      <c r="AN253" s="4166"/>
      <c r="AO253" s="4149"/>
      <c r="AP253" s="4149"/>
      <c r="AQ253" s="4152"/>
      <c r="AR253" s="2593"/>
    </row>
    <row r="254" spans="1:44" s="1221" customFormat="1" ht="23.25" customHeight="1" x14ac:dyDescent="0.2">
      <c r="A254" s="1213"/>
      <c r="B254" s="1214"/>
      <c r="C254" s="1215"/>
      <c r="D254" s="1214"/>
      <c r="E254" s="1214"/>
      <c r="F254" s="1215"/>
      <c r="G254" s="1222"/>
      <c r="H254" s="1214"/>
      <c r="I254" s="1215"/>
      <c r="J254" s="4117"/>
      <c r="K254" s="4123"/>
      <c r="L254" s="2500"/>
      <c r="M254" s="4123"/>
      <c r="N254" s="4123"/>
      <c r="O254" s="4123"/>
      <c r="P254" s="4120"/>
      <c r="Q254" s="4140"/>
      <c r="R254" s="4143"/>
      <c r="S254" s="4120"/>
      <c r="T254" s="4146"/>
      <c r="U254" s="4137" t="s">
        <v>490</v>
      </c>
      <c r="V254" s="1523">
        <v>722110000</v>
      </c>
      <c r="W254" s="2555">
        <v>61</v>
      </c>
      <c r="X254" s="2507" t="s">
        <v>380</v>
      </c>
      <c r="Y254" s="4117"/>
      <c r="Z254" s="4123"/>
      <c r="AA254" s="4166"/>
      <c r="AB254" s="4166"/>
      <c r="AC254" s="4166"/>
      <c r="AD254" s="4166"/>
      <c r="AE254" s="4166"/>
      <c r="AF254" s="4166"/>
      <c r="AG254" s="4166"/>
      <c r="AH254" s="4166"/>
      <c r="AI254" s="4166"/>
      <c r="AJ254" s="4166"/>
      <c r="AK254" s="4166"/>
      <c r="AL254" s="4166"/>
      <c r="AM254" s="4166"/>
      <c r="AN254" s="4166"/>
      <c r="AO254" s="4149"/>
      <c r="AP254" s="4149"/>
      <c r="AQ254" s="4152"/>
      <c r="AR254" s="2593"/>
    </row>
    <row r="255" spans="1:44" s="1221" customFormat="1" x14ac:dyDescent="0.2">
      <c r="A255" s="1213"/>
      <c r="B255" s="1214"/>
      <c r="C255" s="1215"/>
      <c r="D255" s="1214"/>
      <c r="E255" s="1214"/>
      <c r="F255" s="1215"/>
      <c r="G255" s="1222"/>
      <c r="H255" s="1214"/>
      <c r="I255" s="1215"/>
      <c r="J255" s="4118"/>
      <c r="K255" s="4124"/>
      <c r="L255" s="2500"/>
      <c r="M255" s="4124"/>
      <c r="N255" s="4123"/>
      <c r="O255" s="4123"/>
      <c r="P255" s="4120"/>
      <c r="Q255" s="4141"/>
      <c r="R255" s="4143"/>
      <c r="S255" s="4120"/>
      <c r="T255" s="4147"/>
      <c r="U255" s="4138"/>
      <c r="V255" s="1523">
        <v>60097111</v>
      </c>
      <c r="W255" s="2555">
        <v>98</v>
      </c>
      <c r="X255" s="2507" t="s">
        <v>381</v>
      </c>
      <c r="Y255" s="4117"/>
      <c r="Z255" s="4123"/>
      <c r="AA255" s="4166"/>
      <c r="AB255" s="4166"/>
      <c r="AC255" s="4166"/>
      <c r="AD255" s="4166"/>
      <c r="AE255" s="4166"/>
      <c r="AF255" s="4166"/>
      <c r="AG255" s="4166"/>
      <c r="AH255" s="4166"/>
      <c r="AI255" s="4166"/>
      <c r="AJ255" s="4166"/>
      <c r="AK255" s="4166"/>
      <c r="AL255" s="4166"/>
      <c r="AM255" s="4166"/>
      <c r="AN255" s="4166"/>
      <c r="AO255" s="4149"/>
      <c r="AP255" s="4149"/>
      <c r="AQ255" s="4152"/>
      <c r="AR255" s="2593"/>
    </row>
    <row r="256" spans="1:44" s="1221" customFormat="1" ht="71.25" x14ac:dyDescent="0.2">
      <c r="A256" s="1213"/>
      <c r="B256" s="1214"/>
      <c r="C256" s="1215"/>
      <c r="D256" s="1214"/>
      <c r="E256" s="1214"/>
      <c r="F256" s="1215"/>
      <c r="G256" s="1226"/>
      <c r="H256" s="1224"/>
      <c r="I256" s="1225"/>
      <c r="J256" s="2507">
        <v>159</v>
      </c>
      <c r="K256" s="1248" t="s">
        <v>491</v>
      </c>
      <c r="L256" s="2504" t="s">
        <v>169</v>
      </c>
      <c r="M256" s="2503">
        <v>8</v>
      </c>
      <c r="N256" s="4124"/>
      <c r="O256" s="4124"/>
      <c r="P256" s="4121"/>
      <c r="Q256" s="2493">
        <f>+V256/R249</f>
        <v>0</v>
      </c>
      <c r="R256" s="4144"/>
      <c r="S256" s="4121"/>
      <c r="T256" s="2494" t="s">
        <v>492</v>
      </c>
      <c r="U256" s="1223" t="s">
        <v>493</v>
      </c>
      <c r="V256" s="1523">
        <f>21200000-21200000</f>
        <v>0</v>
      </c>
      <c r="W256" s="2555">
        <v>61</v>
      </c>
      <c r="X256" s="2507" t="s">
        <v>380</v>
      </c>
      <c r="Y256" s="4118"/>
      <c r="Z256" s="4124"/>
      <c r="AA256" s="4167"/>
      <c r="AB256" s="4167"/>
      <c r="AC256" s="4167"/>
      <c r="AD256" s="4167"/>
      <c r="AE256" s="4167"/>
      <c r="AF256" s="4167"/>
      <c r="AG256" s="4167"/>
      <c r="AH256" s="4167"/>
      <c r="AI256" s="4167"/>
      <c r="AJ256" s="4167"/>
      <c r="AK256" s="4167"/>
      <c r="AL256" s="4167"/>
      <c r="AM256" s="4167"/>
      <c r="AN256" s="4167"/>
      <c r="AO256" s="4150"/>
      <c r="AP256" s="4150"/>
      <c r="AQ256" s="4153"/>
      <c r="AR256" s="2593"/>
    </row>
    <row r="257" spans="1:44" ht="36" customHeight="1" x14ac:dyDescent="0.2">
      <c r="A257" s="1199"/>
      <c r="B257" s="1200"/>
      <c r="C257" s="1201"/>
      <c r="D257" s="1200"/>
      <c r="E257" s="1200"/>
      <c r="F257" s="1201"/>
      <c r="G257" s="1234">
        <v>46</v>
      </c>
      <c r="H257" s="1205" t="s">
        <v>494</v>
      </c>
      <c r="I257" s="1205"/>
      <c r="J257" s="1205"/>
      <c r="K257" s="1206"/>
      <c r="L257" s="1205"/>
      <c r="M257" s="1205"/>
      <c r="N257" s="1207"/>
      <c r="O257" s="1205"/>
      <c r="P257" s="1206"/>
      <c r="Q257" s="1205"/>
      <c r="R257" s="1235"/>
      <c r="S257" s="1205"/>
      <c r="T257" s="1206"/>
      <c r="U257" s="1291"/>
      <c r="V257" s="1291"/>
      <c r="W257" s="1291"/>
      <c r="X257" s="1291"/>
      <c r="Y257" s="1291"/>
      <c r="Z257" s="1207"/>
      <c r="AA257" s="1207"/>
      <c r="AB257" s="1207"/>
      <c r="AC257" s="1207"/>
      <c r="AD257" s="1207"/>
      <c r="AE257" s="1207"/>
      <c r="AF257" s="1207"/>
      <c r="AG257" s="1207"/>
      <c r="AH257" s="1207"/>
      <c r="AI257" s="1207"/>
      <c r="AJ257" s="1207"/>
      <c r="AK257" s="1207"/>
      <c r="AL257" s="1207"/>
      <c r="AM257" s="1207"/>
      <c r="AN257" s="1207"/>
      <c r="AO257" s="1205"/>
      <c r="AP257" s="1205"/>
      <c r="AQ257" s="1212"/>
    </row>
    <row r="258" spans="1:44" ht="31.5" customHeight="1" x14ac:dyDescent="0.2">
      <c r="A258" s="1213"/>
      <c r="B258" s="1214"/>
      <c r="C258" s="1215"/>
      <c r="D258" s="1214"/>
      <c r="E258" s="1214"/>
      <c r="F258" s="1215"/>
      <c r="G258" s="1216"/>
      <c r="H258" s="1217"/>
      <c r="I258" s="1218"/>
      <c r="J258" s="4129">
        <v>160</v>
      </c>
      <c r="K258" s="4119" t="s">
        <v>495</v>
      </c>
      <c r="L258" s="4122" t="s">
        <v>169</v>
      </c>
      <c r="M258" s="4122">
        <v>300</v>
      </c>
      <c r="N258" s="4122" t="s">
        <v>496</v>
      </c>
      <c r="O258" s="4122" t="s">
        <v>497</v>
      </c>
      <c r="P258" s="4119" t="s">
        <v>498</v>
      </c>
      <c r="Q258" s="4139">
        <v>1</v>
      </c>
      <c r="R258" s="4142">
        <f>SUM(V258:V273)</f>
        <v>1210233390</v>
      </c>
      <c r="S258" s="4209" t="s">
        <v>499</v>
      </c>
      <c r="T258" s="4290" t="s">
        <v>500</v>
      </c>
      <c r="U258" s="4292" t="s">
        <v>501</v>
      </c>
      <c r="V258" s="1592">
        <f>238058000+175133457</f>
        <v>413191457</v>
      </c>
      <c r="W258" s="2558">
        <v>61</v>
      </c>
      <c r="X258" s="2559" t="s">
        <v>502</v>
      </c>
      <c r="Y258" s="4240">
        <v>292684</v>
      </c>
      <c r="Z258" s="4122">
        <v>282326</v>
      </c>
      <c r="AA258" s="4122">
        <v>135912</v>
      </c>
      <c r="AB258" s="4122">
        <v>45122</v>
      </c>
      <c r="AC258" s="4122">
        <f>SUM(AC249)</f>
        <v>307101</v>
      </c>
      <c r="AD258" s="4122">
        <f>SUM(AD249)</f>
        <v>86875</v>
      </c>
      <c r="AE258" s="4122">
        <v>2145</v>
      </c>
      <c r="AF258" s="4122">
        <v>12718</v>
      </c>
      <c r="AG258" s="4122">
        <v>26</v>
      </c>
      <c r="AH258" s="4122">
        <v>37</v>
      </c>
      <c r="AI258" s="4122" t="s">
        <v>177</v>
      </c>
      <c r="AJ258" s="4122" t="s">
        <v>177</v>
      </c>
      <c r="AK258" s="4122">
        <v>53164</v>
      </c>
      <c r="AL258" s="4122">
        <v>16982</v>
      </c>
      <c r="AM258" s="4122">
        <v>60013</v>
      </c>
      <c r="AN258" s="4122">
        <v>575010</v>
      </c>
      <c r="AO258" s="4302">
        <v>43467</v>
      </c>
      <c r="AP258" s="4302">
        <v>43830</v>
      </c>
      <c r="AQ258" s="4151" t="s">
        <v>178</v>
      </c>
      <c r="AR258" s="1372"/>
    </row>
    <row r="259" spans="1:44" ht="31.5" customHeight="1" x14ac:dyDescent="0.2">
      <c r="A259" s="1213"/>
      <c r="B259" s="1214"/>
      <c r="C259" s="1215"/>
      <c r="D259" s="1214"/>
      <c r="E259" s="1214"/>
      <c r="F259" s="1215"/>
      <c r="G259" s="1222"/>
      <c r="H259" s="1214"/>
      <c r="I259" s="1215"/>
      <c r="J259" s="4129"/>
      <c r="K259" s="4120"/>
      <c r="L259" s="4123"/>
      <c r="M259" s="4123"/>
      <c r="N259" s="4123"/>
      <c r="O259" s="4123"/>
      <c r="P259" s="4120"/>
      <c r="Q259" s="4140"/>
      <c r="R259" s="4143"/>
      <c r="S259" s="4209"/>
      <c r="T259" s="4290"/>
      <c r="U259" s="4292"/>
      <c r="V259" s="1592">
        <f>30000000-30000000</f>
        <v>0</v>
      </c>
      <c r="W259" s="2558">
        <v>88</v>
      </c>
      <c r="X259" s="2559" t="s">
        <v>503</v>
      </c>
      <c r="Y259" s="4241"/>
      <c r="Z259" s="4123"/>
      <c r="AA259" s="4123"/>
      <c r="AB259" s="4123"/>
      <c r="AC259" s="4123"/>
      <c r="AD259" s="4123"/>
      <c r="AE259" s="4123"/>
      <c r="AF259" s="4123"/>
      <c r="AG259" s="4123"/>
      <c r="AH259" s="4123"/>
      <c r="AI259" s="4123"/>
      <c r="AJ259" s="4123"/>
      <c r="AK259" s="4123"/>
      <c r="AL259" s="4123"/>
      <c r="AM259" s="4123"/>
      <c r="AN259" s="4123"/>
      <c r="AO259" s="4302"/>
      <c r="AP259" s="4302"/>
      <c r="AQ259" s="4152"/>
      <c r="AR259" s="1372"/>
    </row>
    <row r="260" spans="1:44" ht="31.5" customHeight="1" x14ac:dyDescent="0.2">
      <c r="A260" s="1213"/>
      <c r="B260" s="1214"/>
      <c r="C260" s="1215"/>
      <c r="D260" s="1214"/>
      <c r="E260" s="1214"/>
      <c r="F260" s="1215"/>
      <c r="G260" s="1222"/>
      <c r="H260" s="1214"/>
      <c r="I260" s="1215"/>
      <c r="J260" s="4129"/>
      <c r="K260" s="4120"/>
      <c r="L260" s="4123"/>
      <c r="M260" s="4123"/>
      <c r="N260" s="4123"/>
      <c r="O260" s="4123"/>
      <c r="P260" s="4120"/>
      <c r="Q260" s="4140"/>
      <c r="R260" s="4143"/>
      <c r="S260" s="4209"/>
      <c r="T260" s="4290"/>
      <c r="U260" s="4292"/>
      <c r="V260" s="1593">
        <f>211942000-69344605</f>
        <v>142597395</v>
      </c>
      <c r="W260" s="2560">
        <v>20</v>
      </c>
      <c r="X260" s="2559" t="s">
        <v>504</v>
      </c>
      <c r="Y260" s="4241"/>
      <c r="Z260" s="4123"/>
      <c r="AA260" s="4123"/>
      <c r="AB260" s="4123"/>
      <c r="AC260" s="4123"/>
      <c r="AD260" s="4123"/>
      <c r="AE260" s="4123"/>
      <c r="AF260" s="4123"/>
      <c r="AG260" s="4123"/>
      <c r="AH260" s="4123"/>
      <c r="AI260" s="4123"/>
      <c r="AJ260" s="4123"/>
      <c r="AK260" s="4123"/>
      <c r="AL260" s="4123"/>
      <c r="AM260" s="4123"/>
      <c r="AN260" s="4123"/>
      <c r="AO260" s="4302"/>
      <c r="AP260" s="4302"/>
      <c r="AQ260" s="4152"/>
      <c r="AR260" s="2594"/>
    </row>
    <row r="261" spans="1:44" ht="31.5" customHeight="1" x14ac:dyDescent="0.2">
      <c r="A261" s="1213"/>
      <c r="B261" s="1214"/>
      <c r="C261" s="1215"/>
      <c r="D261" s="1214"/>
      <c r="E261" s="1214"/>
      <c r="F261" s="1215"/>
      <c r="G261" s="1222"/>
      <c r="H261" s="1214"/>
      <c r="I261" s="1215"/>
      <c r="J261" s="4129"/>
      <c r="K261" s="4120"/>
      <c r="L261" s="4123"/>
      <c r="M261" s="4123"/>
      <c r="N261" s="4123"/>
      <c r="O261" s="4123"/>
      <c r="P261" s="4120"/>
      <c r="Q261" s="4140"/>
      <c r="R261" s="4143"/>
      <c r="S261" s="4209"/>
      <c r="T261" s="4290"/>
      <c r="U261" s="4293"/>
      <c r="V261" s="1592">
        <f>15000000-15000000</f>
        <v>0</v>
      </c>
      <c r="W261" s="2558">
        <v>98</v>
      </c>
      <c r="X261" s="2561" t="s">
        <v>451</v>
      </c>
      <c r="Y261" s="4241"/>
      <c r="Z261" s="4123"/>
      <c r="AA261" s="4123"/>
      <c r="AB261" s="4123"/>
      <c r="AC261" s="4123"/>
      <c r="AD261" s="4123"/>
      <c r="AE261" s="4123"/>
      <c r="AF261" s="4123"/>
      <c r="AG261" s="4123"/>
      <c r="AH261" s="4123"/>
      <c r="AI261" s="4123"/>
      <c r="AJ261" s="4123"/>
      <c r="AK261" s="4123"/>
      <c r="AL261" s="4123"/>
      <c r="AM261" s="4123"/>
      <c r="AN261" s="4123"/>
      <c r="AO261" s="4302"/>
      <c r="AP261" s="4302"/>
      <c r="AQ261" s="4152"/>
      <c r="AR261" s="1372"/>
    </row>
    <row r="262" spans="1:44" ht="31.5" customHeight="1" x14ac:dyDescent="0.2">
      <c r="A262" s="1213"/>
      <c r="B262" s="1214"/>
      <c r="C262" s="1215"/>
      <c r="D262" s="1214"/>
      <c r="E262" s="1214"/>
      <c r="F262" s="1215"/>
      <c r="G262" s="1222"/>
      <c r="H262" s="1214"/>
      <c r="I262" s="1215"/>
      <c r="J262" s="4129"/>
      <c r="K262" s="4120"/>
      <c r="L262" s="4123"/>
      <c r="M262" s="4123"/>
      <c r="N262" s="4123"/>
      <c r="O262" s="4123"/>
      <c r="P262" s="4120"/>
      <c r="Q262" s="4140"/>
      <c r="R262" s="4143"/>
      <c r="S262" s="4209"/>
      <c r="T262" s="4291"/>
      <c r="U262" s="4294" t="s">
        <v>505</v>
      </c>
      <c r="V262" s="1592">
        <f>50000000+4282248</f>
        <v>54282248</v>
      </c>
      <c r="W262" s="2558">
        <v>61</v>
      </c>
      <c r="X262" s="2562" t="s">
        <v>502</v>
      </c>
      <c r="Y262" s="4241"/>
      <c r="Z262" s="4123"/>
      <c r="AA262" s="4123"/>
      <c r="AB262" s="4123"/>
      <c r="AC262" s="4123"/>
      <c r="AD262" s="4123"/>
      <c r="AE262" s="4123"/>
      <c r="AF262" s="4123"/>
      <c r="AG262" s="4123"/>
      <c r="AH262" s="4123"/>
      <c r="AI262" s="4123"/>
      <c r="AJ262" s="4123"/>
      <c r="AK262" s="4123"/>
      <c r="AL262" s="4123"/>
      <c r="AM262" s="4123"/>
      <c r="AN262" s="4123"/>
      <c r="AO262" s="4302"/>
      <c r="AP262" s="4302"/>
      <c r="AQ262" s="4152"/>
      <c r="AR262" s="1372"/>
    </row>
    <row r="263" spans="1:44" ht="31.5" customHeight="1" x14ac:dyDescent="0.2">
      <c r="A263" s="1213"/>
      <c r="B263" s="1214"/>
      <c r="C263" s="1215"/>
      <c r="D263" s="1214"/>
      <c r="E263" s="1214"/>
      <c r="F263" s="1215"/>
      <c r="G263" s="1222"/>
      <c r="H263" s="1214"/>
      <c r="I263" s="1215"/>
      <c r="J263" s="4129"/>
      <c r="K263" s="4120"/>
      <c r="L263" s="4123"/>
      <c r="M263" s="4123"/>
      <c r="N263" s="4123"/>
      <c r="O263" s="4123"/>
      <c r="P263" s="4120"/>
      <c r="Q263" s="4140"/>
      <c r="R263" s="4143"/>
      <c r="S263" s="4209"/>
      <c r="T263" s="4291"/>
      <c r="U263" s="4295"/>
      <c r="V263" s="2563">
        <f>0+29104095</f>
        <v>29104095</v>
      </c>
      <c r="W263" s="1683">
        <v>96</v>
      </c>
      <c r="X263" s="2564" t="s">
        <v>506</v>
      </c>
      <c r="Y263" s="4241"/>
      <c r="Z263" s="4123"/>
      <c r="AA263" s="4123"/>
      <c r="AB263" s="4123"/>
      <c r="AC263" s="4123"/>
      <c r="AD263" s="4123"/>
      <c r="AE263" s="4123"/>
      <c r="AF263" s="4123"/>
      <c r="AG263" s="4123"/>
      <c r="AH263" s="4123"/>
      <c r="AI263" s="4123"/>
      <c r="AJ263" s="4123"/>
      <c r="AK263" s="4123"/>
      <c r="AL263" s="4123"/>
      <c r="AM263" s="4123"/>
      <c r="AN263" s="4123"/>
      <c r="AO263" s="4302"/>
      <c r="AP263" s="4302"/>
      <c r="AQ263" s="4152"/>
      <c r="AR263" s="2594"/>
    </row>
    <row r="264" spans="1:44" ht="57" x14ac:dyDescent="0.2">
      <c r="A264" s="1213"/>
      <c r="B264" s="1214"/>
      <c r="C264" s="1215"/>
      <c r="D264" s="1214"/>
      <c r="E264" s="1214"/>
      <c r="F264" s="1215"/>
      <c r="G264" s="1222"/>
      <c r="H264" s="1214"/>
      <c r="I264" s="1215"/>
      <c r="J264" s="4129"/>
      <c r="K264" s="4120"/>
      <c r="L264" s="4123"/>
      <c r="M264" s="4123"/>
      <c r="N264" s="4123"/>
      <c r="O264" s="4123"/>
      <c r="P264" s="4120"/>
      <c r="Q264" s="4140"/>
      <c r="R264" s="4143"/>
      <c r="S264" s="4209"/>
      <c r="T264" s="4296" t="s">
        <v>507</v>
      </c>
      <c r="U264" s="1534" t="s">
        <v>508</v>
      </c>
      <c r="V264" s="1592">
        <v>74900000</v>
      </c>
      <c r="W264" s="2558">
        <v>61</v>
      </c>
      <c r="X264" s="2565" t="s">
        <v>502</v>
      </c>
      <c r="Y264" s="4241"/>
      <c r="Z264" s="4123"/>
      <c r="AA264" s="4123"/>
      <c r="AB264" s="4123"/>
      <c r="AC264" s="4123"/>
      <c r="AD264" s="4123"/>
      <c r="AE264" s="4123"/>
      <c r="AF264" s="4123"/>
      <c r="AG264" s="4123"/>
      <c r="AH264" s="4123"/>
      <c r="AI264" s="4123"/>
      <c r="AJ264" s="4123"/>
      <c r="AK264" s="4123"/>
      <c r="AL264" s="4123"/>
      <c r="AM264" s="4123"/>
      <c r="AN264" s="4123"/>
      <c r="AO264" s="4302"/>
      <c r="AP264" s="4302"/>
      <c r="AQ264" s="4152"/>
      <c r="AR264" s="2594"/>
    </row>
    <row r="265" spans="1:44" ht="42.75" x14ac:dyDescent="0.2">
      <c r="A265" s="1213"/>
      <c r="B265" s="1214"/>
      <c r="C265" s="1215"/>
      <c r="D265" s="1214"/>
      <c r="E265" s="1214"/>
      <c r="F265" s="1215"/>
      <c r="G265" s="1222"/>
      <c r="H265" s="1214"/>
      <c r="I265" s="1215"/>
      <c r="J265" s="4129"/>
      <c r="K265" s="4120"/>
      <c r="L265" s="4123"/>
      <c r="M265" s="4123"/>
      <c r="N265" s="4123"/>
      <c r="O265" s="4123"/>
      <c r="P265" s="4120"/>
      <c r="Q265" s="4140"/>
      <c r="R265" s="4143"/>
      <c r="S265" s="4209"/>
      <c r="T265" s="4297"/>
      <c r="U265" s="1534" t="s">
        <v>509</v>
      </c>
      <c r="V265" s="1592">
        <f>40630000+220000000-175133457-4282248</f>
        <v>81214295</v>
      </c>
      <c r="W265" s="2558">
        <v>61</v>
      </c>
      <c r="X265" s="2561" t="s">
        <v>502</v>
      </c>
      <c r="Y265" s="4241"/>
      <c r="Z265" s="4123"/>
      <c r="AA265" s="4123"/>
      <c r="AB265" s="4123"/>
      <c r="AC265" s="4123"/>
      <c r="AD265" s="4123"/>
      <c r="AE265" s="4123"/>
      <c r="AF265" s="4123"/>
      <c r="AG265" s="4123"/>
      <c r="AH265" s="4123"/>
      <c r="AI265" s="4123"/>
      <c r="AJ265" s="4123"/>
      <c r="AK265" s="4123"/>
      <c r="AL265" s="4123"/>
      <c r="AM265" s="4123"/>
      <c r="AN265" s="4123"/>
      <c r="AO265" s="4302"/>
      <c r="AP265" s="4302"/>
      <c r="AQ265" s="4152"/>
    </row>
    <row r="266" spans="1:44" ht="42.75" x14ac:dyDescent="0.2">
      <c r="A266" s="1213"/>
      <c r="B266" s="1214"/>
      <c r="C266" s="1215"/>
      <c r="D266" s="1214"/>
      <c r="E266" s="1214"/>
      <c r="F266" s="1215"/>
      <c r="G266" s="1222"/>
      <c r="H266" s="1214"/>
      <c r="I266" s="1215"/>
      <c r="J266" s="4129"/>
      <c r="K266" s="4120"/>
      <c r="L266" s="4123"/>
      <c r="M266" s="4123"/>
      <c r="N266" s="4123"/>
      <c r="O266" s="4123"/>
      <c r="P266" s="4120"/>
      <c r="Q266" s="4140"/>
      <c r="R266" s="4143"/>
      <c r="S266" s="4209"/>
      <c r="T266" s="4297"/>
      <c r="U266" s="1534" t="s">
        <v>510</v>
      </c>
      <c r="V266" s="1594">
        <v>44000000</v>
      </c>
      <c r="W266" s="2566">
        <v>61</v>
      </c>
      <c r="X266" s="2559" t="s">
        <v>502</v>
      </c>
      <c r="Y266" s="4241"/>
      <c r="Z266" s="4123"/>
      <c r="AA266" s="4123"/>
      <c r="AB266" s="4123"/>
      <c r="AC266" s="4123"/>
      <c r="AD266" s="4123"/>
      <c r="AE266" s="4123"/>
      <c r="AF266" s="4123"/>
      <c r="AG266" s="4123"/>
      <c r="AH266" s="4123"/>
      <c r="AI266" s="4123"/>
      <c r="AJ266" s="4123"/>
      <c r="AK266" s="4123"/>
      <c r="AL266" s="4123"/>
      <c r="AM266" s="4123"/>
      <c r="AN266" s="4123"/>
      <c r="AO266" s="4302"/>
      <c r="AP266" s="4302"/>
      <c r="AQ266" s="4152"/>
    </row>
    <row r="267" spans="1:44" ht="41.25" customHeight="1" x14ac:dyDescent="0.2">
      <c r="A267" s="1213"/>
      <c r="B267" s="1214"/>
      <c r="C267" s="1215"/>
      <c r="D267" s="1214"/>
      <c r="E267" s="1214"/>
      <c r="F267" s="1215"/>
      <c r="G267" s="1222"/>
      <c r="H267" s="1214"/>
      <c r="I267" s="1215"/>
      <c r="J267" s="4129"/>
      <c r="K267" s="4120"/>
      <c r="L267" s="4123"/>
      <c r="M267" s="4123"/>
      <c r="N267" s="4123"/>
      <c r="O267" s="4123"/>
      <c r="P267" s="4120"/>
      <c r="Q267" s="4140"/>
      <c r="R267" s="4143"/>
      <c r="S267" s="4209"/>
      <c r="T267" s="4297"/>
      <c r="U267" s="4299" t="s">
        <v>511</v>
      </c>
      <c r="V267" s="1592">
        <v>140470000</v>
      </c>
      <c r="W267" s="2567">
        <v>61</v>
      </c>
      <c r="X267" s="2559" t="s">
        <v>502</v>
      </c>
      <c r="Y267" s="4241"/>
      <c r="Z267" s="4123"/>
      <c r="AA267" s="4123"/>
      <c r="AB267" s="4123"/>
      <c r="AC267" s="4123"/>
      <c r="AD267" s="4123"/>
      <c r="AE267" s="4123"/>
      <c r="AF267" s="4123"/>
      <c r="AG267" s="4123"/>
      <c r="AH267" s="4123"/>
      <c r="AI267" s="4123"/>
      <c r="AJ267" s="4123"/>
      <c r="AK267" s="4123"/>
      <c r="AL267" s="4123"/>
      <c r="AM267" s="4123"/>
      <c r="AN267" s="4123"/>
      <c r="AO267" s="4302"/>
      <c r="AP267" s="4302"/>
      <c r="AQ267" s="4152"/>
    </row>
    <row r="268" spans="1:44" ht="41.25" customHeight="1" x14ac:dyDescent="0.2">
      <c r="A268" s="1213"/>
      <c r="B268" s="1214"/>
      <c r="C268" s="1215"/>
      <c r="D268" s="1214"/>
      <c r="E268" s="1214"/>
      <c r="F268" s="1215"/>
      <c r="G268" s="1222"/>
      <c r="H268" s="1214"/>
      <c r="I268" s="1215"/>
      <c r="J268" s="4129"/>
      <c r="K268" s="4120"/>
      <c r="L268" s="4123"/>
      <c r="M268" s="4123"/>
      <c r="N268" s="4123"/>
      <c r="O268" s="4123"/>
      <c r="P268" s="4120"/>
      <c r="Q268" s="4140"/>
      <c r="R268" s="4143"/>
      <c r="S268" s="4209"/>
      <c r="T268" s="4297"/>
      <c r="U268" s="4300"/>
      <c r="V268" s="1592">
        <v>30000000</v>
      </c>
      <c r="W268" s="2567">
        <v>88</v>
      </c>
      <c r="X268" s="2559" t="s">
        <v>503</v>
      </c>
      <c r="Y268" s="4241"/>
      <c r="Z268" s="4123"/>
      <c r="AA268" s="4123"/>
      <c r="AB268" s="4123"/>
      <c r="AC268" s="4123"/>
      <c r="AD268" s="4123"/>
      <c r="AE268" s="4123"/>
      <c r="AF268" s="4123"/>
      <c r="AG268" s="4123"/>
      <c r="AH268" s="4123"/>
      <c r="AI268" s="4123"/>
      <c r="AJ268" s="4123"/>
      <c r="AK268" s="4123"/>
      <c r="AL268" s="4123"/>
      <c r="AM268" s="4123"/>
      <c r="AN268" s="4123"/>
      <c r="AO268" s="4302"/>
      <c r="AP268" s="4302"/>
      <c r="AQ268" s="4152"/>
    </row>
    <row r="269" spans="1:44" ht="41.25" customHeight="1" x14ac:dyDescent="0.2">
      <c r="A269" s="1213"/>
      <c r="B269" s="1214"/>
      <c r="C269" s="1215"/>
      <c r="D269" s="1214"/>
      <c r="E269" s="1214"/>
      <c r="F269" s="1215"/>
      <c r="G269" s="1222"/>
      <c r="H269" s="1214"/>
      <c r="I269" s="1215"/>
      <c r="J269" s="4129"/>
      <c r="K269" s="4120"/>
      <c r="L269" s="4123"/>
      <c r="M269" s="4123"/>
      <c r="N269" s="4123"/>
      <c r="O269" s="4123"/>
      <c r="P269" s="4120"/>
      <c r="Q269" s="4140"/>
      <c r="R269" s="4143"/>
      <c r="S269" s="4209"/>
      <c r="T269" s="4297"/>
      <c r="U269" s="4300"/>
      <c r="V269" s="1592">
        <v>15000000</v>
      </c>
      <c r="W269" s="2567">
        <v>98</v>
      </c>
      <c r="X269" s="2559" t="s">
        <v>451</v>
      </c>
      <c r="Y269" s="4241"/>
      <c r="Z269" s="4123"/>
      <c r="AA269" s="4123"/>
      <c r="AB269" s="4123"/>
      <c r="AC269" s="4123"/>
      <c r="AD269" s="4123"/>
      <c r="AE269" s="4123"/>
      <c r="AF269" s="4123"/>
      <c r="AG269" s="4123"/>
      <c r="AH269" s="4123"/>
      <c r="AI269" s="4123"/>
      <c r="AJ269" s="4123"/>
      <c r="AK269" s="4123"/>
      <c r="AL269" s="4123"/>
      <c r="AM269" s="4123"/>
      <c r="AN269" s="4123"/>
      <c r="AO269" s="4302"/>
      <c r="AP269" s="4302"/>
      <c r="AQ269" s="4152"/>
    </row>
    <row r="270" spans="1:44" ht="27.75" customHeight="1" x14ac:dyDescent="0.2">
      <c r="A270" s="1213"/>
      <c r="B270" s="1214"/>
      <c r="C270" s="1215"/>
      <c r="D270" s="1214"/>
      <c r="E270" s="1214"/>
      <c r="F270" s="1215"/>
      <c r="G270" s="1222"/>
      <c r="H270" s="1214"/>
      <c r="I270" s="1215"/>
      <c r="J270" s="4129"/>
      <c r="K270" s="4120"/>
      <c r="L270" s="4123"/>
      <c r="M270" s="4123"/>
      <c r="N270" s="4123"/>
      <c r="O270" s="4123"/>
      <c r="P270" s="4120"/>
      <c r="Q270" s="4140"/>
      <c r="R270" s="4143"/>
      <c r="S270" s="4209"/>
      <c r="T270" s="4298"/>
      <c r="U270" s="4300"/>
      <c r="V270" s="1593">
        <f>57233390-29104095</f>
        <v>28129295</v>
      </c>
      <c r="W270" s="2567">
        <v>96</v>
      </c>
      <c r="X270" s="2559" t="s">
        <v>512</v>
      </c>
      <c r="Y270" s="4241"/>
      <c r="Z270" s="4123"/>
      <c r="AA270" s="4123"/>
      <c r="AB270" s="4123"/>
      <c r="AC270" s="4123"/>
      <c r="AD270" s="4123"/>
      <c r="AE270" s="4123"/>
      <c r="AF270" s="4123"/>
      <c r="AG270" s="4123"/>
      <c r="AH270" s="4123"/>
      <c r="AI270" s="4123"/>
      <c r="AJ270" s="4123"/>
      <c r="AK270" s="4123"/>
      <c r="AL270" s="4123"/>
      <c r="AM270" s="4123"/>
      <c r="AN270" s="4123"/>
      <c r="AO270" s="4302"/>
      <c r="AP270" s="4302"/>
      <c r="AQ270" s="4152"/>
    </row>
    <row r="271" spans="1:44" ht="32.25" customHeight="1" x14ac:dyDescent="0.2">
      <c r="A271" s="1213"/>
      <c r="B271" s="1214"/>
      <c r="C271" s="1215"/>
      <c r="D271" s="1214"/>
      <c r="E271" s="1214"/>
      <c r="F271" s="1215"/>
      <c r="G271" s="1222"/>
      <c r="H271" s="1214"/>
      <c r="I271" s="1215"/>
      <c r="J271" s="4129"/>
      <c r="K271" s="4120"/>
      <c r="L271" s="4123"/>
      <c r="M271" s="4123"/>
      <c r="N271" s="4123"/>
      <c r="O271" s="4123"/>
      <c r="P271" s="4120"/>
      <c r="Q271" s="4140"/>
      <c r="R271" s="4143"/>
      <c r="S271" s="4209"/>
      <c r="T271" s="4301" t="s">
        <v>513</v>
      </c>
      <c r="U271" s="4292" t="s">
        <v>514</v>
      </c>
      <c r="V271" s="1685">
        <v>88000000</v>
      </c>
      <c r="W271" s="2567">
        <v>61</v>
      </c>
      <c r="X271" s="2559" t="s">
        <v>502</v>
      </c>
      <c r="Y271" s="4241"/>
      <c r="Z271" s="4123"/>
      <c r="AA271" s="4123"/>
      <c r="AB271" s="4123"/>
      <c r="AC271" s="4123"/>
      <c r="AD271" s="4123"/>
      <c r="AE271" s="4123"/>
      <c r="AF271" s="4123"/>
      <c r="AG271" s="4123"/>
      <c r="AH271" s="4123"/>
      <c r="AI271" s="4123"/>
      <c r="AJ271" s="4123"/>
      <c r="AK271" s="4123"/>
      <c r="AL271" s="4123"/>
      <c r="AM271" s="4123"/>
      <c r="AN271" s="4123"/>
      <c r="AO271" s="4302"/>
      <c r="AP271" s="4302"/>
      <c r="AQ271" s="4152"/>
    </row>
    <row r="272" spans="1:44" ht="32.25" customHeight="1" x14ac:dyDescent="0.2">
      <c r="A272" s="1213"/>
      <c r="B272" s="1214"/>
      <c r="C272" s="1215"/>
      <c r="D272" s="1214"/>
      <c r="E272" s="1214"/>
      <c r="F272" s="1215"/>
      <c r="G272" s="1222"/>
      <c r="H272" s="1214"/>
      <c r="I272" s="1215"/>
      <c r="J272" s="4129"/>
      <c r="K272" s="4120"/>
      <c r="L272" s="4123"/>
      <c r="M272" s="4123"/>
      <c r="N272" s="4123"/>
      <c r="O272" s="4123"/>
      <c r="P272" s="4120"/>
      <c r="Q272" s="4140"/>
      <c r="R272" s="4143"/>
      <c r="S272" s="4209"/>
      <c r="T272" s="4301"/>
      <c r="U272" s="4304"/>
      <c r="V272" s="1593">
        <f>57233390-57233390</f>
        <v>0</v>
      </c>
      <c r="W272" s="2568">
        <v>96</v>
      </c>
      <c r="X272" s="2569" t="s">
        <v>512</v>
      </c>
      <c r="Y272" s="4241"/>
      <c r="Z272" s="4123"/>
      <c r="AA272" s="4123"/>
      <c r="AB272" s="4123"/>
      <c r="AC272" s="4123"/>
      <c r="AD272" s="4123"/>
      <c r="AE272" s="4123"/>
      <c r="AF272" s="4123"/>
      <c r="AG272" s="4123"/>
      <c r="AH272" s="4123"/>
      <c r="AI272" s="4123"/>
      <c r="AJ272" s="4123"/>
      <c r="AK272" s="4123"/>
      <c r="AL272" s="4123"/>
      <c r="AM272" s="4123"/>
      <c r="AN272" s="4123"/>
      <c r="AO272" s="4302"/>
      <c r="AP272" s="4302"/>
      <c r="AQ272" s="4152"/>
    </row>
    <row r="273" spans="1:304" ht="33.75" customHeight="1" x14ac:dyDescent="0.2">
      <c r="A273" s="1213"/>
      <c r="B273" s="1214"/>
      <c r="C273" s="1215"/>
      <c r="D273" s="1214"/>
      <c r="E273" s="1214"/>
      <c r="F273" s="1215"/>
      <c r="G273" s="1222"/>
      <c r="H273" s="1214"/>
      <c r="I273" s="1215"/>
      <c r="J273" s="4129"/>
      <c r="K273" s="4121"/>
      <c r="L273" s="4124"/>
      <c r="M273" s="4124"/>
      <c r="N273" s="4124"/>
      <c r="O273" s="4124"/>
      <c r="P273" s="4121"/>
      <c r="Q273" s="4141"/>
      <c r="R273" s="4144"/>
      <c r="S273" s="4209"/>
      <c r="T273" s="4301"/>
      <c r="U273" s="1686" t="s">
        <v>515</v>
      </c>
      <c r="V273" s="1689">
        <f>0+69344605</f>
        <v>69344605</v>
      </c>
      <c r="W273" s="2568">
        <v>20</v>
      </c>
      <c r="X273" s="1680"/>
      <c r="Y273" s="4242"/>
      <c r="Z273" s="4124"/>
      <c r="AA273" s="4124"/>
      <c r="AB273" s="4124"/>
      <c r="AC273" s="4124"/>
      <c r="AD273" s="4124"/>
      <c r="AE273" s="4124"/>
      <c r="AF273" s="4124"/>
      <c r="AG273" s="4124"/>
      <c r="AH273" s="4124"/>
      <c r="AI273" s="4124"/>
      <c r="AJ273" s="4124"/>
      <c r="AK273" s="4124"/>
      <c r="AL273" s="4124"/>
      <c r="AM273" s="4124"/>
      <c r="AN273" s="4124"/>
      <c r="AO273" s="4302"/>
      <c r="AP273" s="4302"/>
      <c r="AQ273" s="4153"/>
      <c r="AS273" s="1221"/>
      <c r="AT273" s="1221"/>
    </row>
    <row r="274" spans="1:304" s="1279" customFormat="1" ht="47.25" customHeight="1" x14ac:dyDescent="0.2">
      <c r="A274" s="1213"/>
      <c r="B274" s="1214"/>
      <c r="C274" s="1215"/>
      <c r="D274" s="1214"/>
      <c r="E274" s="1214"/>
      <c r="F274" s="1215"/>
      <c r="G274" s="1222"/>
      <c r="H274" s="1214"/>
      <c r="I274" s="1215"/>
      <c r="J274" s="4116">
        <v>161</v>
      </c>
      <c r="K274" s="4119" t="s">
        <v>516</v>
      </c>
      <c r="L274" s="4122" t="s">
        <v>169</v>
      </c>
      <c r="M274" s="4122">
        <v>100</v>
      </c>
      <c r="N274" s="4122" t="s">
        <v>517</v>
      </c>
      <c r="O274" s="4122" t="s">
        <v>518</v>
      </c>
      <c r="P274" s="4119" t="s">
        <v>519</v>
      </c>
      <c r="Q274" s="4139">
        <f>SUM(V274:V279)/R274</f>
        <v>0.25432610708385361</v>
      </c>
      <c r="R274" s="4142">
        <f>SUM(V274:V285)</f>
        <v>412466385</v>
      </c>
      <c r="S274" s="4119" t="s">
        <v>520</v>
      </c>
      <c r="T274" s="4119" t="s">
        <v>521</v>
      </c>
      <c r="U274" s="1687" t="s">
        <v>522</v>
      </c>
      <c r="V274" s="1688">
        <v>15000000</v>
      </c>
      <c r="W274" s="2570">
        <v>61</v>
      </c>
      <c r="X274" s="2497" t="s">
        <v>380</v>
      </c>
      <c r="Y274" s="4116">
        <v>292684</v>
      </c>
      <c r="Z274" s="4122">
        <v>282326</v>
      </c>
      <c r="AA274" s="4134">
        <v>135912</v>
      </c>
      <c r="AB274" s="4134">
        <v>45122</v>
      </c>
      <c r="AC274" s="4134">
        <f t="shared" ref="AC274:AD274" si="2">AC258</f>
        <v>307101</v>
      </c>
      <c r="AD274" s="4134">
        <f t="shared" si="2"/>
        <v>86875</v>
      </c>
      <c r="AE274" s="4134">
        <v>2145</v>
      </c>
      <c r="AF274" s="4134">
        <v>12718</v>
      </c>
      <c r="AG274" s="4134">
        <v>26</v>
      </c>
      <c r="AH274" s="4134">
        <v>37</v>
      </c>
      <c r="AI274" s="4134" t="s">
        <v>177</v>
      </c>
      <c r="AJ274" s="4134" t="s">
        <v>177</v>
      </c>
      <c r="AK274" s="4134">
        <v>53164</v>
      </c>
      <c r="AL274" s="4134">
        <v>16982</v>
      </c>
      <c r="AM274" s="4134">
        <v>60013</v>
      </c>
      <c r="AN274" s="4134">
        <v>575010</v>
      </c>
      <c r="AO274" s="4148">
        <v>43467</v>
      </c>
      <c r="AP274" s="4148">
        <v>43830</v>
      </c>
      <c r="AQ274" s="4151" t="s">
        <v>178</v>
      </c>
      <c r="AR274" s="2594"/>
      <c r="AS274" s="1221"/>
      <c r="AT274" s="1221"/>
      <c r="AU274" s="1188"/>
      <c r="AV274" s="1188"/>
      <c r="AW274" s="1188"/>
      <c r="AX274" s="1188"/>
      <c r="AY274" s="1188"/>
      <c r="AZ274" s="1188"/>
      <c r="BA274" s="1188"/>
      <c r="BB274" s="1188"/>
      <c r="BC274" s="1188"/>
      <c r="BD274" s="1188"/>
      <c r="BE274" s="1188"/>
      <c r="BF274" s="1188"/>
      <c r="BG274" s="1188"/>
      <c r="BH274" s="1188"/>
      <c r="BI274" s="1188"/>
      <c r="BJ274" s="1188"/>
      <c r="BK274" s="1188"/>
      <c r="BL274" s="1188"/>
      <c r="BM274" s="1188"/>
      <c r="BN274" s="1188"/>
      <c r="BO274" s="1188"/>
      <c r="BP274" s="1188"/>
      <c r="BQ274" s="1188"/>
      <c r="BR274" s="1188"/>
      <c r="BS274" s="1188"/>
      <c r="BT274" s="1188"/>
      <c r="BU274" s="1188"/>
      <c r="BV274" s="1188"/>
      <c r="BW274" s="1188"/>
      <c r="BX274" s="1188"/>
      <c r="BY274" s="1188"/>
      <c r="BZ274" s="1188"/>
      <c r="CA274" s="1188"/>
      <c r="CB274" s="1188"/>
      <c r="CC274" s="1188"/>
      <c r="CD274" s="1188"/>
      <c r="CE274" s="1188"/>
      <c r="CF274" s="1188"/>
      <c r="CG274" s="1188"/>
      <c r="CH274" s="1188"/>
      <c r="CI274" s="1188"/>
      <c r="CJ274" s="1188"/>
      <c r="CK274" s="1188"/>
      <c r="CL274" s="1188"/>
      <c r="CM274" s="1188"/>
      <c r="CN274" s="1188"/>
      <c r="CO274" s="1188"/>
      <c r="CP274" s="1188"/>
      <c r="CQ274" s="1188"/>
      <c r="CR274" s="1188"/>
      <c r="CS274" s="1188"/>
      <c r="CT274" s="1188"/>
      <c r="CU274" s="1188"/>
      <c r="CV274" s="1188"/>
      <c r="CW274" s="1188"/>
      <c r="CX274" s="1188"/>
      <c r="CY274" s="1188"/>
      <c r="CZ274" s="1188"/>
      <c r="DA274" s="1188"/>
      <c r="DB274" s="1188"/>
      <c r="DC274" s="1188"/>
      <c r="DD274" s="1188"/>
      <c r="DE274" s="1188"/>
      <c r="DF274" s="1188"/>
      <c r="DG274" s="1188"/>
      <c r="DH274" s="1188"/>
      <c r="DI274" s="1188"/>
      <c r="DJ274" s="1188"/>
      <c r="DK274" s="1188"/>
      <c r="DL274" s="1188"/>
      <c r="DM274" s="1188"/>
      <c r="DN274" s="1188"/>
      <c r="DO274" s="1188"/>
      <c r="DP274" s="1188"/>
      <c r="DQ274" s="1188"/>
      <c r="DR274" s="1188"/>
      <c r="DS274" s="1188"/>
      <c r="DT274" s="1188"/>
      <c r="DU274" s="1188"/>
      <c r="DV274" s="1188"/>
      <c r="DW274" s="1188"/>
      <c r="DX274" s="1188"/>
      <c r="DY274" s="1188"/>
      <c r="DZ274" s="1188"/>
      <c r="EA274" s="1188"/>
      <c r="EB274" s="1188"/>
      <c r="EC274" s="1188"/>
      <c r="ED274" s="1188"/>
      <c r="EE274" s="1188"/>
      <c r="EF274" s="1188"/>
      <c r="EG274" s="1188"/>
      <c r="EH274" s="1188"/>
      <c r="EI274" s="1188"/>
      <c r="EJ274" s="1188"/>
      <c r="EK274" s="1188"/>
      <c r="EL274" s="1188"/>
      <c r="EM274" s="1188"/>
      <c r="EN274" s="1188"/>
      <c r="EO274" s="1188"/>
      <c r="EP274" s="1188"/>
      <c r="EQ274" s="1188"/>
      <c r="ER274" s="1188"/>
      <c r="ES274" s="1188"/>
      <c r="ET274" s="1188"/>
      <c r="EU274" s="1188"/>
      <c r="EV274" s="1188"/>
      <c r="EW274" s="1188"/>
      <c r="EX274" s="1188"/>
      <c r="EY274" s="1188"/>
      <c r="EZ274" s="1188"/>
      <c r="FA274" s="1188"/>
      <c r="FB274" s="1188"/>
      <c r="FC274" s="1188"/>
      <c r="FD274" s="1188"/>
      <c r="FE274" s="1188"/>
      <c r="FF274" s="1188"/>
      <c r="FG274" s="1188"/>
      <c r="FH274" s="1188"/>
      <c r="FI274" s="1188"/>
      <c r="FJ274" s="1188"/>
      <c r="FK274" s="1188"/>
      <c r="FL274" s="1188"/>
      <c r="FM274" s="1188"/>
      <c r="FN274" s="1188"/>
      <c r="FO274" s="1188"/>
      <c r="FP274" s="1188"/>
      <c r="FQ274" s="1188"/>
      <c r="FR274" s="1188"/>
      <c r="FS274" s="1188"/>
      <c r="FT274" s="1188"/>
      <c r="FU274" s="1188"/>
      <c r="FV274" s="1188"/>
      <c r="FW274" s="1188"/>
      <c r="FX274" s="1188"/>
      <c r="FY274" s="1188"/>
      <c r="FZ274" s="1188"/>
      <c r="GA274" s="1188"/>
      <c r="GB274" s="1188"/>
      <c r="GC274" s="1188"/>
      <c r="GD274" s="1188"/>
      <c r="GE274" s="1188"/>
      <c r="GF274" s="1188"/>
      <c r="GG274" s="1188"/>
      <c r="GH274" s="1188"/>
      <c r="GI274" s="1188"/>
      <c r="GJ274" s="1188"/>
      <c r="GK274" s="1188"/>
      <c r="GL274" s="1188"/>
      <c r="GM274" s="1188"/>
      <c r="GN274" s="1188"/>
      <c r="GO274" s="1188"/>
      <c r="GP274" s="1188"/>
      <c r="GQ274" s="1188"/>
      <c r="GR274" s="1188"/>
      <c r="GS274" s="1188"/>
      <c r="GT274" s="1188"/>
      <c r="GU274" s="1188"/>
      <c r="GV274" s="1188"/>
      <c r="GW274" s="1188"/>
      <c r="GX274" s="1188"/>
      <c r="GY274" s="1188"/>
      <c r="GZ274" s="1188"/>
      <c r="HA274" s="1188"/>
      <c r="HB274" s="1188"/>
      <c r="HC274" s="1188"/>
      <c r="HD274" s="1188"/>
      <c r="HE274" s="1188"/>
      <c r="HF274" s="1188"/>
      <c r="HG274" s="1188"/>
      <c r="HH274" s="1188"/>
      <c r="HI274" s="1188"/>
      <c r="HJ274" s="1188"/>
      <c r="HK274" s="1188"/>
      <c r="HL274" s="1188"/>
      <c r="HM274" s="1188"/>
      <c r="HN274" s="1188"/>
      <c r="HO274" s="1188"/>
      <c r="HP274" s="1188"/>
      <c r="HQ274" s="1188"/>
      <c r="HR274" s="1188"/>
      <c r="HS274" s="1188"/>
      <c r="HT274" s="1188"/>
      <c r="HU274" s="1188"/>
      <c r="HV274" s="1188"/>
      <c r="HW274" s="1188"/>
      <c r="HX274" s="1188"/>
      <c r="HY274" s="1188"/>
      <c r="HZ274" s="1188"/>
      <c r="IA274" s="1188"/>
      <c r="IB274" s="1188"/>
      <c r="IC274" s="1188"/>
      <c r="ID274" s="1188"/>
      <c r="IE274" s="1188"/>
      <c r="IF274" s="1188"/>
      <c r="IG274" s="1188"/>
      <c r="IH274" s="1188"/>
      <c r="II274" s="1188"/>
      <c r="IJ274" s="1188"/>
      <c r="IK274" s="1188"/>
      <c r="IL274" s="1188"/>
      <c r="IM274" s="1188"/>
      <c r="IN274" s="1188"/>
      <c r="IO274" s="1188"/>
      <c r="IP274" s="1188"/>
      <c r="IQ274" s="1188"/>
      <c r="IR274" s="1188"/>
      <c r="IS274" s="1188"/>
      <c r="IT274" s="1188"/>
      <c r="IU274" s="1188"/>
      <c r="IV274" s="1188"/>
      <c r="IW274" s="1188"/>
      <c r="IX274" s="1188"/>
      <c r="IY274" s="1188"/>
      <c r="IZ274" s="1188"/>
      <c r="JA274" s="1188"/>
      <c r="JB274" s="1188"/>
      <c r="JC274" s="1188"/>
      <c r="JD274" s="1188"/>
      <c r="JE274" s="1188"/>
      <c r="JF274" s="1188"/>
      <c r="JG274" s="1188"/>
      <c r="JH274" s="1188"/>
      <c r="JI274" s="1188"/>
      <c r="JJ274" s="1188"/>
      <c r="JK274" s="1188"/>
      <c r="JL274" s="1188"/>
      <c r="JM274" s="1188"/>
      <c r="JN274" s="1188"/>
      <c r="JO274" s="1188"/>
      <c r="JP274" s="1188"/>
      <c r="JQ274" s="1188"/>
      <c r="JR274" s="1188"/>
      <c r="JS274" s="1188"/>
      <c r="JT274" s="1188"/>
      <c r="JU274" s="1188"/>
      <c r="JV274" s="1188"/>
      <c r="JW274" s="1188"/>
      <c r="JX274" s="1188"/>
      <c r="JY274" s="1188"/>
      <c r="JZ274" s="1188"/>
      <c r="KA274" s="1188"/>
      <c r="KB274" s="1188"/>
      <c r="KC274" s="1188"/>
      <c r="KD274" s="1188"/>
      <c r="KE274" s="1188"/>
      <c r="KF274" s="1188"/>
      <c r="KG274" s="1188"/>
      <c r="KH274" s="1188"/>
      <c r="KI274" s="1188"/>
      <c r="KJ274" s="1188"/>
      <c r="KK274" s="1188"/>
      <c r="KL274" s="1188"/>
      <c r="KM274" s="1188"/>
      <c r="KN274" s="1188"/>
      <c r="KO274" s="1188"/>
      <c r="KP274" s="1188"/>
      <c r="KQ274" s="1188"/>
      <c r="KR274" s="1188"/>
    </row>
    <row r="275" spans="1:304" s="1279" customFormat="1" ht="34.5" customHeight="1" x14ac:dyDescent="0.2">
      <c r="A275" s="1213"/>
      <c r="B275" s="1214"/>
      <c r="C275" s="1215"/>
      <c r="D275" s="1214"/>
      <c r="E275" s="1214"/>
      <c r="F275" s="1215"/>
      <c r="G275" s="1222"/>
      <c r="H275" s="1214"/>
      <c r="I275" s="1215"/>
      <c r="J275" s="4117"/>
      <c r="K275" s="4120"/>
      <c r="L275" s="4123"/>
      <c r="M275" s="4123"/>
      <c r="N275" s="4123"/>
      <c r="O275" s="4123"/>
      <c r="P275" s="4120"/>
      <c r="Q275" s="4140"/>
      <c r="R275" s="4143"/>
      <c r="S275" s="4120"/>
      <c r="T275" s="4120"/>
      <c r="U275" s="4224" t="s">
        <v>523</v>
      </c>
      <c r="V275" s="1524">
        <v>25000000</v>
      </c>
      <c r="W275" s="2571">
        <v>61</v>
      </c>
      <c r="X275" s="2507" t="s">
        <v>380</v>
      </c>
      <c r="Y275" s="4117"/>
      <c r="Z275" s="4123"/>
      <c r="AA275" s="4135"/>
      <c r="AB275" s="4135"/>
      <c r="AC275" s="4135"/>
      <c r="AD275" s="4135"/>
      <c r="AE275" s="4135"/>
      <c r="AF275" s="4135"/>
      <c r="AG275" s="4135"/>
      <c r="AH275" s="4135"/>
      <c r="AI275" s="4135"/>
      <c r="AJ275" s="4135"/>
      <c r="AK275" s="4135"/>
      <c r="AL275" s="4135"/>
      <c r="AM275" s="4135"/>
      <c r="AN275" s="4135"/>
      <c r="AO275" s="4149"/>
      <c r="AP275" s="4149"/>
      <c r="AQ275" s="4152"/>
      <c r="AR275" s="2594"/>
      <c r="AS275" s="1221"/>
      <c r="AT275" s="1221"/>
      <c r="AU275" s="1188"/>
      <c r="AV275" s="1188"/>
      <c r="AW275" s="1188"/>
      <c r="AX275" s="1188"/>
      <c r="AY275" s="1188"/>
      <c r="AZ275" s="1188"/>
      <c r="BA275" s="1188"/>
      <c r="BB275" s="1188"/>
      <c r="BC275" s="1188"/>
      <c r="BD275" s="1188"/>
      <c r="BE275" s="1188"/>
      <c r="BF275" s="1188"/>
      <c r="BG275" s="1188"/>
      <c r="BH275" s="1188"/>
      <c r="BI275" s="1188"/>
      <c r="BJ275" s="1188"/>
      <c r="BK275" s="1188"/>
      <c r="BL275" s="1188"/>
      <c r="BM275" s="1188"/>
      <c r="BN275" s="1188"/>
      <c r="BO275" s="1188"/>
      <c r="BP275" s="1188"/>
      <c r="BQ275" s="1188"/>
      <c r="BR275" s="1188"/>
      <c r="BS275" s="1188"/>
      <c r="BT275" s="1188"/>
      <c r="BU275" s="1188"/>
      <c r="BV275" s="1188"/>
      <c r="BW275" s="1188"/>
      <c r="BX275" s="1188"/>
      <c r="BY275" s="1188"/>
      <c r="BZ275" s="1188"/>
      <c r="CA275" s="1188"/>
      <c r="CB275" s="1188"/>
      <c r="CC275" s="1188"/>
      <c r="CD275" s="1188"/>
      <c r="CE275" s="1188"/>
      <c r="CF275" s="1188"/>
      <c r="CG275" s="1188"/>
      <c r="CH275" s="1188"/>
      <c r="CI275" s="1188"/>
      <c r="CJ275" s="1188"/>
      <c r="CK275" s="1188"/>
      <c r="CL275" s="1188"/>
      <c r="CM275" s="1188"/>
      <c r="CN275" s="1188"/>
      <c r="CO275" s="1188"/>
      <c r="CP275" s="1188"/>
      <c r="CQ275" s="1188"/>
      <c r="CR275" s="1188"/>
      <c r="CS275" s="1188"/>
      <c r="CT275" s="1188"/>
      <c r="CU275" s="1188"/>
      <c r="CV275" s="1188"/>
      <c r="CW275" s="1188"/>
      <c r="CX275" s="1188"/>
      <c r="CY275" s="1188"/>
      <c r="CZ275" s="1188"/>
      <c r="DA275" s="1188"/>
      <c r="DB275" s="1188"/>
      <c r="DC275" s="1188"/>
      <c r="DD275" s="1188"/>
      <c r="DE275" s="1188"/>
      <c r="DF275" s="1188"/>
      <c r="DG275" s="1188"/>
      <c r="DH275" s="1188"/>
      <c r="DI275" s="1188"/>
      <c r="DJ275" s="1188"/>
      <c r="DK275" s="1188"/>
      <c r="DL275" s="1188"/>
      <c r="DM275" s="1188"/>
      <c r="DN275" s="1188"/>
      <c r="DO275" s="1188"/>
      <c r="DP275" s="1188"/>
      <c r="DQ275" s="1188"/>
      <c r="DR275" s="1188"/>
      <c r="DS275" s="1188"/>
      <c r="DT275" s="1188"/>
      <c r="DU275" s="1188"/>
      <c r="DV275" s="1188"/>
      <c r="DW275" s="1188"/>
      <c r="DX275" s="1188"/>
      <c r="DY275" s="1188"/>
      <c r="DZ275" s="1188"/>
      <c r="EA275" s="1188"/>
      <c r="EB275" s="1188"/>
      <c r="EC275" s="1188"/>
      <c r="ED275" s="1188"/>
      <c r="EE275" s="1188"/>
      <c r="EF275" s="1188"/>
      <c r="EG275" s="1188"/>
      <c r="EH275" s="1188"/>
      <c r="EI275" s="1188"/>
      <c r="EJ275" s="1188"/>
      <c r="EK275" s="1188"/>
      <c r="EL275" s="1188"/>
      <c r="EM275" s="1188"/>
      <c r="EN275" s="1188"/>
      <c r="EO275" s="1188"/>
      <c r="EP275" s="1188"/>
      <c r="EQ275" s="1188"/>
      <c r="ER275" s="1188"/>
      <c r="ES275" s="1188"/>
      <c r="ET275" s="1188"/>
      <c r="EU275" s="1188"/>
      <c r="EV275" s="1188"/>
      <c r="EW275" s="1188"/>
      <c r="EX275" s="1188"/>
      <c r="EY275" s="1188"/>
      <c r="EZ275" s="1188"/>
      <c r="FA275" s="1188"/>
      <c r="FB275" s="1188"/>
      <c r="FC275" s="1188"/>
      <c r="FD275" s="1188"/>
      <c r="FE275" s="1188"/>
      <c r="FF275" s="1188"/>
      <c r="FG275" s="1188"/>
      <c r="FH275" s="1188"/>
      <c r="FI275" s="1188"/>
      <c r="FJ275" s="1188"/>
      <c r="FK275" s="1188"/>
      <c r="FL275" s="1188"/>
      <c r="FM275" s="1188"/>
      <c r="FN275" s="1188"/>
      <c r="FO275" s="1188"/>
      <c r="FP275" s="1188"/>
      <c r="FQ275" s="1188"/>
      <c r="FR275" s="1188"/>
      <c r="FS275" s="1188"/>
      <c r="FT275" s="1188"/>
      <c r="FU275" s="1188"/>
      <c r="FV275" s="1188"/>
      <c r="FW275" s="1188"/>
      <c r="FX275" s="1188"/>
      <c r="FY275" s="1188"/>
      <c r="FZ275" s="1188"/>
      <c r="GA275" s="1188"/>
      <c r="GB275" s="1188"/>
      <c r="GC275" s="1188"/>
      <c r="GD275" s="1188"/>
      <c r="GE275" s="1188"/>
      <c r="GF275" s="1188"/>
      <c r="GG275" s="1188"/>
      <c r="GH275" s="1188"/>
      <c r="GI275" s="1188"/>
      <c r="GJ275" s="1188"/>
      <c r="GK275" s="1188"/>
      <c r="GL275" s="1188"/>
      <c r="GM275" s="1188"/>
      <c r="GN275" s="1188"/>
      <c r="GO275" s="1188"/>
      <c r="GP275" s="1188"/>
      <c r="GQ275" s="1188"/>
      <c r="GR275" s="1188"/>
      <c r="GS275" s="1188"/>
      <c r="GT275" s="1188"/>
      <c r="GU275" s="1188"/>
      <c r="GV275" s="1188"/>
      <c r="GW275" s="1188"/>
      <c r="GX275" s="1188"/>
      <c r="GY275" s="1188"/>
      <c r="GZ275" s="1188"/>
      <c r="HA275" s="1188"/>
      <c r="HB275" s="1188"/>
      <c r="HC275" s="1188"/>
      <c r="HD275" s="1188"/>
      <c r="HE275" s="1188"/>
      <c r="HF275" s="1188"/>
      <c r="HG275" s="1188"/>
      <c r="HH275" s="1188"/>
      <c r="HI275" s="1188"/>
      <c r="HJ275" s="1188"/>
      <c r="HK275" s="1188"/>
      <c r="HL275" s="1188"/>
      <c r="HM275" s="1188"/>
      <c r="HN275" s="1188"/>
      <c r="HO275" s="1188"/>
      <c r="HP275" s="1188"/>
      <c r="HQ275" s="1188"/>
      <c r="HR275" s="1188"/>
      <c r="HS275" s="1188"/>
      <c r="HT275" s="1188"/>
      <c r="HU275" s="1188"/>
      <c r="HV275" s="1188"/>
      <c r="HW275" s="1188"/>
      <c r="HX275" s="1188"/>
      <c r="HY275" s="1188"/>
      <c r="HZ275" s="1188"/>
      <c r="IA275" s="1188"/>
      <c r="IB275" s="1188"/>
      <c r="IC275" s="1188"/>
      <c r="ID275" s="1188"/>
      <c r="IE275" s="1188"/>
      <c r="IF275" s="1188"/>
      <c r="IG275" s="1188"/>
      <c r="IH275" s="1188"/>
      <c r="II275" s="1188"/>
      <c r="IJ275" s="1188"/>
      <c r="IK275" s="1188"/>
      <c r="IL275" s="1188"/>
      <c r="IM275" s="1188"/>
      <c r="IN275" s="1188"/>
      <c r="IO275" s="1188"/>
      <c r="IP275" s="1188"/>
      <c r="IQ275" s="1188"/>
      <c r="IR275" s="1188"/>
      <c r="IS275" s="1188"/>
      <c r="IT275" s="1188"/>
      <c r="IU275" s="1188"/>
      <c r="IV275" s="1188"/>
      <c r="IW275" s="1188"/>
      <c r="IX275" s="1188"/>
      <c r="IY275" s="1188"/>
      <c r="IZ275" s="1188"/>
      <c r="JA275" s="1188"/>
      <c r="JB275" s="1188"/>
      <c r="JC275" s="1188"/>
      <c r="JD275" s="1188"/>
      <c r="JE275" s="1188"/>
      <c r="JF275" s="1188"/>
      <c r="JG275" s="1188"/>
      <c r="JH275" s="1188"/>
      <c r="JI275" s="1188"/>
      <c r="JJ275" s="1188"/>
      <c r="JK275" s="1188"/>
      <c r="JL275" s="1188"/>
      <c r="JM275" s="1188"/>
      <c r="JN275" s="1188"/>
      <c r="JO275" s="1188"/>
      <c r="JP275" s="1188"/>
      <c r="JQ275" s="1188"/>
      <c r="JR275" s="1188"/>
      <c r="JS275" s="1188"/>
      <c r="JT275" s="1188"/>
      <c r="JU275" s="1188"/>
      <c r="JV275" s="1188"/>
      <c r="JW275" s="1188"/>
      <c r="JX275" s="1188"/>
      <c r="JY275" s="1188"/>
      <c r="JZ275" s="1188"/>
      <c r="KA275" s="1188"/>
      <c r="KB275" s="1188"/>
      <c r="KC275" s="1188"/>
      <c r="KD275" s="1188"/>
      <c r="KE275" s="1188"/>
      <c r="KF275" s="1188"/>
      <c r="KG275" s="1188"/>
      <c r="KH275" s="1188"/>
      <c r="KI275" s="1188"/>
      <c r="KJ275" s="1188"/>
      <c r="KK275" s="1188"/>
      <c r="KL275" s="1188"/>
      <c r="KM275" s="1188"/>
      <c r="KN275" s="1188"/>
      <c r="KO275" s="1188"/>
      <c r="KP275" s="1188"/>
      <c r="KQ275" s="1188"/>
      <c r="KR275" s="1188"/>
    </row>
    <row r="276" spans="1:304" s="1279" customFormat="1" ht="30" customHeight="1" x14ac:dyDescent="0.2">
      <c r="A276" s="1213"/>
      <c r="B276" s="1214"/>
      <c r="C276" s="1215"/>
      <c r="D276" s="1214"/>
      <c r="E276" s="1214"/>
      <c r="F276" s="1215"/>
      <c r="G276" s="1222"/>
      <c r="H276" s="1214"/>
      <c r="I276" s="1215"/>
      <c r="J276" s="4117"/>
      <c r="K276" s="4120"/>
      <c r="L276" s="4123"/>
      <c r="M276" s="4123"/>
      <c r="N276" s="4123"/>
      <c r="O276" s="4123"/>
      <c r="P276" s="4120"/>
      <c r="Q276" s="4140"/>
      <c r="R276" s="4143"/>
      <c r="S276" s="4120"/>
      <c r="T276" s="4120"/>
      <c r="U276" s="4225"/>
      <c r="V276" s="1524">
        <v>14450485</v>
      </c>
      <c r="W276" s="2571">
        <v>98</v>
      </c>
      <c r="X276" s="2507" t="s">
        <v>451</v>
      </c>
      <c r="Y276" s="4117"/>
      <c r="Z276" s="4123"/>
      <c r="AA276" s="4135"/>
      <c r="AB276" s="4135"/>
      <c r="AC276" s="4135"/>
      <c r="AD276" s="4135"/>
      <c r="AE276" s="4135"/>
      <c r="AF276" s="4135"/>
      <c r="AG276" s="4135"/>
      <c r="AH276" s="4135"/>
      <c r="AI276" s="4135"/>
      <c r="AJ276" s="4135"/>
      <c r="AK276" s="4135"/>
      <c r="AL276" s="4135"/>
      <c r="AM276" s="4135"/>
      <c r="AN276" s="4135"/>
      <c r="AO276" s="4149"/>
      <c r="AP276" s="4149"/>
      <c r="AQ276" s="4152"/>
      <c r="AR276" s="2593"/>
      <c r="AS276" s="1221"/>
      <c r="AT276" s="1221"/>
      <c r="AU276" s="1188"/>
      <c r="AV276" s="1188"/>
      <c r="AW276" s="1188"/>
      <c r="AX276" s="1188"/>
      <c r="AY276" s="1188"/>
      <c r="AZ276" s="1188"/>
      <c r="BA276" s="1188"/>
      <c r="BB276" s="1188"/>
      <c r="BC276" s="1188"/>
      <c r="BD276" s="1188"/>
      <c r="BE276" s="1188"/>
      <c r="BF276" s="1188"/>
      <c r="BG276" s="1188"/>
      <c r="BH276" s="1188"/>
      <c r="BI276" s="1188"/>
      <c r="BJ276" s="1188"/>
      <c r="BK276" s="1188"/>
      <c r="BL276" s="1188"/>
      <c r="BM276" s="1188"/>
      <c r="BN276" s="1188"/>
      <c r="BO276" s="1188"/>
      <c r="BP276" s="1188"/>
      <c r="BQ276" s="1188"/>
      <c r="BR276" s="1188"/>
      <c r="BS276" s="1188"/>
      <c r="BT276" s="1188"/>
      <c r="BU276" s="1188"/>
      <c r="BV276" s="1188"/>
      <c r="BW276" s="1188"/>
      <c r="BX276" s="1188"/>
      <c r="BY276" s="1188"/>
      <c r="BZ276" s="1188"/>
      <c r="CA276" s="1188"/>
      <c r="CB276" s="1188"/>
      <c r="CC276" s="1188"/>
      <c r="CD276" s="1188"/>
      <c r="CE276" s="1188"/>
      <c r="CF276" s="1188"/>
      <c r="CG276" s="1188"/>
      <c r="CH276" s="1188"/>
      <c r="CI276" s="1188"/>
      <c r="CJ276" s="1188"/>
      <c r="CK276" s="1188"/>
      <c r="CL276" s="1188"/>
      <c r="CM276" s="1188"/>
      <c r="CN276" s="1188"/>
      <c r="CO276" s="1188"/>
      <c r="CP276" s="1188"/>
      <c r="CQ276" s="1188"/>
      <c r="CR276" s="1188"/>
      <c r="CS276" s="1188"/>
      <c r="CT276" s="1188"/>
      <c r="CU276" s="1188"/>
      <c r="CV276" s="1188"/>
      <c r="CW276" s="1188"/>
      <c r="CX276" s="1188"/>
      <c r="CY276" s="1188"/>
      <c r="CZ276" s="1188"/>
      <c r="DA276" s="1188"/>
      <c r="DB276" s="1188"/>
      <c r="DC276" s="1188"/>
      <c r="DD276" s="1188"/>
      <c r="DE276" s="1188"/>
      <c r="DF276" s="1188"/>
      <c r="DG276" s="1188"/>
      <c r="DH276" s="1188"/>
      <c r="DI276" s="1188"/>
      <c r="DJ276" s="1188"/>
      <c r="DK276" s="1188"/>
      <c r="DL276" s="1188"/>
      <c r="DM276" s="1188"/>
      <c r="DN276" s="1188"/>
      <c r="DO276" s="1188"/>
      <c r="DP276" s="1188"/>
      <c r="DQ276" s="1188"/>
      <c r="DR276" s="1188"/>
      <c r="DS276" s="1188"/>
      <c r="DT276" s="1188"/>
      <c r="DU276" s="1188"/>
      <c r="DV276" s="1188"/>
      <c r="DW276" s="1188"/>
      <c r="DX276" s="1188"/>
      <c r="DY276" s="1188"/>
      <c r="DZ276" s="1188"/>
      <c r="EA276" s="1188"/>
      <c r="EB276" s="1188"/>
      <c r="EC276" s="1188"/>
      <c r="ED276" s="1188"/>
      <c r="EE276" s="1188"/>
      <c r="EF276" s="1188"/>
      <c r="EG276" s="1188"/>
      <c r="EH276" s="1188"/>
      <c r="EI276" s="1188"/>
      <c r="EJ276" s="1188"/>
      <c r="EK276" s="1188"/>
      <c r="EL276" s="1188"/>
      <c r="EM276" s="1188"/>
      <c r="EN276" s="1188"/>
      <c r="EO276" s="1188"/>
      <c r="EP276" s="1188"/>
      <c r="EQ276" s="1188"/>
      <c r="ER276" s="1188"/>
      <c r="ES276" s="1188"/>
      <c r="ET276" s="1188"/>
      <c r="EU276" s="1188"/>
      <c r="EV276" s="1188"/>
      <c r="EW276" s="1188"/>
      <c r="EX276" s="1188"/>
      <c r="EY276" s="1188"/>
      <c r="EZ276" s="1188"/>
      <c r="FA276" s="1188"/>
      <c r="FB276" s="1188"/>
      <c r="FC276" s="1188"/>
      <c r="FD276" s="1188"/>
      <c r="FE276" s="1188"/>
      <c r="FF276" s="1188"/>
      <c r="FG276" s="1188"/>
      <c r="FH276" s="1188"/>
      <c r="FI276" s="1188"/>
      <c r="FJ276" s="1188"/>
      <c r="FK276" s="1188"/>
      <c r="FL276" s="1188"/>
      <c r="FM276" s="1188"/>
      <c r="FN276" s="1188"/>
      <c r="FO276" s="1188"/>
      <c r="FP276" s="1188"/>
      <c r="FQ276" s="1188"/>
      <c r="FR276" s="1188"/>
      <c r="FS276" s="1188"/>
      <c r="FT276" s="1188"/>
      <c r="FU276" s="1188"/>
      <c r="FV276" s="1188"/>
      <c r="FW276" s="1188"/>
      <c r="FX276" s="1188"/>
      <c r="FY276" s="1188"/>
      <c r="FZ276" s="1188"/>
      <c r="GA276" s="1188"/>
      <c r="GB276" s="1188"/>
      <c r="GC276" s="1188"/>
      <c r="GD276" s="1188"/>
      <c r="GE276" s="1188"/>
      <c r="GF276" s="1188"/>
      <c r="GG276" s="1188"/>
      <c r="GH276" s="1188"/>
      <c r="GI276" s="1188"/>
      <c r="GJ276" s="1188"/>
      <c r="GK276" s="1188"/>
      <c r="GL276" s="1188"/>
      <c r="GM276" s="1188"/>
      <c r="GN276" s="1188"/>
      <c r="GO276" s="1188"/>
      <c r="GP276" s="1188"/>
      <c r="GQ276" s="1188"/>
      <c r="GR276" s="1188"/>
      <c r="GS276" s="1188"/>
      <c r="GT276" s="1188"/>
      <c r="GU276" s="1188"/>
      <c r="GV276" s="1188"/>
      <c r="GW276" s="1188"/>
      <c r="GX276" s="1188"/>
      <c r="GY276" s="1188"/>
      <c r="GZ276" s="1188"/>
      <c r="HA276" s="1188"/>
      <c r="HB276" s="1188"/>
      <c r="HC276" s="1188"/>
      <c r="HD276" s="1188"/>
      <c r="HE276" s="1188"/>
      <c r="HF276" s="1188"/>
      <c r="HG276" s="1188"/>
      <c r="HH276" s="1188"/>
      <c r="HI276" s="1188"/>
      <c r="HJ276" s="1188"/>
      <c r="HK276" s="1188"/>
      <c r="HL276" s="1188"/>
      <c r="HM276" s="1188"/>
      <c r="HN276" s="1188"/>
      <c r="HO276" s="1188"/>
      <c r="HP276" s="1188"/>
      <c r="HQ276" s="1188"/>
      <c r="HR276" s="1188"/>
      <c r="HS276" s="1188"/>
      <c r="HT276" s="1188"/>
      <c r="HU276" s="1188"/>
      <c r="HV276" s="1188"/>
      <c r="HW276" s="1188"/>
      <c r="HX276" s="1188"/>
      <c r="HY276" s="1188"/>
      <c r="HZ276" s="1188"/>
      <c r="IA276" s="1188"/>
      <c r="IB276" s="1188"/>
      <c r="IC276" s="1188"/>
      <c r="ID276" s="1188"/>
      <c r="IE276" s="1188"/>
      <c r="IF276" s="1188"/>
      <c r="IG276" s="1188"/>
      <c r="IH276" s="1188"/>
      <c r="II276" s="1188"/>
      <c r="IJ276" s="1188"/>
      <c r="IK276" s="1188"/>
      <c r="IL276" s="1188"/>
      <c r="IM276" s="1188"/>
      <c r="IN276" s="1188"/>
      <c r="IO276" s="1188"/>
      <c r="IP276" s="1188"/>
      <c r="IQ276" s="1188"/>
      <c r="IR276" s="1188"/>
      <c r="IS276" s="1188"/>
      <c r="IT276" s="1188"/>
      <c r="IU276" s="1188"/>
      <c r="IV276" s="1188"/>
      <c r="IW276" s="1188"/>
      <c r="IX276" s="1188"/>
      <c r="IY276" s="1188"/>
      <c r="IZ276" s="1188"/>
      <c r="JA276" s="1188"/>
      <c r="JB276" s="1188"/>
      <c r="JC276" s="1188"/>
      <c r="JD276" s="1188"/>
      <c r="JE276" s="1188"/>
      <c r="JF276" s="1188"/>
      <c r="JG276" s="1188"/>
      <c r="JH276" s="1188"/>
      <c r="JI276" s="1188"/>
      <c r="JJ276" s="1188"/>
      <c r="JK276" s="1188"/>
      <c r="JL276" s="1188"/>
      <c r="JM276" s="1188"/>
      <c r="JN276" s="1188"/>
      <c r="JO276" s="1188"/>
      <c r="JP276" s="1188"/>
      <c r="JQ276" s="1188"/>
      <c r="JR276" s="1188"/>
      <c r="JS276" s="1188"/>
      <c r="JT276" s="1188"/>
      <c r="JU276" s="1188"/>
      <c r="JV276" s="1188"/>
      <c r="JW276" s="1188"/>
      <c r="JX276" s="1188"/>
      <c r="JY276" s="1188"/>
      <c r="JZ276" s="1188"/>
      <c r="KA276" s="1188"/>
      <c r="KB276" s="1188"/>
      <c r="KC276" s="1188"/>
      <c r="KD276" s="1188"/>
      <c r="KE276" s="1188"/>
      <c r="KF276" s="1188"/>
      <c r="KG276" s="1188"/>
      <c r="KH276" s="1188"/>
      <c r="KI276" s="1188"/>
      <c r="KJ276" s="1188"/>
      <c r="KK276" s="1188"/>
      <c r="KL276" s="1188"/>
      <c r="KM276" s="1188"/>
      <c r="KN276" s="1188"/>
      <c r="KO276" s="1188"/>
      <c r="KP276" s="1188"/>
      <c r="KQ276" s="1188"/>
      <c r="KR276" s="1188"/>
    </row>
    <row r="277" spans="1:304" s="1279" customFormat="1" ht="39" customHeight="1" x14ac:dyDescent="0.2">
      <c r="A277" s="1213"/>
      <c r="B277" s="1214"/>
      <c r="C277" s="1215"/>
      <c r="D277" s="1214"/>
      <c r="E277" s="1214"/>
      <c r="F277" s="1215"/>
      <c r="G277" s="1222"/>
      <c r="H277" s="1214"/>
      <c r="I277" s="1215"/>
      <c r="J277" s="4117"/>
      <c r="K277" s="4120"/>
      <c r="L277" s="4123"/>
      <c r="M277" s="4123"/>
      <c r="N277" s="4123"/>
      <c r="O277" s="4123"/>
      <c r="P277" s="4120"/>
      <c r="Q277" s="4140"/>
      <c r="R277" s="4143"/>
      <c r="S277" s="4120"/>
      <c r="T277" s="4120"/>
      <c r="U277" s="4137" t="s">
        <v>524</v>
      </c>
      <c r="V277" s="1529">
        <v>25000000</v>
      </c>
      <c r="W277" s="2555">
        <v>61</v>
      </c>
      <c r="X277" s="2507" t="s">
        <v>380</v>
      </c>
      <c r="Y277" s="4117"/>
      <c r="Z277" s="4123"/>
      <c r="AA277" s="4135"/>
      <c r="AB277" s="4135"/>
      <c r="AC277" s="4135"/>
      <c r="AD277" s="4135"/>
      <c r="AE277" s="4135"/>
      <c r="AF277" s="4135"/>
      <c r="AG277" s="4135"/>
      <c r="AH277" s="4135"/>
      <c r="AI277" s="4135"/>
      <c r="AJ277" s="4135"/>
      <c r="AK277" s="4135"/>
      <c r="AL277" s="4135"/>
      <c r="AM277" s="4135"/>
      <c r="AN277" s="4135"/>
      <c r="AO277" s="4149"/>
      <c r="AP277" s="4149"/>
      <c r="AQ277" s="4152"/>
      <c r="AR277" s="2593"/>
      <c r="AS277" s="1221"/>
      <c r="AT277" s="1221"/>
      <c r="AU277" s="1188"/>
      <c r="AV277" s="1188"/>
      <c r="AW277" s="1188"/>
      <c r="AX277" s="1188"/>
      <c r="AY277" s="1188"/>
      <c r="AZ277" s="1188"/>
      <c r="BA277" s="1188"/>
      <c r="BB277" s="1188"/>
      <c r="BC277" s="1188"/>
      <c r="BD277" s="1188"/>
      <c r="BE277" s="1188"/>
      <c r="BF277" s="1188"/>
      <c r="BG277" s="1188"/>
      <c r="BH277" s="1188"/>
      <c r="BI277" s="1188"/>
      <c r="BJ277" s="1188"/>
      <c r="BK277" s="1188"/>
      <c r="BL277" s="1188"/>
      <c r="BM277" s="1188"/>
      <c r="BN277" s="1188"/>
      <c r="BO277" s="1188"/>
      <c r="BP277" s="1188"/>
      <c r="BQ277" s="1188"/>
      <c r="BR277" s="1188"/>
      <c r="BS277" s="1188"/>
      <c r="BT277" s="1188"/>
      <c r="BU277" s="1188"/>
      <c r="BV277" s="1188"/>
      <c r="BW277" s="1188"/>
      <c r="BX277" s="1188"/>
      <c r="BY277" s="1188"/>
      <c r="BZ277" s="1188"/>
      <c r="CA277" s="1188"/>
      <c r="CB277" s="1188"/>
      <c r="CC277" s="1188"/>
      <c r="CD277" s="1188"/>
      <c r="CE277" s="1188"/>
      <c r="CF277" s="1188"/>
      <c r="CG277" s="1188"/>
      <c r="CH277" s="1188"/>
      <c r="CI277" s="1188"/>
      <c r="CJ277" s="1188"/>
      <c r="CK277" s="1188"/>
      <c r="CL277" s="1188"/>
      <c r="CM277" s="1188"/>
      <c r="CN277" s="1188"/>
      <c r="CO277" s="1188"/>
      <c r="CP277" s="1188"/>
      <c r="CQ277" s="1188"/>
      <c r="CR277" s="1188"/>
      <c r="CS277" s="1188"/>
      <c r="CT277" s="1188"/>
      <c r="CU277" s="1188"/>
      <c r="CV277" s="1188"/>
      <c r="CW277" s="1188"/>
      <c r="CX277" s="1188"/>
      <c r="CY277" s="1188"/>
      <c r="CZ277" s="1188"/>
      <c r="DA277" s="1188"/>
      <c r="DB277" s="1188"/>
      <c r="DC277" s="1188"/>
      <c r="DD277" s="1188"/>
      <c r="DE277" s="1188"/>
      <c r="DF277" s="1188"/>
      <c r="DG277" s="1188"/>
      <c r="DH277" s="1188"/>
      <c r="DI277" s="1188"/>
      <c r="DJ277" s="1188"/>
      <c r="DK277" s="1188"/>
      <c r="DL277" s="1188"/>
      <c r="DM277" s="1188"/>
      <c r="DN277" s="1188"/>
      <c r="DO277" s="1188"/>
      <c r="DP277" s="1188"/>
      <c r="DQ277" s="1188"/>
      <c r="DR277" s="1188"/>
      <c r="DS277" s="1188"/>
      <c r="DT277" s="1188"/>
      <c r="DU277" s="1188"/>
      <c r="DV277" s="1188"/>
      <c r="DW277" s="1188"/>
      <c r="DX277" s="1188"/>
      <c r="DY277" s="1188"/>
      <c r="DZ277" s="1188"/>
      <c r="EA277" s="1188"/>
      <c r="EB277" s="1188"/>
      <c r="EC277" s="1188"/>
      <c r="ED277" s="1188"/>
      <c r="EE277" s="1188"/>
      <c r="EF277" s="1188"/>
      <c r="EG277" s="1188"/>
      <c r="EH277" s="1188"/>
      <c r="EI277" s="1188"/>
      <c r="EJ277" s="1188"/>
      <c r="EK277" s="1188"/>
      <c r="EL277" s="1188"/>
      <c r="EM277" s="1188"/>
      <c r="EN277" s="1188"/>
      <c r="EO277" s="1188"/>
      <c r="EP277" s="1188"/>
      <c r="EQ277" s="1188"/>
      <c r="ER277" s="1188"/>
      <c r="ES277" s="1188"/>
      <c r="ET277" s="1188"/>
      <c r="EU277" s="1188"/>
      <c r="EV277" s="1188"/>
      <c r="EW277" s="1188"/>
      <c r="EX277" s="1188"/>
      <c r="EY277" s="1188"/>
      <c r="EZ277" s="1188"/>
      <c r="FA277" s="1188"/>
      <c r="FB277" s="1188"/>
      <c r="FC277" s="1188"/>
      <c r="FD277" s="1188"/>
      <c r="FE277" s="1188"/>
      <c r="FF277" s="1188"/>
      <c r="FG277" s="1188"/>
      <c r="FH277" s="1188"/>
      <c r="FI277" s="1188"/>
      <c r="FJ277" s="1188"/>
      <c r="FK277" s="1188"/>
      <c r="FL277" s="1188"/>
      <c r="FM277" s="1188"/>
      <c r="FN277" s="1188"/>
      <c r="FO277" s="1188"/>
      <c r="FP277" s="1188"/>
      <c r="FQ277" s="1188"/>
      <c r="FR277" s="1188"/>
      <c r="FS277" s="1188"/>
      <c r="FT277" s="1188"/>
      <c r="FU277" s="1188"/>
      <c r="FV277" s="1188"/>
      <c r="FW277" s="1188"/>
      <c r="FX277" s="1188"/>
      <c r="FY277" s="1188"/>
      <c r="FZ277" s="1188"/>
      <c r="GA277" s="1188"/>
      <c r="GB277" s="1188"/>
      <c r="GC277" s="1188"/>
      <c r="GD277" s="1188"/>
      <c r="GE277" s="1188"/>
      <c r="GF277" s="1188"/>
      <c r="GG277" s="1188"/>
      <c r="GH277" s="1188"/>
      <c r="GI277" s="1188"/>
      <c r="GJ277" s="1188"/>
      <c r="GK277" s="1188"/>
      <c r="GL277" s="1188"/>
      <c r="GM277" s="1188"/>
      <c r="GN277" s="1188"/>
      <c r="GO277" s="1188"/>
      <c r="GP277" s="1188"/>
      <c r="GQ277" s="1188"/>
      <c r="GR277" s="1188"/>
      <c r="GS277" s="1188"/>
      <c r="GT277" s="1188"/>
      <c r="GU277" s="1188"/>
      <c r="GV277" s="1188"/>
      <c r="GW277" s="1188"/>
      <c r="GX277" s="1188"/>
      <c r="GY277" s="1188"/>
      <c r="GZ277" s="1188"/>
      <c r="HA277" s="1188"/>
      <c r="HB277" s="1188"/>
      <c r="HC277" s="1188"/>
      <c r="HD277" s="1188"/>
      <c r="HE277" s="1188"/>
      <c r="HF277" s="1188"/>
      <c r="HG277" s="1188"/>
      <c r="HH277" s="1188"/>
      <c r="HI277" s="1188"/>
      <c r="HJ277" s="1188"/>
      <c r="HK277" s="1188"/>
      <c r="HL277" s="1188"/>
      <c r="HM277" s="1188"/>
      <c r="HN277" s="1188"/>
      <c r="HO277" s="1188"/>
      <c r="HP277" s="1188"/>
      <c r="HQ277" s="1188"/>
      <c r="HR277" s="1188"/>
      <c r="HS277" s="1188"/>
      <c r="HT277" s="1188"/>
      <c r="HU277" s="1188"/>
      <c r="HV277" s="1188"/>
      <c r="HW277" s="1188"/>
      <c r="HX277" s="1188"/>
      <c r="HY277" s="1188"/>
      <c r="HZ277" s="1188"/>
      <c r="IA277" s="1188"/>
      <c r="IB277" s="1188"/>
      <c r="IC277" s="1188"/>
      <c r="ID277" s="1188"/>
      <c r="IE277" s="1188"/>
      <c r="IF277" s="1188"/>
      <c r="IG277" s="1188"/>
      <c r="IH277" s="1188"/>
      <c r="II277" s="1188"/>
      <c r="IJ277" s="1188"/>
      <c r="IK277" s="1188"/>
      <c r="IL277" s="1188"/>
      <c r="IM277" s="1188"/>
      <c r="IN277" s="1188"/>
      <c r="IO277" s="1188"/>
      <c r="IP277" s="1188"/>
      <c r="IQ277" s="1188"/>
      <c r="IR277" s="1188"/>
      <c r="IS277" s="1188"/>
      <c r="IT277" s="1188"/>
      <c r="IU277" s="1188"/>
      <c r="IV277" s="1188"/>
      <c r="IW277" s="1188"/>
      <c r="IX277" s="1188"/>
      <c r="IY277" s="1188"/>
      <c r="IZ277" s="1188"/>
      <c r="JA277" s="1188"/>
      <c r="JB277" s="1188"/>
      <c r="JC277" s="1188"/>
      <c r="JD277" s="1188"/>
      <c r="JE277" s="1188"/>
      <c r="JF277" s="1188"/>
      <c r="JG277" s="1188"/>
      <c r="JH277" s="1188"/>
      <c r="JI277" s="1188"/>
      <c r="JJ277" s="1188"/>
      <c r="JK277" s="1188"/>
      <c r="JL277" s="1188"/>
      <c r="JM277" s="1188"/>
      <c r="JN277" s="1188"/>
      <c r="JO277" s="1188"/>
      <c r="JP277" s="1188"/>
      <c r="JQ277" s="1188"/>
      <c r="JR277" s="1188"/>
      <c r="JS277" s="1188"/>
      <c r="JT277" s="1188"/>
      <c r="JU277" s="1188"/>
      <c r="JV277" s="1188"/>
      <c r="JW277" s="1188"/>
      <c r="JX277" s="1188"/>
      <c r="JY277" s="1188"/>
      <c r="JZ277" s="1188"/>
      <c r="KA277" s="1188"/>
      <c r="KB277" s="1188"/>
      <c r="KC277" s="1188"/>
      <c r="KD277" s="1188"/>
      <c r="KE277" s="1188"/>
      <c r="KF277" s="1188"/>
      <c r="KG277" s="1188"/>
      <c r="KH277" s="1188"/>
      <c r="KI277" s="1188"/>
      <c r="KJ277" s="1188"/>
      <c r="KK277" s="1188"/>
      <c r="KL277" s="1188"/>
      <c r="KM277" s="1188"/>
      <c r="KN277" s="1188"/>
      <c r="KO277" s="1188"/>
      <c r="KP277" s="1188"/>
      <c r="KQ277" s="1188"/>
      <c r="KR277" s="1188"/>
    </row>
    <row r="278" spans="1:304" s="1279" customFormat="1" ht="52.5" customHeight="1" x14ac:dyDescent="0.2">
      <c r="A278" s="1213"/>
      <c r="B278" s="1214"/>
      <c r="C278" s="1215"/>
      <c r="D278" s="1214"/>
      <c r="E278" s="1214"/>
      <c r="F278" s="1215"/>
      <c r="G278" s="1222"/>
      <c r="H278" s="1214"/>
      <c r="I278" s="1215"/>
      <c r="J278" s="4117"/>
      <c r="K278" s="4120"/>
      <c r="L278" s="4123"/>
      <c r="M278" s="4123"/>
      <c r="N278" s="4123"/>
      <c r="O278" s="4123"/>
      <c r="P278" s="4120"/>
      <c r="Q278" s="4140"/>
      <c r="R278" s="4143"/>
      <c r="S278" s="4120"/>
      <c r="T278" s="4120"/>
      <c r="U278" s="4138"/>
      <c r="V278" s="1523">
        <v>14450485</v>
      </c>
      <c r="W278" s="2555">
        <v>98</v>
      </c>
      <c r="X278" s="2507" t="s">
        <v>451</v>
      </c>
      <c r="Y278" s="4117"/>
      <c r="Z278" s="4123"/>
      <c r="AA278" s="4135"/>
      <c r="AB278" s="4135"/>
      <c r="AC278" s="4135"/>
      <c r="AD278" s="4135"/>
      <c r="AE278" s="4135"/>
      <c r="AF278" s="4135"/>
      <c r="AG278" s="4135"/>
      <c r="AH278" s="4135"/>
      <c r="AI278" s="4135"/>
      <c r="AJ278" s="4135"/>
      <c r="AK278" s="4135"/>
      <c r="AL278" s="4135"/>
      <c r="AM278" s="4135"/>
      <c r="AN278" s="4135"/>
      <c r="AO278" s="4149"/>
      <c r="AP278" s="4149"/>
      <c r="AQ278" s="4152"/>
      <c r="AR278" s="2593"/>
      <c r="AS278" s="1221"/>
      <c r="AT278" s="1221"/>
      <c r="AU278" s="1188"/>
      <c r="AV278" s="1188"/>
      <c r="AW278" s="1188"/>
      <c r="AX278" s="1188"/>
      <c r="AY278" s="1188"/>
      <c r="AZ278" s="1188"/>
      <c r="BA278" s="1188"/>
      <c r="BB278" s="1188"/>
      <c r="BC278" s="1188"/>
      <c r="BD278" s="1188"/>
      <c r="BE278" s="1188"/>
      <c r="BF278" s="1188"/>
      <c r="BG278" s="1188"/>
      <c r="BH278" s="1188"/>
      <c r="BI278" s="1188"/>
      <c r="BJ278" s="1188"/>
      <c r="BK278" s="1188"/>
      <c r="BL278" s="1188"/>
      <c r="BM278" s="1188"/>
      <c r="BN278" s="1188"/>
      <c r="BO278" s="1188"/>
      <c r="BP278" s="1188"/>
      <c r="BQ278" s="1188"/>
      <c r="BR278" s="1188"/>
      <c r="BS278" s="1188"/>
      <c r="BT278" s="1188"/>
      <c r="BU278" s="1188"/>
      <c r="BV278" s="1188"/>
      <c r="BW278" s="1188"/>
      <c r="BX278" s="1188"/>
      <c r="BY278" s="1188"/>
      <c r="BZ278" s="1188"/>
      <c r="CA278" s="1188"/>
      <c r="CB278" s="1188"/>
      <c r="CC278" s="1188"/>
      <c r="CD278" s="1188"/>
      <c r="CE278" s="1188"/>
      <c r="CF278" s="1188"/>
      <c r="CG278" s="1188"/>
      <c r="CH278" s="1188"/>
      <c r="CI278" s="1188"/>
      <c r="CJ278" s="1188"/>
      <c r="CK278" s="1188"/>
      <c r="CL278" s="1188"/>
      <c r="CM278" s="1188"/>
      <c r="CN278" s="1188"/>
      <c r="CO278" s="1188"/>
      <c r="CP278" s="1188"/>
      <c r="CQ278" s="1188"/>
      <c r="CR278" s="1188"/>
      <c r="CS278" s="1188"/>
      <c r="CT278" s="1188"/>
      <c r="CU278" s="1188"/>
      <c r="CV278" s="1188"/>
      <c r="CW278" s="1188"/>
      <c r="CX278" s="1188"/>
      <c r="CY278" s="1188"/>
      <c r="CZ278" s="1188"/>
      <c r="DA278" s="1188"/>
      <c r="DB278" s="1188"/>
      <c r="DC278" s="1188"/>
      <c r="DD278" s="1188"/>
      <c r="DE278" s="1188"/>
      <c r="DF278" s="1188"/>
      <c r="DG278" s="1188"/>
      <c r="DH278" s="1188"/>
      <c r="DI278" s="1188"/>
      <c r="DJ278" s="1188"/>
      <c r="DK278" s="1188"/>
      <c r="DL278" s="1188"/>
      <c r="DM278" s="1188"/>
      <c r="DN278" s="1188"/>
      <c r="DO278" s="1188"/>
      <c r="DP278" s="1188"/>
      <c r="DQ278" s="1188"/>
      <c r="DR278" s="1188"/>
      <c r="DS278" s="1188"/>
      <c r="DT278" s="1188"/>
      <c r="DU278" s="1188"/>
      <c r="DV278" s="1188"/>
      <c r="DW278" s="1188"/>
      <c r="DX278" s="1188"/>
      <c r="DY278" s="1188"/>
      <c r="DZ278" s="1188"/>
      <c r="EA278" s="1188"/>
      <c r="EB278" s="1188"/>
      <c r="EC278" s="1188"/>
      <c r="ED278" s="1188"/>
      <c r="EE278" s="1188"/>
      <c r="EF278" s="1188"/>
      <c r="EG278" s="1188"/>
      <c r="EH278" s="1188"/>
      <c r="EI278" s="1188"/>
      <c r="EJ278" s="1188"/>
      <c r="EK278" s="1188"/>
      <c r="EL278" s="1188"/>
      <c r="EM278" s="1188"/>
      <c r="EN278" s="1188"/>
      <c r="EO278" s="1188"/>
      <c r="EP278" s="1188"/>
      <c r="EQ278" s="1188"/>
      <c r="ER278" s="1188"/>
      <c r="ES278" s="1188"/>
      <c r="ET278" s="1188"/>
      <c r="EU278" s="1188"/>
      <c r="EV278" s="1188"/>
      <c r="EW278" s="1188"/>
      <c r="EX278" s="1188"/>
      <c r="EY278" s="1188"/>
      <c r="EZ278" s="1188"/>
      <c r="FA278" s="1188"/>
      <c r="FB278" s="1188"/>
      <c r="FC278" s="1188"/>
      <c r="FD278" s="1188"/>
      <c r="FE278" s="1188"/>
      <c r="FF278" s="1188"/>
      <c r="FG278" s="1188"/>
      <c r="FH278" s="1188"/>
      <c r="FI278" s="1188"/>
      <c r="FJ278" s="1188"/>
      <c r="FK278" s="1188"/>
      <c r="FL278" s="1188"/>
      <c r="FM278" s="1188"/>
      <c r="FN278" s="1188"/>
      <c r="FO278" s="1188"/>
      <c r="FP278" s="1188"/>
      <c r="FQ278" s="1188"/>
      <c r="FR278" s="1188"/>
      <c r="FS278" s="1188"/>
      <c r="FT278" s="1188"/>
      <c r="FU278" s="1188"/>
      <c r="FV278" s="1188"/>
      <c r="FW278" s="1188"/>
      <c r="FX278" s="1188"/>
      <c r="FY278" s="1188"/>
      <c r="FZ278" s="1188"/>
      <c r="GA278" s="1188"/>
      <c r="GB278" s="1188"/>
      <c r="GC278" s="1188"/>
      <c r="GD278" s="1188"/>
      <c r="GE278" s="1188"/>
      <c r="GF278" s="1188"/>
      <c r="GG278" s="1188"/>
      <c r="GH278" s="1188"/>
      <c r="GI278" s="1188"/>
      <c r="GJ278" s="1188"/>
      <c r="GK278" s="1188"/>
      <c r="GL278" s="1188"/>
      <c r="GM278" s="1188"/>
      <c r="GN278" s="1188"/>
      <c r="GO278" s="1188"/>
      <c r="GP278" s="1188"/>
      <c r="GQ278" s="1188"/>
      <c r="GR278" s="1188"/>
      <c r="GS278" s="1188"/>
      <c r="GT278" s="1188"/>
      <c r="GU278" s="1188"/>
      <c r="GV278" s="1188"/>
      <c r="GW278" s="1188"/>
      <c r="GX278" s="1188"/>
      <c r="GY278" s="1188"/>
      <c r="GZ278" s="1188"/>
      <c r="HA278" s="1188"/>
      <c r="HB278" s="1188"/>
      <c r="HC278" s="1188"/>
      <c r="HD278" s="1188"/>
      <c r="HE278" s="1188"/>
      <c r="HF278" s="1188"/>
      <c r="HG278" s="1188"/>
      <c r="HH278" s="1188"/>
      <c r="HI278" s="1188"/>
      <c r="HJ278" s="1188"/>
      <c r="HK278" s="1188"/>
      <c r="HL278" s="1188"/>
      <c r="HM278" s="1188"/>
      <c r="HN278" s="1188"/>
      <c r="HO278" s="1188"/>
      <c r="HP278" s="1188"/>
      <c r="HQ278" s="1188"/>
      <c r="HR278" s="1188"/>
      <c r="HS278" s="1188"/>
      <c r="HT278" s="1188"/>
      <c r="HU278" s="1188"/>
      <c r="HV278" s="1188"/>
      <c r="HW278" s="1188"/>
      <c r="HX278" s="1188"/>
      <c r="HY278" s="1188"/>
      <c r="HZ278" s="1188"/>
      <c r="IA278" s="1188"/>
      <c r="IB278" s="1188"/>
      <c r="IC278" s="1188"/>
      <c r="ID278" s="1188"/>
      <c r="IE278" s="1188"/>
      <c r="IF278" s="1188"/>
      <c r="IG278" s="1188"/>
      <c r="IH278" s="1188"/>
      <c r="II278" s="1188"/>
      <c r="IJ278" s="1188"/>
      <c r="IK278" s="1188"/>
      <c r="IL278" s="1188"/>
      <c r="IM278" s="1188"/>
      <c r="IN278" s="1188"/>
      <c r="IO278" s="1188"/>
      <c r="IP278" s="1188"/>
      <c r="IQ278" s="1188"/>
      <c r="IR278" s="1188"/>
      <c r="IS278" s="1188"/>
      <c r="IT278" s="1188"/>
      <c r="IU278" s="1188"/>
      <c r="IV278" s="1188"/>
      <c r="IW278" s="1188"/>
      <c r="IX278" s="1188"/>
      <c r="IY278" s="1188"/>
      <c r="IZ278" s="1188"/>
      <c r="JA278" s="1188"/>
      <c r="JB278" s="1188"/>
      <c r="JC278" s="1188"/>
      <c r="JD278" s="1188"/>
      <c r="JE278" s="1188"/>
      <c r="JF278" s="1188"/>
      <c r="JG278" s="1188"/>
      <c r="JH278" s="1188"/>
      <c r="JI278" s="1188"/>
      <c r="JJ278" s="1188"/>
      <c r="JK278" s="1188"/>
      <c r="JL278" s="1188"/>
      <c r="JM278" s="1188"/>
      <c r="JN278" s="1188"/>
      <c r="JO278" s="1188"/>
      <c r="JP278" s="1188"/>
      <c r="JQ278" s="1188"/>
      <c r="JR278" s="1188"/>
      <c r="JS278" s="1188"/>
      <c r="JT278" s="1188"/>
      <c r="JU278" s="1188"/>
      <c r="JV278" s="1188"/>
      <c r="JW278" s="1188"/>
      <c r="JX278" s="1188"/>
      <c r="JY278" s="1188"/>
      <c r="JZ278" s="1188"/>
      <c r="KA278" s="1188"/>
      <c r="KB278" s="1188"/>
      <c r="KC278" s="1188"/>
      <c r="KD278" s="1188"/>
      <c r="KE278" s="1188"/>
      <c r="KF278" s="1188"/>
      <c r="KG278" s="1188"/>
      <c r="KH278" s="1188"/>
      <c r="KI278" s="1188"/>
      <c r="KJ278" s="1188"/>
      <c r="KK278" s="1188"/>
      <c r="KL278" s="1188"/>
      <c r="KM278" s="1188"/>
      <c r="KN278" s="1188"/>
      <c r="KO278" s="1188"/>
      <c r="KP278" s="1188"/>
      <c r="KQ278" s="1188"/>
      <c r="KR278" s="1188"/>
    </row>
    <row r="279" spans="1:304" s="1279" customFormat="1" ht="40.5" customHeight="1" x14ac:dyDescent="0.2">
      <c r="A279" s="1213"/>
      <c r="B279" s="1214"/>
      <c r="C279" s="1215"/>
      <c r="D279" s="1214"/>
      <c r="E279" s="1214"/>
      <c r="F279" s="1215"/>
      <c r="G279" s="1222"/>
      <c r="H279" s="1214"/>
      <c r="I279" s="1215"/>
      <c r="J279" s="4118"/>
      <c r="K279" s="4121"/>
      <c r="L279" s="4124"/>
      <c r="M279" s="4124"/>
      <c r="N279" s="4123"/>
      <c r="O279" s="4123"/>
      <c r="P279" s="4120"/>
      <c r="Q279" s="4141"/>
      <c r="R279" s="4143"/>
      <c r="S279" s="4120"/>
      <c r="T279" s="4121"/>
      <c r="U279" s="1223" t="s">
        <v>525</v>
      </c>
      <c r="V279" s="1523">
        <v>11000000</v>
      </c>
      <c r="W279" s="2555">
        <v>61</v>
      </c>
      <c r="X279" s="2507" t="s">
        <v>380</v>
      </c>
      <c r="Y279" s="4117"/>
      <c r="Z279" s="4123"/>
      <c r="AA279" s="4135"/>
      <c r="AB279" s="4135"/>
      <c r="AC279" s="4135"/>
      <c r="AD279" s="4135"/>
      <c r="AE279" s="4135"/>
      <c r="AF279" s="4135"/>
      <c r="AG279" s="4135"/>
      <c r="AH279" s="4135"/>
      <c r="AI279" s="4135"/>
      <c r="AJ279" s="4135"/>
      <c r="AK279" s="4135"/>
      <c r="AL279" s="4135"/>
      <c r="AM279" s="4135"/>
      <c r="AN279" s="4135"/>
      <c r="AO279" s="4149"/>
      <c r="AP279" s="4149"/>
      <c r="AQ279" s="4152"/>
      <c r="AR279" s="2593"/>
      <c r="AS279" s="1221"/>
      <c r="AT279" s="1221"/>
      <c r="AU279" s="1188"/>
      <c r="AV279" s="1188"/>
      <c r="AW279" s="1188"/>
      <c r="AX279" s="1188"/>
      <c r="AY279" s="1188"/>
      <c r="AZ279" s="1188"/>
      <c r="BA279" s="1188"/>
      <c r="BB279" s="1188"/>
      <c r="BC279" s="1188"/>
      <c r="BD279" s="1188"/>
      <c r="BE279" s="1188"/>
      <c r="BF279" s="1188"/>
      <c r="BG279" s="1188"/>
      <c r="BH279" s="1188"/>
      <c r="BI279" s="1188"/>
      <c r="BJ279" s="1188"/>
      <c r="BK279" s="1188"/>
      <c r="BL279" s="1188"/>
      <c r="BM279" s="1188"/>
      <c r="BN279" s="1188"/>
      <c r="BO279" s="1188"/>
      <c r="BP279" s="1188"/>
      <c r="BQ279" s="1188"/>
      <c r="BR279" s="1188"/>
      <c r="BS279" s="1188"/>
      <c r="BT279" s="1188"/>
      <c r="BU279" s="1188"/>
      <c r="BV279" s="1188"/>
      <c r="BW279" s="1188"/>
      <c r="BX279" s="1188"/>
      <c r="BY279" s="1188"/>
      <c r="BZ279" s="1188"/>
      <c r="CA279" s="1188"/>
      <c r="CB279" s="1188"/>
      <c r="CC279" s="1188"/>
      <c r="CD279" s="1188"/>
      <c r="CE279" s="1188"/>
      <c r="CF279" s="1188"/>
      <c r="CG279" s="1188"/>
      <c r="CH279" s="1188"/>
      <c r="CI279" s="1188"/>
      <c r="CJ279" s="1188"/>
      <c r="CK279" s="1188"/>
      <c r="CL279" s="1188"/>
      <c r="CM279" s="1188"/>
      <c r="CN279" s="1188"/>
      <c r="CO279" s="1188"/>
      <c r="CP279" s="1188"/>
      <c r="CQ279" s="1188"/>
      <c r="CR279" s="1188"/>
      <c r="CS279" s="1188"/>
      <c r="CT279" s="1188"/>
      <c r="CU279" s="1188"/>
      <c r="CV279" s="1188"/>
      <c r="CW279" s="1188"/>
      <c r="CX279" s="1188"/>
      <c r="CY279" s="1188"/>
      <c r="CZ279" s="1188"/>
      <c r="DA279" s="1188"/>
      <c r="DB279" s="1188"/>
      <c r="DC279" s="1188"/>
      <c r="DD279" s="1188"/>
      <c r="DE279" s="1188"/>
      <c r="DF279" s="1188"/>
      <c r="DG279" s="1188"/>
      <c r="DH279" s="1188"/>
      <c r="DI279" s="1188"/>
      <c r="DJ279" s="1188"/>
      <c r="DK279" s="1188"/>
      <c r="DL279" s="1188"/>
      <c r="DM279" s="1188"/>
      <c r="DN279" s="1188"/>
      <c r="DO279" s="1188"/>
      <c r="DP279" s="1188"/>
      <c r="DQ279" s="1188"/>
      <c r="DR279" s="1188"/>
      <c r="DS279" s="1188"/>
      <c r="DT279" s="1188"/>
      <c r="DU279" s="1188"/>
      <c r="DV279" s="1188"/>
      <c r="DW279" s="1188"/>
      <c r="DX279" s="1188"/>
      <c r="DY279" s="1188"/>
      <c r="DZ279" s="1188"/>
      <c r="EA279" s="1188"/>
      <c r="EB279" s="1188"/>
      <c r="EC279" s="1188"/>
      <c r="ED279" s="1188"/>
      <c r="EE279" s="1188"/>
      <c r="EF279" s="1188"/>
      <c r="EG279" s="1188"/>
      <c r="EH279" s="1188"/>
      <c r="EI279" s="1188"/>
      <c r="EJ279" s="1188"/>
      <c r="EK279" s="1188"/>
      <c r="EL279" s="1188"/>
      <c r="EM279" s="1188"/>
      <c r="EN279" s="1188"/>
      <c r="EO279" s="1188"/>
      <c r="EP279" s="1188"/>
      <c r="EQ279" s="1188"/>
      <c r="ER279" s="1188"/>
      <c r="ES279" s="1188"/>
      <c r="ET279" s="1188"/>
      <c r="EU279" s="1188"/>
      <c r="EV279" s="1188"/>
      <c r="EW279" s="1188"/>
      <c r="EX279" s="1188"/>
      <c r="EY279" s="1188"/>
      <c r="EZ279" s="1188"/>
      <c r="FA279" s="1188"/>
      <c r="FB279" s="1188"/>
      <c r="FC279" s="1188"/>
      <c r="FD279" s="1188"/>
      <c r="FE279" s="1188"/>
      <c r="FF279" s="1188"/>
      <c r="FG279" s="1188"/>
      <c r="FH279" s="1188"/>
      <c r="FI279" s="1188"/>
      <c r="FJ279" s="1188"/>
      <c r="FK279" s="1188"/>
      <c r="FL279" s="1188"/>
      <c r="FM279" s="1188"/>
      <c r="FN279" s="1188"/>
      <c r="FO279" s="1188"/>
      <c r="FP279" s="1188"/>
      <c r="FQ279" s="1188"/>
      <c r="FR279" s="1188"/>
      <c r="FS279" s="1188"/>
      <c r="FT279" s="1188"/>
      <c r="FU279" s="1188"/>
      <c r="FV279" s="1188"/>
      <c r="FW279" s="1188"/>
      <c r="FX279" s="1188"/>
      <c r="FY279" s="1188"/>
      <c r="FZ279" s="1188"/>
      <c r="GA279" s="1188"/>
      <c r="GB279" s="1188"/>
      <c r="GC279" s="1188"/>
      <c r="GD279" s="1188"/>
      <c r="GE279" s="1188"/>
      <c r="GF279" s="1188"/>
      <c r="GG279" s="1188"/>
      <c r="GH279" s="1188"/>
      <c r="GI279" s="1188"/>
      <c r="GJ279" s="1188"/>
      <c r="GK279" s="1188"/>
      <c r="GL279" s="1188"/>
      <c r="GM279" s="1188"/>
      <c r="GN279" s="1188"/>
      <c r="GO279" s="1188"/>
      <c r="GP279" s="1188"/>
      <c r="GQ279" s="1188"/>
      <c r="GR279" s="1188"/>
      <c r="GS279" s="1188"/>
      <c r="GT279" s="1188"/>
      <c r="GU279" s="1188"/>
      <c r="GV279" s="1188"/>
      <c r="GW279" s="1188"/>
      <c r="GX279" s="1188"/>
      <c r="GY279" s="1188"/>
      <c r="GZ279" s="1188"/>
      <c r="HA279" s="1188"/>
      <c r="HB279" s="1188"/>
      <c r="HC279" s="1188"/>
      <c r="HD279" s="1188"/>
      <c r="HE279" s="1188"/>
      <c r="HF279" s="1188"/>
      <c r="HG279" s="1188"/>
      <c r="HH279" s="1188"/>
      <c r="HI279" s="1188"/>
      <c r="HJ279" s="1188"/>
      <c r="HK279" s="1188"/>
      <c r="HL279" s="1188"/>
      <c r="HM279" s="1188"/>
      <c r="HN279" s="1188"/>
      <c r="HO279" s="1188"/>
      <c r="HP279" s="1188"/>
      <c r="HQ279" s="1188"/>
      <c r="HR279" s="1188"/>
      <c r="HS279" s="1188"/>
      <c r="HT279" s="1188"/>
      <c r="HU279" s="1188"/>
      <c r="HV279" s="1188"/>
      <c r="HW279" s="1188"/>
      <c r="HX279" s="1188"/>
      <c r="HY279" s="1188"/>
      <c r="HZ279" s="1188"/>
      <c r="IA279" s="1188"/>
      <c r="IB279" s="1188"/>
      <c r="IC279" s="1188"/>
      <c r="ID279" s="1188"/>
      <c r="IE279" s="1188"/>
      <c r="IF279" s="1188"/>
      <c r="IG279" s="1188"/>
      <c r="IH279" s="1188"/>
      <c r="II279" s="1188"/>
      <c r="IJ279" s="1188"/>
      <c r="IK279" s="1188"/>
      <c r="IL279" s="1188"/>
      <c r="IM279" s="1188"/>
      <c r="IN279" s="1188"/>
      <c r="IO279" s="1188"/>
      <c r="IP279" s="1188"/>
      <c r="IQ279" s="1188"/>
      <c r="IR279" s="1188"/>
      <c r="IS279" s="1188"/>
      <c r="IT279" s="1188"/>
      <c r="IU279" s="1188"/>
      <c r="IV279" s="1188"/>
      <c r="IW279" s="1188"/>
      <c r="IX279" s="1188"/>
      <c r="IY279" s="1188"/>
      <c r="IZ279" s="1188"/>
      <c r="JA279" s="1188"/>
      <c r="JB279" s="1188"/>
      <c r="JC279" s="1188"/>
      <c r="JD279" s="1188"/>
      <c r="JE279" s="1188"/>
      <c r="JF279" s="1188"/>
      <c r="JG279" s="1188"/>
      <c r="JH279" s="1188"/>
      <c r="JI279" s="1188"/>
      <c r="JJ279" s="1188"/>
      <c r="JK279" s="1188"/>
      <c r="JL279" s="1188"/>
      <c r="JM279" s="1188"/>
      <c r="JN279" s="1188"/>
      <c r="JO279" s="1188"/>
      <c r="JP279" s="1188"/>
      <c r="JQ279" s="1188"/>
      <c r="JR279" s="1188"/>
      <c r="JS279" s="1188"/>
      <c r="JT279" s="1188"/>
      <c r="JU279" s="1188"/>
      <c r="JV279" s="1188"/>
      <c r="JW279" s="1188"/>
      <c r="JX279" s="1188"/>
      <c r="JY279" s="1188"/>
      <c r="JZ279" s="1188"/>
      <c r="KA279" s="1188"/>
      <c r="KB279" s="1188"/>
      <c r="KC279" s="1188"/>
      <c r="KD279" s="1188"/>
      <c r="KE279" s="1188"/>
      <c r="KF279" s="1188"/>
      <c r="KG279" s="1188"/>
      <c r="KH279" s="1188"/>
      <c r="KI279" s="1188"/>
      <c r="KJ279" s="1188"/>
      <c r="KK279" s="1188"/>
      <c r="KL279" s="1188"/>
      <c r="KM279" s="1188"/>
      <c r="KN279" s="1188"/>
      <c r="KO279" s="1188"/>
      <c r="KP279" s="1188"/>
      <c r="KQ279" s="1188"/>
      <c r="KR279" s="1188"/>
    </row>
    <row r="280" spans="1:304" s="1279" customFormat="1" ht="57" x14ac:dyDescent="0.2">
      <c r="A280" s="1213"/>
      <c r="B280" s="1214"/>
      <c r="C280" s="1215"/>
      <c r="D280" s="1214"/>
      <c r="E280" s="1214"/>
      <c r="F280" s="1215"/>
      <c r="G280" s="1222"/>
      <c r="H280" s="1214"/>
      <c r="I280" s="1215"/>
      <c r="J280" s="4129">
        <v>162</v>
      </c>
      <c r="K280" s="4119" t="s">
        <v>526</v>
      </c>
      <c r="L280" s="4122" t="s">
        <v>169</v>
      </c>
      <c r="M280" s="4122">
        <v>83</v>
      </c>
      <c r="N280" s="4123"/>
      <c r="O280" s="4123"/>
      <c r="P280" s="4120"/>
      <c r="Q280" s="4139">
        <f>SUM(V280:V285)/R274</f>
        <v>0.74567389291614639</v>
      </c>
      <c r="R280" s="4143"/>
      <c r="S280" s="4120"/>
      <c r="T280" s="4119" t="s">
        <v>527</v>
      </c>
      <c r="U280" s="1223" t="s">
        <v>528</v>
      </c>
      <c r="V280" s="1523">
        <v>120000000</v>
      </c>
      <c r="W280" s="2555">
        <v>61</v>
      </c>
      <c r="X280" s="2507" t="s">
        <v>380</v>
      </c>
      <c r="Y280" s="4117"/>
      <c r="Z280" s="4123"/>
      <c r="AA280" s="4135"/>
      <c r="AB280" s="4135"/>
      <c r="AC280" s="4135"/>
      <c r="AD280" s="4135"/>
      <c r="AE280" s="4135"/>
      <c r="AF280" s="4135"/>
      <c r="AG280" s="4135"/>
      <c r="AH280" s="4135"/>
      <c r="AI280" s="4135"/>
      <c r="AJ280" s="4135"/>
      <c r="AK280" s="4135"/>
      <c r="AL280" s="4135"/>
      <c r="AM280" s="4135"/>
      <c r="AN280" s="4135"/>
      <c r="AO280" s="4149"/>
      <c r="AP280" s="4149"/>
      <c r="AQ280" s="4152"/>
      <c r="AR280" s="2593"/>
      <c r="AS280" s="1221"/>
      <c r="AT280" s="1221"/>
      <c r="AU280" s="1188"/>
      <c r="AV280" s="1188"/>
      <c r="AW280" s="1188"/>
      <c r="AX280" s="1188"/>
      <c r="AY280" s="1188"/>
      <c r="AZ280" s="1188"/>
      <c r="BA280" s="1188"/>
      <c r="BB280" s="1188"/>
      <c r="BC280" s="1188"/>
      <c r="BD280" s="1188"/>
      <c r="BE280" s="1188"/>
      <c r="BF280" s="1188"/>
      <c r="BG280" s="1188"/>
      <c r="BH280" s="1188"/>
      <c r="BI280" s="1188"/>
      <c r="BJ280" s="1188"/>
      <c r="BK280" s="1188"/>
      <c r="BL280" s="1188"/>
      <c r="BM280" s="1188"/>
      <c r="BN280" s="1188"/>
      <c r="BO280" s="1188"/>
      <c r="BP280" s="1188"/>
      <c r="BQ280" s="1188"/>
      <c r="BR280" s="1188"/>
      <c r="BS280" s="1188"/>
      <c r="BT280" s="1188"/>
      <c r="BU280" s="1188"/>
      <c r="BV280" s="1188"/>
      <c r="BW280" s="1188"/>
      <c r="BX280" s="1188"/>
      <c r="BY280" s="1188"/>
      <c r="BZ280" s="1188"/>
      <c r="CA280" s="1188"/>
      <c r="CB280" s="1188"/>
      <c r="CC280" s="1188"/>
      <c r="CD280" s="1188"/>
      <c r="CE280" s="1188"/>
      <c r="CF280" s="1188"/>
      <c r="CG280" s="1188"/>
      <c r="CH280" s="1188"/>
      <c r="CI280" s="1188"/>
      <c r="CJ280" s="1188"/>
      <c r="CK280" s="1188"/>
      <c r="CL280" s="1188"/>
      <c r="CM280" s="1188"/>
      <c r="CN280" s="1188"/>
      <c r="CO280" s="1188"/>
      <c r="CP280" s="1188"/>
      <c r="CQ280" s="1188"/>
      <c r="CR280" s="1188"/>
      <c r="CS280" s="1188"/>
      <c r="CT280" s="1188"/>
      <c r="CU280" s="1188"/>
      <c r="CV280" s="1188"/>
      <c r="CW280" s="1188"/>
      <c r="CX280" s="1188"/>
      <c r="CY280" s="1188"/>
      <c r="CZ280" s="1188"/>
      <c r="DA280" s="1188"/>
      <c r="DB280" s="1188"/>
      <c r="DC280" s="1188"/>
      <c r="DD280" s="1188"/>
      <c r="DE280" s="1188"/>
      <c r="DF280" s="1188"/>
      <c r="DG280" s="1188"/>
      <c r="DH280" s="1188"/>
      <c r="DI280" s="1188"/>
      <c r="DJ280" s="1188"/>
      <c r="DK280" s="1188"/>
      <c r="DL280" s="1188"/>
      <c r="DM280" s="1188"/>
      <c r="DN280" s="1188"/>
      <c r="DO280" s="1188"/>
      <c r="DP280" s="1188"/>
      <c r="DQ280" s="1188"/>
      <c r="DR280" s="1188"/>
      <c r="DS280" s="1188"/>
      <c r="DT280" s="1188"/>
      <c r="DU280" s="1188"/>
      <c r="DV280" s="1188"/>
      <c r="DW280" s="1188"/>
      <c r="DX280" s="1188"/>
      <c r="DY280" s="1188"/>
      <c r="DZ280" s="1188"/>
      <c r="EA280" s="1188"/>
      <c r="EB280" s="1188"/>
      <c r="EC280" s="1188"/>
      <c r="ED280" s="1188"/>
      <c r="EE280" s="1188"/>
      <c r="EF280" s="1188"/>
      <c r="EG280" s="1188"/>
      <c r="EH280" s="1188"/>
      <c r="EI280" s="1188"/>
      <c r="EJ280" s="1188"/>
      <c r="EK280" s="1188"/>
      <c r="EL280" s="1188"/>
      <c r="EM280" s="1188"/>
      <c r="EN280" s="1188"/>
      <c r="EO280" s="1188"/>
      <c r="EP280" s="1188"/>
      <c r="EQ280" s="1188"/>
      <c r="ER280" s="1188"/>
      <c r="ES280" s="1188"/>
      <c r="ET280" s="1188"/>
      <c r="EU280" s="1188"/>
      <c r="EV280" s="1188"/>
      <c r="EW280" s="1188"/>
      <c r="EX280" s="1188"/>
      <c r="EY280" s="1188"/>
      <c r="EZ280" s="1188"/>
      <c r="FA280" s="1188"/>
      <c r="FB280" s="1188"/>
      <c r="FC280" s="1188"/>
      <c r="FD280" s="1188"/>
      <c r="FE280" s="1188"/>
      <c r="FF280" s="1188"/>
      <c r="FG280" s="1188"/>
      <c r="FH280" s="1188"/>
      <c r="FI280" s="1188"/>
      <c r="FJ280" s="1188"/>
      <c r="FK280" s="1188"/>
      <c r="FL280" s="1188"/>
      <c r="FM280" s="1188"/>
      <c r="FN280" s="1188"/>
      <c r="FO280" s="1188"/>
      <c r="FP280" s="1188"/>
      <c r="FQ280" s="1188"/>
      <c r="FR280" s="1188"/>
      <c r="FS280" s="1188"/>
      <c r="FT280" s="1188"/>
      <c r="FU280" s="1188"/>
      <c r="FV280" s="1188"/>
      <c r="FW280" s="1188"/>
      <c r="FX280" s="1188"/>
      <c r="FY280" s="1188"/>
      <c r="FZ280" s="1188"/>
      <c r="GA280" s="1188"/>
      <c r="GB280" s="1188"/>
      <c r="GC280" s="1188"/>
      <c r="GD280" s="1188"/>
      <c r="GE280" s="1188"/>
      <c r="GF280" s="1188"/>
      <c r="GG280" s="1188"/>
      <c r="GH280" s="1188"/>
      <c r="GI280" s="1188"/>
      <c r="GJ280" s="1188"/>
      <c r="GK280" s="1188"/>
      <c r="GL280" s="1188"/>
      <c r="GM280" s="1188"/>
      <c r="GN280" s="1188"/>
      <c r="GO280" s="1188"/>
      <c r="GP280" s="1188"/>
      <c r="GQ280" s="1188"/>
      <c r="GR280" s="1188"/>
      <c r="GS280" s="1188"/>
      <c r="GT280" s="1188"/>
      <c r="GU280" s="1188"/>
      <c r="GV280" s="1188"/>
      <c r="GW280" s="1188"/>
      <c r="GX280" s="1188"/>
      <c r="GY280" s="1188"/>
      <c r="GZ280" s="1188"/>
      <c r="HA280" s="1188"/>
      <c r="HB280" s="1188"/>
      <c r="HC280" s="1188"/>
      <c r="HD280" s="1188"/>
      <c r="HE280" s="1188"/>
      <c r="HF280" s="1188"/>
      <c r="HG280" s="1188"/>
      <c r="HH280" s="1188"/>
      <c r="HI280" s="1188"/>
      <c r="HJ280" s="1188"/>
      <c r="HK280" s="1188"/>
      <c r="HL280" s="1188"/>
      <c r="HM280" s="1188"/>
      <c r="HN280" s="1188"/>
      <c r="HO280" s="1188"/>
      <c r="HP280" s="1188"/>
      <c r="HQ280" s="1188"/>
      <c r="HR280" s="1188"/>
      <c r="HS280" s="1188"/>
      <c r="HT280" s="1188"/>
      <c r="HU280" s="1188"/>
      <c r="HV280" s="1188"/>
      <c r="HW280" s="1188"/>
      <c r="HX280" s="1188"/>
      <c r="HY280" s="1188"/>
      <c r="HZ280" s="1188"/>
      <c r="IA280" s="1188"/>
      <c r="IB280" s="1188"/>
      <c r="IC280" s="1188"/>
      <c r="ID280" s="1188"/>
      <c r="IE280" s="1188"/>
      <c r="IF280" s="1188"/>
      <c r="IG280" s="1188"/>
      <c r="IH280" s="1188"/>
      <c r="II280" s="1188"/>
      <c r="IJ280" s="1188"/>
      <c r="IK280" s="1188"/>
      <c r="IL280" s="1188"/>
      <c r="IM280" s="1188"/>
      <c r="IN280" s="1188"/>
      <c r="IO280" s="1188"/>
      <c r="IP280" s="1188"/>
      <c r="IQ280" s="1188"/>
      <c r="IR280" s="1188"/>
      <c r="IS280" s="1188"/>
      <c r="IT280" s="1188"/>
      <c r="IU280" s="1188"/>
      <c r="IV280" s="1188"/>
      <c r="IW280" s="1188"/>
      <c r="IX280" s="1188"/>
      <c r="IY280" s="1188"/>
      <c r="IZ280" s="1188"/>
      <c r="JA280" s="1188"/>
      <c r="JB280" s="1188"/>
      <c r="JC280" s="1188"/>
      <c r="JD280" s="1188"/>
      <c r="JE280" s="1188"/>
      <c r="JF280" s="1188"/>
      <c r="JG280" s="1188"/>
      <c r="JH280" s="1188"/>
      <c r="JI280" s="1188"/>
      <c r="JJ280" s="1188"/>
      <c r="JK280" s="1188"/>
      <c r="JL280" s="1188"/>
      <c r="JM280" s="1188"/>
      <c r="JN280" s="1188"/>
      <c r="JO280" s="1188"/>
      <c r="JP280" s="1188"/>
      <c r="JQ280" s="1188"/>
      <c r="JR280" s="1188"/>
      <c r="JS280" s="1188"/>
      <c r="JT280" s="1188"/>
      <c r="JU280" s="1188"/>
      <c r="JV280" s="1188"/>
      <c r="JW280" s="1188"/>
      <c r="JX280" s="1188"/>
      <c r="JY280" s="1188"/>
      <c r="JZ280" s="1188"/>
      <c r="KA280" s="1188"/>
      <c r="KB280" s="1188"/>
      <c r="KC280" s="1188"/>
      <c r="KD280" s="1188"/>
      <c r="KE280" s="1188"/>
      <c r="KF280" s="1188"/>
      <c r="KG280" s="1188"/>
      <c r="KH280" s="1188"/>
      <c r="KI280" s="1188"/>
      <c r="KJ280" s="1188"/>
      <c r="KK280" s="1188"/>
      <c r="KL280" s="1188"/>
      <c r="KM280" s="1188"/>
      <c r="KN280" s="1188"/>
      <c r="KO280" s="1188"/>
      <c r="KP280" s="1188"/>
      <c r="KQ280" s="1188"/>
      <c r="KR280" s="1188"/>
    </row>
    <row r="281" spans="1:304" s="1279" customFormat="1" ht="36.75" customHeight="1" x14ac:dyDescent="0.2">
      <c r="A281" s="1213"/>
      <c r="B281" s="1214"/>
      <c r="C281" s="1215"/>
      <c r="D281" s="1214"/>
      <c r="E281" s="1214"/>
      <c r="F281" s="1215"/>
      <c r="G281" s="1222"/>
      <c r="H281" s="1214"/>
      <c r="I281" s="1215"/>
      <c r="J281" s="4129"/>
      <c r="K281" s="4120"/>
      <c r="L281" s="4123"/>
      <c r="M281" s="4123"/>
      <c r="N281" s="4123"/>
      <c r="O281" s="4123"/>
      <c r="P281" s="4120"/>
      <c r="Q281" s="4140"/>
      <c r="R281" s="4143"/>
      <c r="S281" s="4120"/>
      <c r="T281" s="4120"/>
      <c r="U281" s="1223" t="s">
        <v>529</v>
      </c>
      <c r="V281" s="1523">
        <v>53800000</v>
      </c>
      <c r="W281" s="2555">
        <v>61</v>
      </c>
      <c r="X281" s="2507" t="s">
        <v>380</v>
      </c>
      <c r="Y281" s="4117"/>
      <c r="Z281" s="4123"/>
      <c r="AA281" s="4135"/>
      <c r="AB281" s="4135"/>
      <c r="AC281" s="4135"/>
      <c r="AD281" s="4135"/>
      <c r="AE281" s="4135"/>
      <c r="AF281" s="4135"/>
      <c r="AG281" s="4135"/>
      <c r="AH281" s="4135"/>
      <c r="AI281" s="4135"/>
      <c r="AJ281" s="4135"/>
      <c r="AK281" s="4135"/>
      <c r="AL281" s="4135"/>
      <c r="AM281" s="4135"/>
      <c r="AN281" s="4135"/>
      <c r="AO281" s="4149"/>
      <c r="AP281" s="4149"/>
      <c r="AQ281" s="4152"/>
      <c r="AR281" s="2593"/>
      <c r="AS281" s="1188"/>
      <c r="AT281" s="1188"/>
      <c r="AU281" s="1188"/>
      <c r="AV281" s="1188"/>
      <c r="AW281" s="1188"/>
      <c r="AX281" s="1188"/>
      <c r="AY281" s="1188"/>
      <c r="AZ281" s="1188"/>
      <c r="BA281" s="1188"/>
      <c r="BB281" s="1188"/>
      <c r="BC281" s="1188"/>
      <c r="BD281" s="1188"/>
      <c r="BE281" s="1188"/>
      <c r="BF281" s="1188"/>
      <c r="BG281" s="1188"/>
      <c r="BH281" s="1188"/>
      <c r="BI281" s="1188"/>
      <c r="BJ281" s="1188"/>
      <c r="BK281" s="1188"/>
      <c r="BL281" s="1188"/>
      <c r="BM281" s="1188"/>
      <c r="BN281" s="1188"/>
      <c r="BO281" s="1188"/>
      <c r="BP281" s="1188"/>
      <c r="BQ281" s="1188"/>
      <c r="BR281" s="1188"/>
      <c r="BS281" s="1188"/>
      <c r="BT281" s="1188"/>
      <c r="BU281" s="1188"/>
      <c r="BV281" s="1188"/>
      <c r="BW281" s="1188"/>
      <c r="BX281" s="1188"/>
      <c r="BY281" s="1188"/>
      <c r="BZ281" s="1188"/>
      <c r="CA281" s="1188"/>
      <c r="CB281" s="1188"/>
      <c r="CC281" s="1188"/>
      <c r="CD281" s="1188"/>
      <c r="CE281" s="1188"/>
      <c r="CF281" s="1188"/>
      <c r="CG281" s="1188"/>
      <c r="CH281" s="1188"/>
      <c r="CI281" s="1188"/>
      <c r="CJ281" s="1188"/>
      <c r="CK281" s="1188"/>
      <c r="CL281" s="1188"/>
      <c r="CM281" s="1188"/>
      <c r="CN281" s="1188"/>
      <c r="CO281" s="1188"/>
      <c r="CP281" s="1188"/>
      <c r="CQ281" s="1188"/>
      <c r="CR281" s="1188"/>
      <c r="CS281" s="1188"/>
      <c r="CT281" s="1188"/>
      <c r="CU281" s="1188"/>
      <c r="CV281" s="1188"/>
      <c r="CW281" s="1188"/>
      <c r="CX281" s="1188"/>
      <c r="CY281" s="1188"/>
      <c r="CZ281" s="1188"/>
      <c r="DA281" s="1188"/>
      <c r="DB281" s="1188"/>
      <c r="DC281" s="1188"/>
      <c r="DD281" s="1188"/>
      <c r="DE281" s="1188"/>
      <c r="DF281" s="1188"/>
      <c r="DG281" s="1188"/>
      <c r="DH281" s="1188"/>
      <c r="DI281" s="1188"/>
      <c r="DJ281" s="1188"/>
      <c r="DK281" s="1188"/>
      <c r="DL281" s="1188"/>
      <c r="DM281" s="1188"/>
      <c r="DN281" s="1188"/>
      <c r="DO281" s="1188"/>
      <c r="DP281" s="1188"/>
      <c r="DQ281" s="1188"/>
      <c r="DR281" s="1188"/>
      <c r="DS281" s="1188"/>
      <c r="DT281" s="1188"/>
      <c r="DU281" s="1188"/>
      <c r="DV281" s="1188"/>
      <c r="DW281" s="1188"/>
      <c r="DX281" s="1188"/>
      <c r="DY281" s="1188"/>
      <c r="DZ281" s="1188"/>
      <c r="EA281" s="1188"/>
      <c r="EB281" s="1188"/>
      <c r="EC281" s="1188"/>
      <c r="ED281" s="1188"/>
      <c r="EE281" s="1188"/>
      <c r="EF281" s="1188"/>
      <c r="EG281" s="1188"/>
      <c r="EH281" s="1188"/>
      <c r="EI281" s="1188"/>
      <c r="EJ281" s="1188"/>
      <c r="EK281" s="1188"/>
      <c r="EL281" s="1188"/>
      <c r="EM281" s="1188"/>
      <c r="EN281" s="1188"/>
      <c r="EO281" s="1188"/>
      <c r="EP281" s="1188"/>
      <c r="EQ281" s="1188"/>
      <c r="ER281" s="1188"/>
      <c r="ES281" s="1188"/>
      <c r="ET281" s="1188"/>
      <c r="EU281" s="1188"/>
      <c r="EV281" s="1188"/>
      <c r="EW281" s="1188"/>
      <c r="EX281" s="1188"/>
      <c r="EY281" s="1188"/>
      <c r="EZ281" s="1188"/>
      <c r="FA281" s="1188"/>
      <c r="FB281" s="1188"/>
      <c r="FC281" s="1188"/>
      <c r="FD281" s="1188"/>
      <c r="FE281" s="1188"/>
      <c r="FF281" s="1188"/>
      <c r="FG281" s="1188"/>
      <c r="FH281" s="1188"/>
      <c r="FI281" s="1188"/>
      <c r="FJ281" s="1188"/>
      <c r="FK281" s="1188"/>
      <c r="FL281" s="1188"/>
      <c r="FM281" s="1188"/>
      <c r="FN281" s="1188"/>
      <c r="FO281" s="1188"/>
      <c r="FP281" s="1188"/>
      <c r="FQ281" s="1188"/>
      <c r="FR281" s="1188"/>
      <c r="FS281" s="1188"/>
      <c r="FT281" s="1188"/>
      <c r="FU281" s="1188"/>
      <c r="FV281" s="1188"/>
      <c r="FW281" s="1188"/>
      <c r="FX281" s="1188"/>
      <c r="FY281" s="1188"/>
      <c r="FZ281" s="1188"/>
      <c r="GA281" s="1188"/>
      <c r="GB281" s="1188"/>
      <c r="GC281" s="1188"/>
      <c r="GD281" s="1188"/>
      <c r="GE281" s="1188"/>
      <c r="GF281" s="1188"/>
      <c r="GG281" s="1188"/>
      <c r="GH281" s="1188"/>
      <c r="GI281" s="1188"/>
      <c r="GJ281" s="1188"/>
      <c r="GK281" s="1188"/>
      <c r="GL281" s="1188"/>
      <c r="GM281" s="1188"/>
      <c r="GN281" s="1188"/>
      <c r="GO281" s="1188"/>
      <c r="GP281" s="1188"/>
      <c r="GQ281" s="1188"/>
      <c r="GR281" s="1188"/>
      <c r="GS281" s="1188"/>
      <c r="GT281" s="1188"/>
      <c r="GU281" s="1188"/>
      <c r="GV281" s="1188"/>
      <c r="GW281" s="1188"/>
      <c r="GX281" s="1188"/>
      <c r="GY281" s="1188"/>
      <c r="GZ281" s="1188"/>
      <c r="HA281" s="1188"/>
      <c r="HB281" s="1188"/>
      <c r="HC281" s="1188"/>
      <c r="HD281" s="1188"/>
      <c r="HE281" s="1188"/>
      <c r="HF281" s="1188"/>
      <c r="HG281" s="1188"/>
      <c r="HH281" s="1188"/>
      <c r="HI281" s="1188"/>
      <c r="HJ281" s="1188"/>
      <c r="HK281" s="1188"/>
      <c r="HL281" s="1188"/>
      <c r="HM281" s="1188"/>
      <c r="HN281" s="1188"/>
      <c r="HO281" s="1188"/>
      <c r="HP281" s="1188"/>
      <c r="HQ281" s="1188"/>
      <c r="HR281" s="1188"/>
      <c r="HS281" s="1188"/>
      <c r="HT281" s="1188"/>
      <c r="HU281" s="1188"/>
      <c r="HV281" s="1188"/>
      <c r="HW281" s="1188"/>
      <c r="HX281" s="1188"/>
      <c r="HY281" s="1188"/>
      <c r="HZ281" s="1188"/>
      <c r="IA281" s="1188"/>
      <c r="IB281" s="1188"/>
      <c r="IC281" s="1188"/>
      <c r="ID281" s="1188"/>
      <c r="IE281" s="1188"/>
      <c r="IF281" s="1188"/>
      <c r="IG281" s="1188"/>
      <c r="IH281" s="1188"/>
      <c r="II281" s="1188"/>
      <c r="IJ281" s="1188"/>
      <c r="IK281" s="1188"/>
      <c r="IL281" s="1188"/>
      <c r="IM281" s="1188"/>
      <c r="IN281" s="1188"/>
      <c r="IO281" s="1188"/>
      <c r="IP281" s="1188"/>
      <c r="IQ281" s="1188"/>
      <c r="IR281" s="1188"/>
      <c r="IS281" s="1188"/>
      <c r="IT281" s="1188"/>
      <c r="IU281" s="1188"/>
      <c r="IV281" s="1188"/>
      <c r="IW281" s="1188"/>
      <c r="IX281" s="1188"/>
      <c r="IY281" s="1188"/>
      <c r="IZ281" s="1188"/>
      <c r="JA281" s="1188"/>
      <c r="JB281" s="1188"/>
      <c r="JC281" s="1188"/>
      <c r="JD281" s="1188"/>
      <c r="JE281" s="1188"/>
      <c r="JF281" s="1188"/>
      <c r="JG281" s="1188"/>
      <c r="JH281" s="1188"/>
      <c r="JI281" s="1188"/>
      <c r="JJ281" s="1188"/>
      <c r="JK281" s="1188"/>
      <c r="JL281" s="1188"/>
      <c r="JM281" s="1188"/>
      <c r="JN281" s="1188"/>
      <c r="JO281" s="1188"/>
      <c r="JP281" s="1188"/>
      <c r="JQ281" s="1188"/>
      <c r="JR281" s="1188"/>
      <c r="JS281" s="1188"/>
      <c r="JT281" s="1188"/>
      <c r="JU281" s="1188"/>
      <c r="JV281" s="1188"/>
      <c r="JW281" s="1188"/>
      <c r="JX281" s="1188"/>
      <c r="JY281" s="1188"/>
      <c r="JZ281" s="1188"/>
      <c r="KA281" s="1188"/>
      <c r="KB281" s="1188"/>
      <c r="KC281" s="1188"/>
      <c r="KD281" s="1188"/>
      <c r="KE281" s="1188"/>
      <c r="KF281" s="1188"/>
      <c r="KG281" s="1188"/>
      <c r="KH281" s="1188"/>
      <c r="KI281" s="1188"/>
      <c r="KJ281" s="1188"/>
      <c r="KK281" s="1188"/>
      <c r="KL281" s="1188"/>
      <c r="KM281" s="1188"/>
      <c r="KN281" s="1188"/>
      <c r="KO281" s="1188"/>
      <c r="KP281" s="1188"/>
      <c r="KQ281" s="1188"/>
      <c r="KR281" s="1188"/>
    </row>
    <row r="282" spans="1:304" s="1279" customFormat="1" ht="32.25" customHeight="1" x14ac:dyDescent="0.2">
      <c r="A282" s="1213"/>
      <c r="B282" s="1214"/>
      <c r="C282" s="1215"/>
      <c r="D282" s="1214"/>
      <c r="E282" s="1214"/>
      <c r="F282" s="1215"/>
      <c r="G282" s="1222"/>
      <c r="H282" s="1214"/>
      <c r="I282" s="1215"/>
      <c r="J282" s="4129"/>
      <c r="K282" s="4120"/>
      <c r="L282" s="4123"/>
      <c r="M282" s="4123"/>
      <c r="N282" s="4123"/>
      <c r="O282" s="4123"/>
      <c r="P282" s="4120"/>
      <c r="Q282" s="4140"/>
      <c r="R282" s="4143"/>
      <c r="S282" s="4120"/>
      <c r="T282" s="4120"/>
      <c r="U282" s="4137" t="s">
        <v>530</v>
      </c>
      <c r="V282" s="1523">
        <f>30000000+18924714</f>
        <v>48924714</v>
      </c>
      <c r="W282" s="2555">
        <v>61</v>
      </c>
      <c r="X282" s="2507" t="s">
        <v>380</v>
      </c>
      <c r="Y282" s="4117"/>
      <c r="Z282" s="4123"/>
      <c r="AA282" s="4135"/>
      <c r="AB282" s="4135"/>
      <c r="AC282" s="4135"/>
      <c r="AD282" s="4135"/>
      <c r="AE282" s="4135"/>
      <c r="AF282" s="4135"/>
      <c r="AG282" s="4135"/>
      <c r="AH282" s="4135"/>
      <c r="AI282" s="4135"/>
      <c r="AJ282" s="4135"/>
      <c r="AK282" s="4135"/>
      <c r="AL282" s="4135"/>
      <c r="AM282" s="4135"/>
      <c r="AN282" s="4135"/>
      <c r="AO282" s="4149"/>
      <c r="AP282" s="4149"/>
      <c r="AQ282" s="4152"/>
      <c r="AR282" s="2593"/>
      <c r="AS282" s="1188"/>
      <c r="AT282" s="1188"/>
      <c r="AU282" s="1188"/>
      <c r="AV282" s="1188"/>
      <c r="AW282" s="1188"/>
      <c r="AX282" s="1188"/>
      <c r="AY282" s="1188"/>
      <c r="AZ282" s="1188"/>
      <c r="BA282" s="1188"/>
      <c r="BB282" s="1188"/>
      <c r="BC282" s="1188"/>
      <c r="BD282" s="1188"/>
      <c r="BE282" s="1188"/>
      <c r="BF282" s="1188"/>
      <c r="BG282" s="1188"/>
      <c r="BH282" s="1188"/>
      <c r="BI282" s="1188"/>
      <c r="BJ282" s="1188"/>
      <c r="BK282" s="1188"/>
      <c r="BL282" s="1188"/>
      <c r="BM282" s="1188"/>
      <c r="BN282" s="1188"/>
      <c r="BO282" s="1188"/>
      <c r="BP282" s="1188"/>
      <c r="BQ282" s="1188"/>
      <c r="BR282" s="1188"/>
      <c r="BS282" s="1188"/>
      <c r="BT282" s="1188"/>
      <c r="BU282" s="1188"/>
      <c r="BV282" s="1188"/>
      <c r="BW282" s="1188"/>
      <c r="BX282" s="1188"/>
      <c r="BY282" s="1188"/>
      <c r="BZ282" s="1188"/>
      <c r="CA282" s="1188"/>
      <c r="CB282" s="1188"/>
      <c r="CC282" s="1188"/>
      <c r="CD282" s="1188"/>
      <c r="CE282" s="1188"/>
      <c r="CF282" s="1188"/>
      <c r="CG282" s="1188"/>
      <c r="CH282" s="1188"/>
      <c r="CI282" s="1188"/>
      <c r="CJ282" s="1188"/>
      <c r="CK282" s="1188"/>
      <c r="CL282" s="1188"/>
      <c r="CM282" s="1188"/>
      <c r="CN282" s="1188"/>
      <c r="CO282" s="1188"/>
      <c r="CP282" s="1188"/>
      <c r="CQ282" s="1188"/>
      <c r="CR282" s="1188"/>
      <c r="CS282" s="1188"/>
      <c r="CT282" s="1188"/>
      <c r="CU282" s="1188"/>
      <c r="CV282" s="1188"/>
      <c r="CW282" s="1188"/>
      <c r="CX282" s="1188"/>
      <c r="CY282" s="1188"/>
      <c r="CZ282" s="1188"/>
      <c r="DA282" s="1188"/>
      <c r="DB282" s="1188"/>
      <c r="DC282" s="1188"/>
      <c r="DD282" s="1188"/>
      <c r="DE282" s="1188"/>
      <c r="DF282" s="1188"/>
      <c r="DG282" s="1188"/>
      <c r="DH282" s="1188"/>
      <c r="DI282" s="1188"/>
      <c r="DJ282" s="1188"/>
      <c r="DK282" s="1188"/>
      <c r="DL282" s="1188"/>
      <c r="DM282" s="1188"/>
      <c r="DN282" s="1188"/>
      <c r="DO282" s="1188"/>
      <c r="DP282" s="1188"/>
      <c r="DQ282" s="1188"/>
      <c r="DR282" s="1188"/>
      <c r="DS282" s="1188"/>
      <c r="DT282" s="1188"/>
      <c r="DU282" s="1188"/>
      <c r="DV282" s="1188"/>
      <c r="DW282" s="1188"/>
      <c r="DX282" s="1188"/>
      <c r="DY282" s="1188"/>
      <c r="DZ282" s="1188"/>
      <c r="EA282" s="1188"/>
      <c r="EB282" s="1188"/>
      <c r="EC282" s="1188"/>
      <c r="ED282" s="1188"/>
      <c r="EE282" s="1188"/>
      <c r="EF282" s="1188"/>
      <c r="EG282" s="1188"/>
      <c r="EH282" s="1188"/>
      <c r="EI282" s="1188"/>
      <c r="EJ282" s="1188"/>
      <c r="EK282" s="1188"/>
      <c r="EL282" s="1188"/>
      <c r="EM282" s="1188"/>
      <c r="EN282" s="1188"/>
      <c r="EO282" s="1188"/>
      <c r="EP282" s="1188"/>
      <c r="EQ282" s="1188"/>
      <c r="ER282" s="1188"/>
      <c r="ES282" s="1188"/>
      <c r="ET282" s="1188"/>
      <c r="EU282" s="1188"/>
      <c r="EV282" s="1188"/>
      <c r="EW282" s="1188"/>
      <c r="EX282" s="1188"/>
      <c r="EY282" s="1188"/>
      <c r="EZ282" s="1188"/>
      <c r="FA282" s="1188"/>
      <c r="FB282" s="1188"/>
      <c r="FC282" s="1188"/>
      <c r="FD282" s="1188"/>
      <c r="FE282" s="1188"/>
      <c r="FF282" s="1188"/>
      <c r="FG282" s="1188"/>
      <c r="FH282" s="1188"/>
      <c r="FI282" s="1188"/>
      <c r="FJ282" s="1188"/>
      <c r="FK282" s="1188"/>
      <c r="FL282" s="1188"/>
      <c r="FM282" s="1188"/>
      <c r="FN282" s="1188"/>
      <c r="FO282" s="1188"/>
      <c r="FP282" s="1188"/>
      <c r="FQ282" s="1188"/>
      <c r="FR282" s="1188"/>
      <c r="FS282" s="1188"/>
      <c r="FT282" s="1188"/>
      <c r="FU282" s="1188"/>
      <c r="FV282" s="1188"/>
      <c r="FW282" s="1188"/>
      <c r="FX282" s="1188"/>
      <c r="FY282" s="1188"/>
      <c r="FZ282" s="1188"/>
      <c r="GA282" s="1188"/>
      <c r="GB282" s="1188"/>
      <c r="GC282" s="1188"/>
      <c r="GD282" s="1188"/>
      <c r="GE282" s="1188"/>
      <c r="GF282" s="1188"/>
      <c r="GG282" s="1188"/>
      <c r="GH282" s="1188"/>
      <c r="GI282" s="1188"/>
      <c r="GJ282" s="1188"/>
      <c r="GK282" s="1188"/>
      <c r="GL282" s="1188"/>
      <c r="GM282" s="1188"/>
      <c r="GN282" s="1188"/>
      <c r="GO282" s="1188"/>
      <c r="GP282" s="1188"/>
      <c r="GQ282" s="1188"/>
      <c r="GR282" s="1188"/>
      <c r="GS282" s="1188"/>
      <c r="GT282" s="1188"/>
      <c r="GU282" s="1188"/>
      <c r="GV282" s="1188"/>
      <c r="GW282" s="1188"/>
      <c r="GX282" s="1188"/>
      <c r="GY282" s="1188"/>
      <c r="GZ282" s="1188"/>
      <c r="HA282" s="1188"/>
      <c r="HB282" s="1188"/>
      <c r="HC282" s="1188"/>
      <c r="HD282" s="1188"/>
      <c r="HE282" s="1188"/>
      <c r="HF282" s="1188"/>
      <c r="HG282" s="1188"/>
      <c r="HH282" s="1188"/>
      <c r="HI282" s="1188"/>
      <c r="HJ282" s="1188"/>
      <c r="HK282" s="1188"/>
      <c r="HL282" s="1188"/>
      <c r="HM282" s="1188"/>
      <c r="HN282" s="1188"/>
      <c r="HO282" s="1188"/>
      <c r="HP282" s="1188"/>
      <c r="HQ282" s="1188"/>
      <c r="HR282" s="1188"/>
      <c r="HS282" s="1188"/>
      <c r="HT282" s="1188"/>
      <c r="HU282" s="1188"/>
      <c r="HV282" s="1188"/>
      <c r="HW282" s="1188"/>
      <c r="HX282" s="1188"/>
      <c r="HY282" s="1188"/>
      <c r="HZ282" s="1188"/>
      <c r="IA282" s="1188"/>
      <c r="IB282" s="1188"/>
      <c r="IC282" s="1188"/>
      <c r="ID282" s="1188"/>
      <c r="IE282" s="1188"/>
      <c r="IF282" s="1188"/>
      <c r="IG282" s="1188"/>
      <c r="IH282" s="1188"/>
      <c r="II282" s="1188"/>
      <c r="IJ282" s="1188"/>
      <c r="IK282" s="1188"/>
      <c r="IL282" s="1188"/>
      <c r="IM282" s="1188"/>
      <c r="IN282" s="1188"/>
      <c r="IO282" s="1188"/>
      <c r="IP282" s="1188"/>
      <c r="IQ282" s="1188"/>
      <c r="IR282" s="1188"/>
      <c r="IS282" s="1188"/>
      <c r="IT282" s="1188"/>
      <c r="IU282" s="1188"/>
      <c r="IV282" s="1188"/>
      <c r="IW282" s="1188"/>
      <c r="IX282" s="1188"/>
      <c r="IY282" s="1188"/>
      <c r="IZ282" s="1188"/>
      <c r="JA282" s="1188"/>
      <c r="JB282" s="1188"/>
      <c r="JC282" s="1188"/>
      <c r="JD282" s="1188"/>
      <c r="JE282" s="1188"/>
      <c r="JF282" s="1188"/>
      <c r="JG282" s="1188"/>
      <c r="JH282" s="1188"/>
      <c r="JI282" s="1188"/>
      <c r="JJ282" s="1188"/>
      <c r="JK282" s="1188"/>
      <c r="JL282" s="1188"/>
      <c r="JM282" s="1188"/>
      <c r="JN282" s="1188"/>
      <c r="JO282" s="1188"/>
      <c r="JP282" s="1188"/>
      <c r="JQ282" s="1188"/>
      <c r="JR282" s="1188"/>
      <c r="JS282" s="1188"/>
      <c r="JT282" s="1188"/>
      <c r="JU282" s="1188"/>
      <c r="JV282" s="1188"/>
      <c r="JW282" s="1188"/>
      <c r="JX282" s="1188"/>
      <c r="JY282" s="1188"/>
      <c r="JZ282" s="1188"/>
      <c r="KA282" s="1188"/>
      <c r="KB282" s="1188"/>
      <c r="KC282" s="1188"/>
      <c r="KD282" s="1188"/>
      <c r="KE282" s="1188"/>
      <c r="KF282" s="1188"/>
      <c r="KG282" s="1188"/>
      <c r="KH282" s="1188"/>
      <c r="KI282" s="1188"/>
      <c r="KJ282" s="1188"/>
      <c r="KK282" s="1188"/>
      <c r="KL282" s="1188"/>
      <c r="KM282" s="1188"/>
      <c r="KN282" s="1188"/>
      <c r="KO282" s="1188"/>
      <c r="KP282" s="1188"/>
      <c r="KQ282" s="1188"/>
      <c r="KR282" s="1188"/>
    </row>
    <row r="283" spans="1:304" s="1279" customFormat="1" ht="32.25" customHeight="1" x14ac:dyDescent="0.2">
      <c r="A283" s="1214"/>
      <c r="B283" s="1214"/>
      <c r="C283" s="1215"/>
      <c r="D283" s="1214"/>
      <c r="E283" s="1214"/>
      <c r="F283" s="1215"/>
      <c r="G283" s="1222"/>
      <c r="H283" s="1214"/>
      <c r="I283" s="1215"/>
      <c r="J283" s="4129"/>
      <c r="K283" s="4120"/>
      <c r="L283" s="4123"/>
      <c r="M283" s="4123"/>
      <c r="N283" s="4123"/>
      <c r="O283" s="4123"/>
      <c r="P283" s="4120"/>
      <c r="Q283" s="4140"/>
      <c r="R283" s="4143"/>
      <c r="S283" s="4120"/>
      <c r="T283" s="4120"/>
      <c r="U283" s="4303"/>
      <c r="V283" s="1523">
        <f>5915987+20000000</f>
        <v>25915987</v>
      </c>
      <c r="W283" s="2555">
        <v>98</v>
      </c>
      <c r="X283" s="2507" t="s">
        <v>451</v>
      </c>
      <c r="Y283" s="4117"/>
      <c r="Z283" s="4123"/>
      <c r="AA283" s="4135"/>
      <c r="AB283" s="4135"/>
      <c r="AC283" s="4135"/>
      <c r="AD283" s="4135"/>
      <c r="AE283" s="4135"/>
      <c r="AF283" s="4135"/>
      <c r="AG283" s="4135"/>
      <c r="AH283" s="4135"/>
      <c r="AI283" s="4135"/>
      <c r="AJ283" s="4135"/>
      <c r="AK283" s="4135"/>
      <c r="AL283" s="4135"/>
      <c r="AM283" s="4135"/>
      <c r="AN283" s="4135"/>
      <c r="AO283" s="4149"/>
      <c r="AP283" s="4149"/>
      <c r="AQ283" s="4152"/>
      <c r="AR283" s="2593"/>
      <c r="AS283" s="1188"/>
      <c r="AT283" s="1188"/>
      <c r="AU283" s="1188"/>
      <c r="AV283" s="1188"/>
      <c r="AW283" s="1188"/>
      <c r="AX283" s="1188"/>
      <c r="AY283" s="1188"/>
      <c r="AZ283" s="1188"/>
      <c r="BA283" s="1188"/>
      <c r="BB283" s="1188"/>
      <c r="BC283" s="1188"/>
      <c r="BD283" s="1188"/>
      <c r="BE283" s="1188"/>
      <c r="BF283" s="1188"/>
      <c r="BG283" s="1188"/>
      <c r="BH283" s="1188"/>
      <c r="BI283" s="1188"/>
      <c r="BJ283" s="1188"/>
      <c r="BK283" s="1188"/>
      <c r="BL283" s="1188"/>
      <c r="BM283" s="1188"/>
      <c r="BN283" s="1188"/>
      <c r="BO283" s="1188"/>
      <c r="BP283" s="1188"/>
      <c r="BQ283" s="1188"/>
      <c r="BR283" s="1188"/>
      <c r="BS283" s="1188"/>
      <c r="BT283" s="1188"/>
      <c r="BU283" s="1188"/>
      <c r="BV283" s="1188"/>
      <c r="BW283" s="1188"/>
      <c r="BX283" s="1188"/>
      <c r="BY283" s="1188"/>
      <c r="BZ283" s="1188"/>
      <c r="CA283" s="1188"/>
      <c r="CB283" s="1188"/>
      <c r="CC283" s="1188"/>
      <c r="CD283" s="1188"/>
      <c r="CE283" s="1188"/>
      <c r="CF283" s="1188"/>
      <c r="CG283" s="1188"/>
      <c r="CH283" s="1188"/>
      <c r="CI283" s="1188"/>
      <c r="CJ283" s="1188"/>
      <c r="CK283" s="1188"/>
      <c r="CL283" s="1188"/>
      <c r="CM283" s="1188"/>
      <c r="CN283" s="1188"/>
      <c r="CO283" s="1188"/>
      <c r="CP283" s="1188"/>
      <c r="CQ283" s="1188"/>
      <c r="CR283" s="1188"/>
      <c r="CS283" s="1188"/>
      <c r="CT283" s="1188"/>
      <c r="CU283" s="1188"/>
      <c r="CV283" s="1188"/>
      <c r="CW283" s="1188"/>
      <c r="CX283" s="1188"/>
      <c r="CY283" s="1188"/>
      <c r="CZ283" s="1188"/>
      <c r="DA283" s="1188"/>
      <c r="DB283" s="1188"/>
      <c r="DC283" s="1188"/>
      <c r="DD283" s="1188"/>
      <c r="DE283" s="1188"/>
      <c r="DF283" s="1188"/>
      <c r="DG283" s="1188"/>
      <c r="DH283" s="1188"/>
      <c r="DI283" s="1188"/>
      <c r="DJ283" s="1188"/>
      <c r="DK283" s="1188"/>
      <c r="DL283" s="1188"/>
      <c r="DM283" s="1188"/>
      <c r="DN283" s="1188"/>
      <c r="DO283" s="1188"/>
      <c r="DP283" s="1188"/>
      <c r="DQ283" s="1188"/>
      <c r="DR283" s="1188"/>
      <c r="DS283" s="1188"/>
      <c r="DT283" s="1188"/>
      <c r="DU283" s="1188"/>
      <c r="DV283" s="1188"/>
      <c r="DW283" s="1188"/>
      <c r="DX283" s="1188"/>
      <c r="DY283" s="1188"/>
      <c r="DZ283" s="1188"/>
      <c r="EA283" s="1188"/>
      <c r="EB283" s="1188"/>
      <c r="EC283" s="1188"/>
      <c r="ED283" s="1188"/>
      <c r="EE283" s="1188"/>
      <c r="EF283" s="1188"/>
      <c r="EG283" s="1188"/>
      <c r="EH283" s="1188"/>
      <c r="EI283" s="1188"/>
      <c r="EJ283" s="1188"/>
      <c r="EK283" s="1188"/>
      <c r="EL283" s="1188"/>
      <c r="EM283" s="1188"/>
      <c r="EN283" s="1188"/>
      <c r="EO283" s="1188"/>
      <c r="EP283" s="1188"/>
      <c r="EQ283" s="1188"/>
      <c r="ER283" s="1188"/>
      <c r="ES283" s="1188"/>
      <c r="ET283" s="1188"/>
      <c r="EU283" s="1188"/>
      <c r="EV283" s="1188"/>
      <c r="EW283" s="1188"/>
      <c r="EX283" s="1188"/>
      <c r="EY283" s="1188"/>
      <c r="EZ283" s="1188"/>
      <c r="FA283" s="1188"/>
      <c r="FB283" s="1188"/>
      <c r="FC283" s="1188"/>
      <c r="FD283" s="1188"/>
      <c r="FE283" s="1188"/>
      <c r="FF283" s="1188"/>
      <c r="FG283" s="1188"/>
      <c r="FH283" s="1188"/>
      <c r="FI283" s="1188"/>
      <c r="FJ283" s="1188"/>
      <c r="FK283" s="1188"/>
      <c r="FL283" s="1188"/>
      <c r="FM283" s="1188"/>
      <c r="FN283" s="1188"/>
      <c r="FO283" s="1188"/>
      <c r="FP283" s="1188"/>
      <c r="FQ283" s="1188"/>
      <c r="FR283" s="1188"/>
      <c r="FS283" s="1188"/>
      <c r="FT283" s="1188"/>
      <c r="FU283" s="1188"/>
      <c r="FV283" s="1188"/>
      <c r="FW283" s="1188"/>
      <c r="FX283" s="1188"/>
      <c r="FY283" s="1188"/>
      <c r="FZ283" s="1188"/>
      <c r="GA283" s="1188"/>
      <c r="GB283" s="1188"/>
      <c r="GC283" s="1188"/>
      <c r="GD283" s="1188"/>
      <c r="GE283" s="1188"/>
      <c r="GF283" s="1188"/>
      <c r="GG283" s="1188"/>
      <c r="GH283" s="1188"/>
      <c r="GI283" s="1188"/>
      <c r="GJ283" s="1188"/>
      <c r="GK283" s="1188"/>
      <c r="GL283" s="1188"/>
      <c r="GM283" s="1188"/>
      <c r="GN283" s="1188"/>
      <c r="GO283" s="1188"/>
      <c r="GP283" s="1188"/>
      <c r="GQ283" s="1188"/>
      <c r="GR283" s="1188"/>
      <c r="GS283" s="1188"/>
      <c r="GT283" s="1188"/>
      <c r="GU283" s="1188"/>
      <c r="GV283" s="1188"/>
      <c r="GW283" s="1188"/>
      <c r="GX283" s="1188"/>
      <c r="GY283" s="1188"/>
      <c r="GZ283" s="1188"/>
      <c r="HA283" s="1188"/>
      <c r="HB283" s="1188"/>
      <c r="HC283" s="1188"/>
      <c r="HD283" s="1188"/>
      <c r="HE283" s="1188"/>
      <c r="HF283" s="1188"/>
      <c r="HG283" s="1188"/>
      <c r="HH283" s="1188"/>
      <c r="HI283" s="1188"/>
      <c r="HJ283" s="1188"/>
      <c r="HK283" s="1188"/>
      <c r="HL283" s="1188"/>
      <c r="HM283" s="1188"/>
      <c r="HN283" s="1188"/>
      <c r="HO283" s="1188"/>
      <c r="HP283" s="1188"/>
      <c r="HQ283" s="1188"/>
      <c r="HR283" s="1188"/>
      <c r="HS283" s="1188"/>
      <c r="HT283" s="1188"/>
      <c r="HU283" s="1188"/>
      <c r="HV283" s="1188"/>
      <c r="HW283" s="1188"/>
      <c r="HX283" s="1188"/>
      <c r="HY283" s="1188"/>
      <c r="HZ283" s="1188"/>
      <c r="IA283" s="1188"/>
      <c r="IB283" s="1188"/>
      <c r="IC283" s="1188"/>
      <c r="ID283" s="1188"/>
      <c r="IE283" s="1188"/>
      <c r="IF283" s="1188"/>
      <c r="IG283" s="1188"/>
      <c r="IH283" s="1188"/>
      <c r="II283" s="1188"/>
      <c r="IJ283" s="1188"/>
      <c r="IK283" s="1188"/>
      <c r="IL283" s="1188"/>
      <c r="IM283" s="1188"/>
      <c r="IN283" s="1188"/>
      <c r="IO283" s="1188"/>
      <c r="IP283" s="1188"/>
      <c r="IQ283" s="1188"/>
      <c r="IR283" s="1188"/>
      <c r="IS283" s="1188"/>
      <c r="IT283" s="1188"/>
      <c r="IU283" s="1188"/>
      <c r="IV283" s="1188"/>
      <c r="IW283" s="1188"/>
      <c r="IX283" s="1188"/>
      <c r="IY283" s="1188"/>
      <c r="IZ283" s="1188"/>
      <c r="JA283" s="1188"/>
      <c r="JB283" s="1188"/>
      <c r="JC283" s="1188"/>
      <c r="JD283" s="1188"/>
      <c r="JE283" s="1188"/>
      <c r="JF283" s="1188"/>
      <c r="JG283" s="1188"/>
      <c r="JH283" s="1188"/>
      <c r="JI283" s="1188"/>
      <c r="JJ283" s="1188"/>
      <c r="JK283" s="1188"/>
      <c r="JL283" s="1188"/>
      <c r="JM283" s="1188"/>
      <c r="JN283" s="1188"/>
      <c r="JO283" s="1188"/>
      <c r="JP283" s="1188"/>
      <c r="JQ283" s="1188"/>
      <c r="JR283" s="1188"/>
      <c r="JS283" s="1188"/>
      <c r="JT283" s="1188"/>
      <c r="JU283" s="1188"/>
      <c r="JV283" s="1188"/>
      <c r="JW283" s="1188"/>
      <c r="JX283" s="1188"/>
      <c r="JY283" s="1188"/>
      <c r="JZ283" s="1188"/>
      <c r="KA283" s="1188"/>
      <c r="KB283" s="1188"/>
      <c r="KC283" s="1188"/>
      <c r="KD283" s="1188"/>
      <c r="KE283" s="1188"/>
      <c r="KF283" s="1188"/>
      <c r="KG283" s="1188"/>
      <c r="KH283" s="1188"/>
      <c r="KI283" s="1188"/>
      <c r="KJ283" s="1188"/>
      <c r="KK283" s="1188"/>
      <c r="KL283" s="1188"/>
      <c r="KM283" s="1188"/>
      <c r="KN283" s="1188"/>
      <c r="KO283" s="1188"/>
      <c r="KP283" s="1188"/>
      <c r="KQ283" s="1188"/>
      <c r="KR283" s="1188"/>
    </row>
    <row r="284" spans="1:304" s="1279" customFormat="1" ht="49.5" customHeight="1" x14ac:dyDescent="0.2">
      <c r="A284" s="1213"/>
      <c r="B284" s="1214"/>
      <c r="C284" s="1215"/>
      <c r="D284" s="1214"/>
      <c r="E284" s="1214"/>
      <c r="F284" s="1215"/>
      <c r="G284" s="1222"/>
      <c r="H284" s="1214"/>
      <c r="I284" s="1215"/>
      <c r="J284" s="4129"/>
      <c r="K284" s="4120"/>
      <c r="L284" s="4123"/>
      <c r="M284" s="4123"/>
      <c r="N284" s="4123"/>
      <c r="O284" s="4123"/>
      <c r="P284" s="4120"/>
      <c r="Q284" s="4140"/>
      <c r="R284" s="4143"/>
      <c r="S284" s="4120"/>
      <c r="T284" s="4120"/>
      <c r="U284" s="1223" t="s">
        <v>531</v>
      </c>
      <c r="V284" s="1523">
        <f>10000000+18924714</f>
        <v>28924714</v>
      </c>
      <c r="W284" s="2555">
        <v>61</v>
      </c>
      <c r="X284" s="2507" t="s">
        <v>380</v>
      </c>
      <c r="Y284" s="4117"/>
      <c r="Z284" s="4123"/>
      <c r="AA284" s="4135"/>
      <c r="AB284" s="4135"/>
      <c r="AC284" s="4135"/>
      <c r="AD284" s="4135"/>
      <c r="AE284" s="4135"/>
      <c r="AF284" s="4135"/>
      <c r="AG284" s="4135"/>
      <c r="AH284" s="4135"/>
      <c r="AI284" s="4135"/>
      <c r="AJ284" s="4135"/>
      <c r="AK284" s="4135"/>
      <c r="AL284" s="4135"/>
      <c r="AM284" s="4135"/>
      <c r="AN284" s="4135"/>
      <c r="AO284" s="4149"/>
      <c r="AP284" s="4149"/>
      <c r="AQ284" s="4152"/>
      <c r="AR284" s="2593"/>
      <c r="AS284" s="1188"/>
      <c r="AT284" s="1188"/>
      <c r="AU284" s="1188"/>
      <c r="AV284" s="1188"/>
      <c r="AW284" s="1188"/>
      <c r="AX284" s="1188"/>
      <c r="AY284" s="1188"/>
      <c r="AZ284" s="1188"/>
      <c r="BA284" s="1188"/>
      <c r="BB284" s="1188"/>
      <c r="BC284" s="1188"/>
      <c r="BD284" s="1188"/>
      <c r="BE284" s="1188"/>
      <c r="BF284" s="1188"/>
      <c r="BG284" s="1188"/>
      <c r="BH284" s="1188"/>
      <c r="BI284" s="1188"/>
      <c r="BJ284" s="1188"/>
      <c r="BK284" s="1188"/>
      <c r="BL284" s="1188"/>
      <c r="BM284" s="1188"/>
      <c r="BN284" s="1188"/>
      <c r="BO284" s="1188"/>
      <c r="BP284" s="1188"/>
      <c r="BQ284" s="1188"/>
      <c r="BR284" s="1188"/>
      <c r="BS284" s="1188"/>
      <c r="BT284" s="1188"/>
      <c r="BU284" s="1188"/>
      <c r="BV284" s="1188"/>
      <c r="BW284" s="1188"/>
      <c r="BX284" s="1188"/>
      <c r="BY284" s="1188"/>
      <c r="BZ284" s="1188"/>
      <c r="CA284" s="1188"/>
      <c r="CB284" s="1188"/>
      <c r="CC284" s="1188"/>
      <c r="CD284" s="1188"/>
      <c r="CE284" s="1188"/>
      <c r="CF284" s="1188"/>
      <c r="CG284" s="1188"/>
      <c r="CH284" s="1188"/>
      <c r="CI284" s="1188"/>
      <c r="CJ284" s="1188"/>
      <c r="CK284" s="1188"/>
      <c r="CL284" s="1188"/>
      <c r="CM284" s="1188"/>
      <c r="CN284" s="1188"/>
      <c r="CO284" s="1188"/>
      <c r="CP284" s="1188"/>
      <c r="CQ284" s="1188"/>
      <c r="CR284" s="1188"/>
      <c r="CS284" s="1188"/>
      <c r="CT284" s="1188"/>
      <c r="CU284" s="1188"/>
      <c r="CV284" s="1188"/>
      <c r="CW284" s="1188"/>
      <c r="CX284" s="1188"/>
      <c r="CY284" s="1188"/>
      <c r="CZ284" s="1188"/>
      <c r="DA284" s="1188"/>
      <c r="DB284" s="1188"/>
      <c r="DC284" s="1188"/>
      <c r="DD284" s="1188"/>
      <c r="DE284" s="1188"/>
      <c r="DF284" s="1188"/>
      <c r="DG284" s="1188"/>
      <c r="DH284" s="1188"/>
      <c r="DI284" s="1188"/>
      <c r="DJ284" s="1188"/>
      <c r="DK284" s="1188"/>
      <c r="DL284" s="1188"/>
      <c r="DM284" s="1188"/>
      <c r="DN284" s="1188"/>
      <c r="DO284" s="1188"/>
      <c r="DP284" s="1188"/>
      <c r="DQ284" s="1188"/>
      <c r="DR284" s="1188"/>
      <c r="DS284" s="1188"/>
      <c r="DT284" s="1188"/>
      <c r="DU284" s="1188"/>
      <c r="DV284" s="1188"/>
      <c r="DW284" s="1188"/>
      <c r="DX284" s="1188"/>
      <c r="DY284" s="1188"/>
      <c r="DZ284" s="1188"/>
      <c r="EA284" s="1188"/>
      <c r="EB284" s="1188"/>
      <c r="EC284" s="1188"/>
      <c r="ED284" s="1188"/>
      <c r="EE284" s="1188"/>
      <c r="EF284" s="1188"/>
      <c r="EG284" s="1188"/>
      <c r="EH284" s="1188"/>
      <c r="EI284" s="1188"/>
      <c r="EJ284" s="1188"/>
      <c r="EK284" s="1188"/>
      <c r="EL284" s="1188"/>
      <c r="EM284" s="1188"/>
      <c r="EN284" s="1188"/>
      <c r="EO284" s="1188"/>
      <c r="EP284" s="1188"/>
      <c r="EQ284" s="1188"/>
      <c r="ER284" s="1188"/>
      <c r="ES284" s="1188"/>
      <c r="ET284" s="1188"/>
      <c r="EU284" s="1188"/>
      <c r="EV284" s="1188"/>
      <c r="EW284" s="1188"/>
      <c r="EX284" s="1188"/>
      <c r="EY284" s="1188"/>
      <c r="EZ284" s="1188"/>
      <c r="FA284" s="1188"/>
      <c r="FB284" s="1188"/>
      <c r="FC284" s="1188"/>
      <c r="FD284" s="1188"/>
      <c r="FE284" s="1188"/>
      <c r="FF284" s="1188"/>
      <c r="FG284" s="1188"/>
      <c r="FH284" s="1188"/>
      <c r="FI284" s="1188"/>
      <c r="FJ284" s="1188"/>
      <c r="FK284" s="1188"/>
      <c r="FL284" s="1188"/>
      <c r="FM284" s="1188"/>
      <c r="FN284" s="1188"/>
      <c r="FO284" s="1188"/>
      <c r="FP284" s="1188"/>
      <c r="FQ284" s="1188"/>
      <c r="FR284" s="1188"/>
      <c r="FS284" s="1188"/>
      <c r="FT284" s="1188"/>
      <c r="FU284" s="1188"/>
      <c r="FV284" s="1188"/>
      <c r="FW284" s="1188"/>
      <c r="FX284" s="1188"/>
      <c r="FY284" s="1188"/>
      <c r="FZ284" s="1188"/>
      <c r="GA284" s="1188"/>
      <c r="GB284" s="1188"/>
      <c r="GC284" s="1188"/>
      <c r="GD284" s="1188"/>
      <c r="GE284" s="1188"/>
      <c r="GF284" s="1188"/>
      <c r="GG284" s="1188"/>
      <c r="GH284" s="1188"/>
      <c r="GI284" s="1188"/>
      <c r="GJ284" s="1188"/>
      <c r="GK284" s="1188"/>
      <c r="GL284" s="1188"/>
      <c r="GM284" s="1188"/>
      <c r="GN284" s="1188"/>
      <c r="GO284" s="1188"/>
      <c r="GP284" s="1188"/>
      <c r="GQ284" s="1188"/>
      <c r="GR284" s="1188"/>
      <c r="GS284" s="1188"/>
      <c r="GT284" s="1188"/>
      <c r="GU284" s="1188"/>
      <c r="GV284" s="1188"/>
      <c r="GW284" s="1188"/>
      <c r="GX284" s="1188"/>
      <c r="GY284" s="1188"/>
      <c r="GZ284" s="1188"/>
      <c r="HA284" s="1188"/>
      <c r="HB284" s="1188"/>
      <c r="HC284" s="1188"/>
      <c r="HD284" s="1188"/>
      <c r="HE284" s="1188"/>
      <c r="HF284" s="1188"/>
      <c r="HG284" s="1188"/>
      <c r="HH284" s="1188"/>
      <c r="HI284" s="1188"/>
      <c r="HJ284" s="1188"/>
      <c r="HK284" s="1188"/>
      <c r="HL284" s="1188"/>
      <c r="HM284" s="1188"/>
      <c r="HN284" s="1188"/>
      <c r="HO284" s="1188"/>
      <c r="HP284" s="1188"/>
      <c r="HQ284" s="1188"/>
      <c r="HR284" s="1188"/>
      <c r="HS284" s="1188"/>
      <c r="HT284" s="1188"/>
      <c r="HU284" s="1188"/>
      <c r="HV284" s="1188"/>
      <c r="HW284" s="1188"/>
      <c r="HX284" s="1188"/>
      <c r="HY284" s="1188"/>
      <c r="HZ284" s="1188"/>
      <c r="IA284" s="1188"/>
      <c r="IB284" s="1188"/>
      <c r="IC284" s="1188"/>
      <c r="ID284" s="1188"/>
      <c r="IE284" s="1188"/>
      <c r="IF284" s="1188"/>
      <c r="IG284" s="1188"/>
      <c r="IH284" s="1188"/>
      <c r="II284" s="1188"/>
      <c r="IJ284" s="1188"/>
      <c r="IK284" s="1188"/>
      <c r="IL284" s="1188"/>
      <c r="IM284" s="1188"/>
      <c r="IN284" s="1188"/>
      <c r="IO284" s="1188"/>
      <c r="IP284" s="1188"/>
      <c r="IQ284" s="1188"/>
      <c r="IR284" s="1188"/>
      <c r="IS284" s="1188"/>
      <c r="IT284" s="1188"/>
      <c r="IU284" s="1188"/>
      <c r="IV284" s="1188"/>
      <c r="IW284" s="1188"/>
      <c r="IX284" s="1188"/>
      <c r="IY284" s="1188"/>
      <c r="IZ284" s="1188"/>
      <c r="JA284" s="1188"/>
      <c r="JB284" s="1188"/>
      <c r="JC284" s="1188"/>
      <c r="JD284" s="1188"/>
      <c r="JE284" s="1188"/>
      <c r="JF284" s="1188"/>
      <c r="JG284" s="1188"/>
      <c r="JH284" s="1188"/>
      <c r="JI284" s="1188"/>
      <c r="JJ284" s="1188"/>
      <c r="JK284" s="1188"/>
      <c r="JL284" s="1188"/>
      <c r="JM284" s="1188"/>
      <c r="JN284" s="1188"/>
      <c r="JO284" s="1188"/>
      <c r="JP284" s="1188"/>
      <c r="JQ284" s="1188"/>
      <c r="JR284" s="1188"/>
      <c r="JS284" s="1188"/>
      <c r="JT284" s="1188"/>
      <c r="JU284" s="1188"/>
      <c r="JV284" s="1188"/>
      <c r="JW284" s="1188"/>
      <c r="JX284" s="1188"/>
      <c r="JY284" s="1188"/>
      <c r="JZ284" s="1188"/>
      <c r="KA284" s="1188"/>
      <c r="KB284" s="1188"/>
      <c r="KC284" s="1188"/>
      <c r="KD284" s="1188"/>
      <c r="KE284" s="1188"/>
      <c r="KF284" s="1188"/>
      <c r="KG284" s="1188"/>
      <c r="KH284" s="1188"/>
      <c r="KI284" s="1188"/>
      <c r="KJ284" s="1188"/>
      <c r="KK284" s="1188"/>
      <c r="KL284" s="1188"/>
      <c r="KM284" s="1188"/>
      <c r="KN284" s="1188"/>
      <c r="KO284" s="1188"/>
      <c r="KP284" s="1188"/>
      <c r="KQ284" s="1188"/>
      <c r="KR284" s="1188"/>
    </row>
    <row r="285" spans="1:304" s="1279" customFormat="1" ht="71.25" x14ac:dyDescent="0.2">
      <c r="A285" s="1213"/>
      <c r="B285" s="1214"/>
      <c r="C285" s="1215"/>
      <c r="D285" s="1224"/>
      <c r="E285" s="1224"/>
      <c r="F285" s="1225"/>
      <c r="G285" s="1226"/>
      <c r="H285" s="1224"/>
      <c r="I285" s="1225"/>
      <c r="J285" s="4129"/>
      <c r="K285" s="4120"/>
      <c r="L285" s="4123"/>
      <c r="M285" s="4123"/>
      <c r="N285" s="4123"/>
      <c r="O285" s="4123"/>
      <c r="P285" s="4120"/>
      <c r="Q285" s="4140"/>
      <c r="R285" s="4143"/>
      <c r="S285" s="4120"/>
      <c r="T285" s="4120"/>
      <c r="U285" s="1223" t="s">
        <v>532</v>
      </c>
      <c r="V285" s="1523">
        <v>30000000</v>
      </c>
      <c r="W285" s="2555">
        <v>61</v>
      </c>
      <c r="X285" s="2507" t="s">
        <v>380</v>
      </c>
      <c r="Y285" s="4117"/>
      <c r="Z285" s="4123"/>
      <c r="AA285" s="4135"/>
      <c r="AB285" s="4135"/>
      <c r="AC285" s="4135"/>
      <c r="AD285" s="4135"/>
      <c r="AE285" s="4135"/>
      <c r="AF285" s="4135"/>
      <c r="AG285" s="4135"/>
      <c r="AH285" s="4135"/>
      <c r="AI285" s="4135"/>
      <c r="AJ285" s="4135"/>
      <c r="AK285" s="4135"/>
      <c r="AL285" s="4135"/>
      <c r="AM285" s="4135"/>
      <c r="AN285" s="4135"/>
      <c r="AO285" s="4149"/>
      <c r="AP285" s="4149"/>
      <c r="AQ285" s="4152"/>
      <c r="AR285" s="2593"/>
      <c r="AS285" s="1188"/>
      <c r="AT285" s="1188"/>
      <c r="AU285" s="1188"/>
      <c r="AV285" s="1188"/>
      <c r="AW285" s="1188"/>
      <c r="AX285" s="1188"/>
      <c r="AY285" s="1188"/>
      <c r="AZ285" s="1188"/>
      <c r="BA285" s="1188"/>
      <c r="BB285" s="1188"/>
      <c r="BC285" s="1188"/>
      <c r="BD285" s="1188"/>
      <c r="BE285" s="1188"/>
      <c r="BF285" s="1188"/>
      <c r="BG285" s="1188"/>
      <c r="BH285" s="1188"/>
      <c r="BI285" s="1188"/>
      <c r="BJ285" s="1188"/>
      <c r="BK285" s="1188"/>
      <c r="BL285" s="1188"/>
      <c r="BM285" s="1188"/>
      <c r="BN285" s="1188"/>
      <c r="BO285" s="1188"/>
      <c r="BP285" s="1188"/>
      <c r="BQ285" s="1188"/>
      <c r="BR285" s="1188"/>
      <c r="BS285" s="1188"/>
      <c r="BT285" s="1188"/>
      <c r="BU285" s="1188"/>
      <c r="BV285" s="1188"/>
      <c r="BW285" s="1188"/>
      <c r="BX285" s="1188"/>
      <c r="BY285" s="1188"/>
      <c r="BZ285" s="1188"/>
      <c r="CA285" s="1188"/>
      <c r="CB285" s="1188"/>
      <c r="CC285" s="1188"/>
      <c r="CD285" s="1188"/>
      <c r="CE285" s="1188"/>
      <c r="CF285" s="1188"/>
      <c r="CG285" s="1188"/>
      <c r="CH285" s="1188"/>
      <c r="CI285" s="1188"/>
      <c r="CJ285" s="1188"/>
      <c r="CK285" s="1188"/>
      <c r="CL285" s="1188"/>
      <c r="CM285" s="1188"/>
      <c r="CN285" s="1188"/>
      <c r="CO285" s="1188"/>
      <c r="CP285" s="1188"/>
      <c r="CQ285" s="1188"/>
      <c r="CR285" s="1188"/>
      <c r="CS285" s="1188"/>
      <c r="CT285" s="1188"/>
      <c r="CU285" s="1188"/>
      <c r="CV285" s="1188"/>
      <c r="CW285" s="1188"/>
      <c r="CX285" s="1188"/>
      <c r="CY285" s="1188"/>
      <c r="CZ285" s="1188"/>
      <c r="DA285" s="1188"/>
      <c r="DB285" s="1188"/>
      <c r="DC285" s="1188"/>
      <c r="DD285" s="1188"/>
      <c r="DE285" s="1188"/>
      <c r="DF285" s="1188"/>
      <c r="DG285" s="1188"/>
      <c r="DH285" s="1188"/>
      <c r="DI285" s="1188"/>
      <c r="DJ285" s="1188"/>
      <c r="DK285" s="1188"/>
      <c r="DL285" s="1188"/>
      <c r="DM285" s="1188"/>
      <c r="DN285" s="1188"/>
      <c r="DO285" s="1188"/>
      <c r="DP285" s="1188"/>
      <c r="DQ285" s="1188"/>
      <c r="DR285" s="1188"/>
      <c r="DS285" s="1188"/>
      <c r="DT285" s="1188"/>
      <c r="DU285" s="1188"/>
      <c r="DV285" s="1188"/>
      <c r="DW285" s="1188"/>
      <c r="DX285" s="1188"/>
      <c r="DY285" s="1188"/>
      <c r="DZ285" s="1188"/>
      <c r="EA285" s="1188"/>
      <c r="EB285" s="1188"/>
      <c r="EC285" s="1188"/>
      <c r="ED285" s="1188"/>
      <c r="EE285" s="1188"/>
      <c r="EF285" s="1188"/>
      <c r="EG285" s="1188"/>
      <c r="EH285" s="1188"/>
      <c r="EI285" s="1188"/>
      <c r="EJ285" s="1188"/>
      <c r="EK285" s="1188"/>
      <c r="EL285" s="1188"/>
      <c r="EM285" s="1188"/>
      <c r="EN285" s="1188"/>
      <c r="EO285" s="1188"/>
      <c r="EP285" s="1188"/>
      <c r="EQ285" s="1188"/>
      <c r="ER285" s="1188"/>
      <c r="ES285" s="1188"/>
      <c r="ET285" s="1188"/>
      <c r="EU285" s="1188"/>
      <c r="EV285" s="1188"/>
      <c r="EW285" s="1188"/>
      <c r="EX285" s="1188"/>
      <c r="EY285" s="1188"/>
      <c r="EZ285" s="1188"/>
      <c r="FA285" s="1188"/>
      <c r="FB285" s="1188"/>
      <c r="FC285" s="1188"/>
      <c r="FD285" s="1188"/>
      <c r="FE285" s="1188"/>
      <c r="FF285" s="1188"/>
      <c r="FG285" s="1188"/>
      <c r="FH285" s="1188"/>
      <c r="FI285" s="1188"/>
      <c r="FJ285" s="1188"/>
      <c r="FK285" s="1188"/>
      <c r="FL285" s="1188"/>
      <c r="FM285" s="1188"/>
      <c r="FN285" s="1188"/>
      <c r="FO285" s="1188"/>
      <c r="FP285" s="1188"/>
      <c r="FQ285" s="1188"/>
      <c r="FR285" s="1188"/>
      <c r="FS285" s="1188"/>
      <c r="FT285" s="1188"/>
      <c r="FU285" s="1188"/>
      <c r="FV285" s="1188"/>
      <c r="FW285" s="1188"/>
      <c r="FX285" s="1188"/>
      <c r="FY285" s="1188"/>
      <c r="FZ285" s="1188"/>
      <c r="GA285" s="1188"/>
      <c r="GB285" s="1188"/>
      <c r="GC285" s="1188"/>
      <c r="GD285" s="1188"/>
      <c r="GE285" s="1188"/>
      <c r="GF285" s="1188"/>
      <c r="GG285" s="1188"/>
      <c r="GH285" s="1188"/>
      <c r="GI285" s="1188"/>
      <c r="GJ285" s="1188"/>
      <c r="GK285" s="1188"/>
      <c r="GL285" s="1188"/>
      <c r="GM285" s="1188"/>
      <c r="GN285" s="1188"/>
      <c r="GO285" s="1188"/>
      <c r="GP285" s="1188"/>
      <c r="GQ285" s="1188"/>
      <c r="GR285" s="1188"/>
      <c r="GS285" s="1188"/>
      <c r="GT285" s="1188"/>
      <c r="GU285" s="1188"/>
      <c r="GV285" s="1188"/>
      <c r="GW285" s="1188"/>
      <c r="GX285" s="1188"/>
      <c r="GY285" s="1188"/>
      <c r="GZ285" s="1188"/>
      <c r="HA285" s="1188"/>
      <c r="HB285" s="1188"/>
      <c r="HC285" s="1188"/>
      <c r="HD285" s="1188"/>
      <c r="HE285" s="1188"/>
      <c r="HF285" s="1188"/>
      <c r="HG285" s="1188"/>
      <c r="HH285" s="1188"/>
      <c r="HI285" s="1188"/>
      <c r="HJ285" s="1188"/>
      <c r="HK285" s="1188"/>
      <c r="HL285" s="1188"/>
      <c r="HM285" s="1188"/>
      <c r="HN285" s="1188"/>
      <c r="HO285" s="1188"/>
      <c r="HP285" s="1188"/>
      <c r="HQ285" s="1188"/>
      <c r="HR285" s="1188"/>
      <c r="HS285" s="1188"/>
      <c r="HT285" s="1188"/>
      <c r="HU285" s="1188"/>
      <c r="HV285" s="1188"/>
      <c r="HW285" s="1188"/>
      <c r="HX285" s="1188"/>
      <c r="HY285" s="1188"/>
      <c r="HZ285" s="1188"/>
      <c r="IA285" s="1188"/>
      <c r="IB285" s="1188"/>
      <c r="IC285" s="1188"/>
      <c r="ID285" s="1188"/>
      <c r="IE285" s="1188"/>
      <c r="IF285" s="1188"/>
      <c r="IG285" s="1188"/>
      <c r="IH285" s="1188"/>
      <c r="II285" s="1188"/>
      <c r="IJ285" s="1188"/>
      <c r="IK285" s="1188"/>
      <c r="IL285" s="1188"/>
      <c r="IM285" s="1188"/>
      <c r="IN285" s="1188"/>
      <c r="IO285" s="1188"/>
      <c r="IP285" s="1188"/>
      <c r="IQ285" s="1188"/>
      <c r="IR285" s="1188"/>
      <c r="IS285" s="1188"/>
      <c r="IT285" s="1188"/>
      <c r="IU285" s="1188"/>
      <c r="IV285" s="1188"/>
      <c r="IW285" s="1188"/>
      <c r="IX285" s="1188"/>
      <c r="IY285" s="1188"/>
      <c r="IZ285" s="1188"/>
      <c r="JA285" s="1188"/>
      <c r="JB285" s="1188"/>
      <c r="JC285" s="1188"/>
      <c r="JD285" s="1188"/>
      <c r="JE285" s="1188"/>
      <c r="JF285" s="1188"/>
      <c r="JG285" s="1188"/>
      <c r="JH285" s="1188"/>
      <c r="JI285" s="1188"/>
      <c r="JJ285" s="1188"/>
      <c r="JK285" s="1188"/>
      <c r="JL285" s="1188"/>
      <c r="JM285" s="1188"/>
      <c r="JN285" s="1188"/>
      <c r="JO285" s="1188"/>
      <c r="JP285" s="1188"/>
      <c r="JQ285" s="1188"/>
      <c r="JR285" s="1188"/>
      <c r="JS285" s="1188"/>
      <c r="JT285" s="1188"/>
      <c r="JU285" s="1188"/>
      <c r="JV285" s="1188"/>
      <c r="JW285" s="1188"/>
      <c r="JX285" s="1188"/>
      <c r="JY285" s="1188"/>
      <c r="JZ285" s="1188"/>
      <c r="KA285" s="1188"/>
      <c r="KB285" s="1188"/>
      <c r="KC285" s="1188"/>
      <c r="KD285" s="1188"/>
      <c r="KE285" s="1188"/>
      <c r="KF285" s="1188"/>
      <c r="KG285" s="1188"/>
      <c r="KH285" s="1188"/>
      <c r="KI285" s="1188"/>
      <c r="KJ285" s="1188"/>
      <c r="KK285" s="1188"/>
      <c r="KL285" s="1188"/>
      <c r="KM285" s="1188"/>
      <c r="KN285" s="1188"/>
      <c r="KO285" s="1188"/>
      <c r="KP285" s="1188"/>
      <c r="KQ285" s="1188"/>
      <c r="KR285" s="1188"/>
    </row>
    <row r="286" spans="1:304" ht="15" x14ac:dyDescent="0.2">
      <c r="A286" s="1199"/>
      <c r="C286" s="1227"/>
      <c r="D286" s="1280">
        <v>13</v>
      </c>
      <c r="E286" s="1281" t="s">
        <v>533</v>
      </c>
      <c r="F286" s="1281"/>
      <c r="G286" s="1282"/>
      <c r="H286" s="1282"/>
      <c r="I286" s="1282"/>
      <c r="J286" s="1282"/>
      <c r="K286" s="1283"/>
      <c r="L286" s="1282"/>
      <c r="M286" s="1282"/>
      <c r="N286" s="1284"/>
      <c r="O286" s="1282"/>
      <c r="P286" s="1283"/>
      <c r="Q286" s="1282"/>
      <c r="R286" s="1285"/>
      <c r="S286" s="1282"/>
      <c r="T286" s="1283"/>
      <c r="U286" s="1283"/>
      <c r="V286" s="1283"/>
      <c r="W286" s="1283"/>
      <c r="X286" s="1283"/>
      <c r="Y286" s="1283"/>
      <c r="Z286" s="1283"/>
      <c r="AA286" s="1284"/>
      <c r="AB286" s="1284"/>
      <c r="AC286" s="1284"/>
      <c r="AD286" s="1284"/>
      <c r="AE286" s="1284"/>
      <c r="AF286" s="1284"/>
      <c r="AG286" s="1284"/>
      <c r="AH286" s="1284"/>
      <c r="AI286" s="1284"/>
      <c r="AJ286" s="1284"/>
      <c r="AK286" s="1284"/>
      <c r="AL286" s="1284"/>
      <c r="AM286" s="1284"/>
      <c r="AN286" s="1284"/>
      <c r="AO286" s="1282"/>
      <c r="AP286" s="1282"/>
      <c r="AQ286" s="1286"/>
    </row>
    <row r="287" spans="1:304" ht="15" x14ac:dyDescent="0.2">
      <c r="A287" s="1199"/>
      <c r="B287" s="1200"/>
      <c r="C287" s="1201"/>
      <c r="D287" s="4305"/>
      <c r="E287" s="4306"/>
      <c r="F287" s="4306"/>
      <c r="G287" s="1234">
        <v>47</v>
      </c>
      <c r="H287" s="1205" t="s">
        <v>534</v>
      </c>
      <c r="I287" s="1205"/>
      <c r="J287" s="1205"/>
      <c r="K287" s="1206"/>
      <c r="L287" s="1205"/>
      <c r="M287" s="1205"/>
      <c r="N287" s="1207"/>
      <c r="O287" s="1205"/>
      <c r="P287" s="1206"/>
      <c r="Q287" s="1205"/>
      <c r="R287" s="1235"/>
      <c r="S287" s="1205"/>
      <c r="T287" s="1206"/>
      <c r="U287" s="1206"/>
      <c r="V287" s="1206"/>
      <c r="W287" s="1206"/>
      <c r="X287" s="1206"/>
      <c r="Y287" s="1206"/>
      <c r="Z287" s="1206"/>
      <c r="AA287" s="1207"/>
      <c r="AB287" s="1207"/>
      <c r="AC287" s="1207"/>
      <c r="AD287" s="1207"/>
      <c r="AE287" s="1207"/>
      <c r="AF287" s="1207"/>
      <c r="AG287" s="1207"/>
      <c r="AH287" s="1207"/>
      <c r="AI287" s="1207"/>
      <c r="AJ287" s="1207"/>
      <c r="AK287" s="1207"/>
      <c r="AL287" s="1207"/>
      <c r="AM287" s="1207"/>
      <c r="AN287" s="1207"/>
      <c r="AO287" s="1205"/>
      <c r="AP287" s="1205"/>
      <c r="AQ287" s="1212"/>
    </row>
    <row r="288" spans="1:304" ht="48" customHeight="1" x14ac:dyDescent="0.2">
      <c r="A288" s="1199"/>
      <c r="B288" s="1200"/>
      <c r="C288" s="1201"/>
      <c r="D288" s="4307"/>
      <c r="E288" s="4308"/>
      <c r="F288" s="4308"/>
      <c r="G288" s="4278"/>
      <c r="H288" s="4278"/>
      <c r="I288" s="4278"/>
      <c r="J288" s="4129">
        <v>163</v>
      </c>
      <c r="K288" s="4311" t="s">
        <v>535</v>
      </c>
      <c r="L288" s="4278" t="s">
        <v>169</v>
      </c>
      <c r="M288" s="4278">
        <v>12</v>
      </c>
      <c r="N288" s="4311" t="s">
        <v>536</v>
      </c>
      <c r="O288" s="4278" t="s">
        <v>537</v>
      </c>
      <c r="P288" s="4278" t="s">
        <v>538</v>
      </c>
      <c r="Q288" s="4319">
        <f>(V288+V289)/R288</f>
        <v>1.4060603761882717E-3</v>
      </c>
      <c r="R288" s="4320">
        <f>SUM(V288:V299)</f>
        <v>21905175995</v>
      </c>
      <c r="S288" s="4321" t="s">
        <v>539</v>
      </c>
      <c r="T288" s="4145" t="s">
        <v>540</v>
      </c>
      <c r="U288" s="1287" t="s">
        <v>541</v>
      </c>
      <c r="V288" s="1522">
        <v>15400000</v>
      </c>
      <c r="W288" s="2572">
        <v>20</v>
      </c>
      <c r="X288" s="2573" t="s">
        <v>542</v>
      </c>
      <c r="Y288" s="4129">
        <v>292684</v>
      </c>
      <c r="Z288" s="4278">
        <v>282326</v>
      </c>
      <c r="AA288" s="4313">
        <v>135912</v>
      </c>
      <c r="AB288" s="4313">
        <v>45122</v>
      </c>
      <c r="AC288" s="4313">
        <f>SUM(AC274)</f>
        <v>307101</v>
      </c>
      <c r="AD288" s="4313">
        <f>SUM(AD274)</f>
        <v>86875</v>
      </c>
      <c r="AE288" s="4313">
        <v>2145</v>
      </c>
      <c r="AF288" s="4313">
        <v>12718</v>
      </c>
      <c r="AG288" s="4313">
        <v>26</v>
      </c>
      <c r="AH288" s="4313">
        <v>37</v>
      </c>
      <c r="AI288" s="4313" t="s">
        <v>177</v>
      </c>
      <c r="AJ288" s="4313" t="s">
        <v>177</v>
      </c>
      <c r="AK288" s="4313">
        <v>53164</v>
      </c>
      <c r="AL288" s="4313">
        <v>16982</v>
      </c>
      <c r="AM288" s="4313">
        <v>60013</v>
      </c>
      <c r="AN288" s="4131">
        <v>575010</v>
      </c>
      <c r="AO288" s="4302">
        <v>43467</v>
      </c>
      <c r="AP288" s="4302">
        <v>43830</v>
      </c>
      <c r="AQ288" s="4151" t="s">
        <v>178</v>
      </c>
      <c r="AR288" s="2594"/>
    </row>
    <row r="289" spans="1:175" ht="63.75" customHeight="1" x14ac:dyDescent="0.2">
      <c r="A289" s="1199"/>
      <c r="B289" s="1200"/>
      <c r="C289" s="1201"/>
      <c r="D289" s="4307"/>
      <c r="E289" s="4308"/>
      <c r="F289" s="4308"/>
      <c r="G289" s="4122"/>
      <c r="H289" s="4122"/>
      <c r="I289" s="4122"/>
      <c r="J289" s="4129"/>
      <c r="K289" s="4312"/>
      <c r="L289" s="4278"/>
      <c r="M289" s="4278"/>
      <c r="N289" s="4312"/>
      <c r="O289" s="4278"/>
      <c r="P289" s="4278"/>
      <c r="Q289" s="4319"/>
      <c r="R289" s="4320"/>
      <c r="S289" s="4322"/>
      <c r="T289" s="4147"/>
      <c r="U289" s="1287" t="s">
        <v>543</v>
      </c>
      <c r="V289" s="1522">
        <v>15400000</v>
      </c>
      <c r="W289" s="2572">
        <v>20</v>
      </c>
      <c r="X289" s="2573" t="s">
        <v>542</v>
      </c>
      <c r="Y289" s="4129"/>
      <c r="Z289" s="4278"/>
      <c r="AA289" s="4313"/>
      <c r="AB289" s="4313"/>
      <c r="AC289" s="4313"/>
      <c r="AD289" s="4313"/>
      <c r="AE289" s="4313"/>
      <c r="AF289" s="4313"/>
      <c r="AG289" s="4313"/>
      <c r="AH289" s="4313"/>
      <c r="AI289" s="4313"/>
      <c r="AJ289" s="4313"/>
      <c r="AK289" s="4313"/>
      <c r="AL289" s="4313"/>
      <c r="AM289" s="4313"/>
      <c r="AN289" s="4132"/>
      <c r="AO289" s="4302"/>
      <c r="AP289" s="4302"/>
      <c r="AQ289" s="4152"/>
      <c r="AR289" s="2594"/>
    </row>
    <row r="290" spans="1:175" ht="35.1" customHeight="1" x14ac:dyDescent="0.2">
      <c r="A290" s="1199"/>
      <c r="B290" s="1200"/>
      <c r="C290" s="1201"/>
      <c r="D290" s="4307"/>
      <c r="E290" s="4308"/>
      <c r="F290" s="4308"/>
      <c r="G290" s="1288">
        <v>48</v>
      </c>
      <c r="H290" s="1289" t="s">
        <v>544</v>
      </c>
      <c r="I290" s="1289"/>
      <c r="J290" s="1290"/>
      <c r="K290" s="1291"/>
      <c r="L290" s="1205"/>
      <c r="M290" s="1205"/>
      <c r="N290" s="1207"/>
      <c r="O290" s="4278"/>
      <c r="P290" s="4278"/>
      <c r="Q290" s="1292"/>
      <c r="R290" s="4320"/>
      <c r="S290" s="4322"/>
      <c r="T290" s="1291"/>
      <c r="U290" s="1291"/>
      <c r="V290" s="1555"/>
      <c r="W290" s="1556"/>
      <c r="X290" s="1551"/>
      <c r="Y290" s="4129"/>
      <c r="Z290" s="4278"/>
      <c r="AA290" s="4313"/>
      <c r="AB290" s="4313"/>
      <c r="AC290" s="4313"/>
      <c r="AD290" s="4313"/>
      <c r="AE290" s="4313"/>
      <c r="AF290" s="4313"/>
      <c r="AG290" s="4313"/>
      <c r="AH290" s="4313"/>
      <c r="AI290" s="4313"/>
      <c r="AJ290" s="4313"/>
      <c r="AK290" s="4313"/>
      <c r="AL290" s="4313"/>
      <c r="AM290" s="4313"/>
      <c r="AN290" s="4132"/>
      <c r="AO290" s="4302"/>
      <c r="AP290" s="4302"/>
      <c r="AQ290" s="4152"/>
    </row>
    <row r="291" spans="1:175" ht="35.1" customHeight="1" x14ac:dyDescent="0.2">
      <c r="A291" s="1199"/>
      <c r="B291" s="1200"/>
      <c r="C291" s="1201"/>
      <c r="D291" s="4307"/>
      <c r="E291" s="4308"/>
      <c r="F291" s="4308"/>
      <c r="G291" s="4324"/>
      <c r="H291" s="4324"/>
      <c r="I291" s="4324"/>
      <c r="J291" s="4325">
        <v>164</v>
      </c>
      <c r="K291" s="4270" t="s">
        <v>545</v>
      </c>
      <c r="L291" s="4326" t="s">
        <v>169</v>
      </c>
      <c r="M291" s="4311">
        <v>12</v>
      </c>
      <c r="N291" s="4265" t="s">
        <v>546</v>
      </c>
      <c r="O291" s="4278"/>
      <c r="P291" s="4278"/>
      <c r="Q291" s="4330">
        <f>SUM(V291:V294)/R288</f>
        <v>0.99526139392700186</v>
      </c>
      <c r="R291" s="4320"/>
      <c r="S291" s="4322"/>
      <c r="T291" s="4270" t="s">
        <v>547</v>
      </c>
      <c r="U291" s="4314" t="s">
        <v>548</v>
      </c>
      <c r="V291" s="1538">
        <f>21153943161-78204383+314128486-989543606-368255160+153291909</f>
        <v>20185360407</v>
      </c>
      <c r="W291" s="2574">
        <v>154</v>
      </c>
      <c r="X291" s="2515" t="s">
        <v>549</v>
      </c>
      <c r="Y291" s="4129"/>
      <c r="Z291" s="4278"/>
      <c r="AA291" s="4313"/>
      <c r="AB291" s="4313"/>
      <c r="AC291" s="4313"/>
      <c r="AD291" s="4313"/>
      <c r="AE291" s="4313"/>
      <c r="AF291" s="4313"/>
      <c r="AG291" s="4313"/>
      <c r="AH291" s="4313"/>
      <c r="AI291" s="4313"/>
      <c r="AJ291" s="4313"/>
      <c r="AK291" s="4313"/>
      <c r="AL291" s="4313"/>
      <c r="AM291" s="4313"/>
      <c r="AN291" s="4132"/>
      <c r="AO291" s="4302"/>
      <c r="AP291" s="4302"/>
      <c r="AQ291" s="4152"/>
    </row>
    <row r="292" spans="1:175" ht="35.1" customHeight="1" x14ac:dyDescent="0.2">
      <c r="A292" s="1199"/>
      <c r="B292" s="1200"/>
      <c r="C292" s="1201"/>
      <c r="D292" s="4307"/>
      <c r="E292" s="4308"/>
      <c r="F292" s="4308"/>
      <c r="G292" s="4324"/>
      <c r="H292" s="4324"/>
      <c r="I292" s="4324"/>
      <c r="J292" s="4325"/>
      <c r="K292" s="4270"/>
      <c r="L292" s="4327"/>
      <c r="M292" s="4329"/>
      <c r="N292" s="4266"/>
      <c r="O292" s="4278"/>
      <c r="P292" s="4278"/>
      <c r="Q292" s="4331"/>
      <c r="R292" s="4320"/>
      <c r="S292" s="4322"/>
      <c r="T292" s="4270"/>
      <c r="U292" s="4314"/>
      <c r="V292" s="1538">
        <v>78204383</v>
      </c>
      <c r="W292" s="2574">
        <v>154</v>
      </c>
      <c r="X292" s="2515" t="s">
        <v>550</v>
      </c>
      <c r="Y292" s="4129"/>
      <c r="Z292" s="4278"/>
      <c r="AA292" s="4313"/>
      <c r="AB292" s="4313"/>
      <c r="AC292" s="4313"/>
      <c r="AD292" s="4313"/>
      <c r="AE292" s="4313"/>
      <c r="AF292" s="4313"/>
      <c r="AG292" s="4313"/>
      <c r="AH292" s="4313"/>
      <c r="AI292" s="4313"/>
      <c r="AJ292" s="4313"/>
      <c r="AK292" s="4313"/>
      <c r="AL292" s="4313"/>
      <c r="AM292" s="4313"/>
      <c r="AN292" s="4132"/>
      <c r="AO292" s="4302"/>
      <c r="AP292" s="4302"/>
      <c r="AQ292" s="4152"/>
    </row>
    <row r="293" spans="1:175" ht="35.1" customHeight="1" x14ac:dyDescent="0.2">
      <c r="A293" s="1199"/>
      <c r="B293" s="1200"/>
      <c r="C293" s="1201"/>
      <c r="D293" s="4307"/>
      <c r="E293" s="4308"/>
      <c r="F293" s="4308"/>
      <c r="G293" s="4324"/>
      <c r="H293" s="4324"/>
      <c r="I293" s="4324"/>
      <c r="J293" s="4325"/>
      <c r="K293" s="4270"/>
      <c r="L293" s="4327"/>
      <c r="M293" s="4329"/>
      <c r="N293" s="4266"/>
      <c r="O293" s="4278"/>
      <c r="P293" s="4278"/>
      <c r="Q293" s="4331"/>
      <c r="R293" s="4320"/>
      <c r="S293" s="4322"/>
      <c r="T293" s="4270"/>
      <c r="U293" s="4314"/>
      <c r="V293" s="1539">
        <v>180012439</v>
      </c>
      <c r="W293" s="2574">
        <v>148</v>
      </c>
      <c r="X293" s="2515" t="s">
        <v>551</v>
      </c>
      <c r="Y293" s="4129"/>
      <c r="Z293" s="4278"/>
      <c r="AA293" s="4313"/>
      <c r="AB293" s="4313"/>
      <c r="AC293" s="4313"/>
      <c r="AD293" s="4313"/>
      <c r="AE293" s="4313"/>
      <c r="AF293" s="4313"/>
      <c r="AG293" s="4313"/>
      <c r="AH293" s="4313"/>
      <c r="AI293" s="4313"/>
      <c r="AJ293" s="4313"/>
      <c r="AK293" s="4313"/>
      <c r="AL293" s="4313"/>
      <c r="AM293" s="4313"/>
      <c r="AN293" s="4132"/>
      <c r="AO293" s="4302"/>
      <c r="AP293" s="4302"/>
      <c r="AQ293" s="4152"/>
    </row>
    <row r="294" spans="1:175" ht="48.75" customHeight="1" x14ac:dyDescent="0.2">
      <c r="A294" s="1199"/>
      <c r="B294" s="1200"/>
      <c r="C294" s="1201"/>
      <c r="D294" s="4307"/>
      <c r="E294" s="4308"/>
      <c r="F294" s="4308"/>
      <c r="G294" s="4324"/>
      <c r="H294" s="4324"/>
      <c r="I294" s="4324"/>
      <c r="J294" s="4325"/>
      <c r="K294" s="4270"/>
      <c r="L294" s="4328"/>
      <c r="M294" s="4312"/>
      <c r="N294" s="4267"/>
      <c r="O294" s="4278"/>
      <c r="P294" s="4278"/>
      <c r="Q294" s="4332"/>
      <c r="R294" s="4320"/>
      <c r="S294" s="4322"/>
      <c r="T294" s="4270"/>
      <c r="U294" s="4315"/>
      <c r="V294" s="1682">
        <f>0+989543606+368255160</f>
        <v>1357798766</v>
      </c>
      <c r="W294" s="1680">
        <v>64</v>
      </c>
      <c r="X294" s="1683" t="s">
        <v>552</v>
      </c>
      <c r="Y294" s="4243"/>
      <c r="Z294" s="4278"/>
      <c r="AA294" s="4313"/>
      <c r="AB294" s="4313"/>
      <c r="AC294" s="4313"/>
      <c r="AD294" s="4313"/>
      <c r="AE294" s="4313"/>
      <c r="AF294" s="4313"/>
      <c r="AG294" s="4313"/>
      <c r="AH294" s="4313"/>
      <c r="AI294" s="4313"/>
      <c r="AJ294" s="4313"/>
      <c r="AK294" s="4313"/>
      <c r="AL294" s="4313"/>
      <c r="AM294" s="4313"/>
      <c r="AN294" s="4132"/>
      <c r="AO294" s="4302"/>
      <c r="AP294" s="4302"/>
      <c r="AQ294" s="4152"/>
    </row>
    <row r="295" spans="1:175" ht="35.1" customHeight="1" x14ac:dyDescent="0.2">
      <c r="A295" s="1199"/>
      <c r="B295" s="1200"/>
      <c r="C295" s="1201"/>
      <c r="D295" s="4307"/>
      <c r="E295" s="4308"/>
      <c r="F295" s="4308"/>
      <c r="G295" s="1293">
        <v>49</v>
      </c>
      <c r="H295" s="1294" t="s">
        <v>553</v>
      </c>
      <c r="I295" s="1294"/>
      <c r="J295" s="1294"/>
      <c r="K295" s="1295"/>
      <c r="L295" s="1205"/>
      <c r="M295" s="1205"/>
      <c r="N295" s="1207"/>
      <c r="O295" s="4278"/>
      <c r="P295" s="4278"/>
      <c r="Q295" s="1292"/>
      <c r="R295" s="4320"/>
      <c r="S295" s="4322"/>
      <c r="T295" s="2575"/>
      <c r="U295" s="1295"/>
      <c r="V295" s="1549"/>
      <c r="W295" s="1681"/>
      <c r="X295" s="1681"/>
      <c r="Y295" s="4129"/>
      <c r="Z295" s="4278"/>
      <c r="AA295" s="4313"/>
      <c r="AB295" s="4313"/>
      <c r="AC295" s="4313"/>
      <c r="AD295" s="4313"/>
      <c r="AE295" s="4313"/>
      <c r="AF295" s="4313"/>
      <c r="AG295" s="4313"/>
      <c r="AH295" s="4313"/>
      <c r="AI295" s="4313"/>
      <c r="AJ295" s="4313"/>
      <c r="AK295" s="4313"/>
      <c r="AL295" s="4313"/>
      <c r="AM295" s="4313"/>
      <c r="AN295" s="4132"/>
      <c r="AO295" s="4302"/>
      <c r="AP295" s="4302"/>
      <c r="AQ295" s="4152"/>
    </row>
    <row r="296" spans="1:175" ht="35.25" customHeight="1" x14ac:dyDescent="0.2">
      <c r="A296" s="1199"/>
      <c r="B296" s="1200"/>
      <c r="C296" s="1201"/>
      <c r="D296" s="4307"/>
      <c r="E296" s="4308"/>
      <c r="F296" s="4308"/>
      <c r="G296" s="4278"/>
      <c r="H296" s="4278"/>
      <c r="I296" s="4278"/>
      <c r="J296" s="4129">
        <v>165</v>
      </c>
      <c r="K296" s="4204" t="s">
        <v>554</v>
      </c>
      <c r="L296" s="4278" t="s">
        <v>169</v>
      </c>
      <c r="M296" s="4278">
        <v>12</v>
      </c>
      <c r="N296" s="4278" t="s">
        <v>555</v>
      </c>
      <c r="O296" s="4278"/>
      <c r="P296" s="4278"/>
      <c r="Q296" s="4319">
        <f>SUM(V296:V299)/R288</f>
        <v>3.3325456968098647E-3</v>
      </c>
      <c r="R296" s="4320"/>
      <c r="S296" s="4322"/>
      <c r="T296" s="4316" t="s">
        <v>556</v>
      </c>
      <c r="U296" s="4317" t="s">
        <v>557</v>
      </c>
      <c r="V296" s="1523">
        <v>10500000</v>
      </c>
      <c r="W296" s="2576">
        <v>20</v>
      </c>
      <c r="X296" s="2507" t="s">
        <v>542</v>
      </c>
      <c r="Y296" s="4129"/>
      <c r="Z296" s="4278"/>
      <c r="AA296" s="4313"/>
      <c r="AB296" s="4313"/>
      <c r="AC296" s="4313"/>
      <c r="AD296" s="4313"/>
      <c r="AE296" s="4313"/>
      <c r="AF296" s="4313"/>
      <c r="AG296" s="4313"/>
      <c r="AH296" s="4313"/>
      <c r="AI296" s="4313"/>
      <c r="AJ296" s="4313"/>
      <c r="AK296" s="4313"/>
      <c r="AL296" s="4313"/>
      <c r="AM296" s="4313"/>
      <c r="AN296" s="4132"/>
      <c r="AO296" s="4302"/>
      <c r="AP296" s="4302"/>
      <c r="AQ296" s="4152"/>
    </row>
    <row r="297" spans="1:175" ht="30" customHeight="1" x14ac:dyDescent="0.2">
      <c r="A297" s="1199"/>
      <c r="B297" s="1200"/>
      <c r="C297" s="1201"/>
      <c r="D297" s="4307"/>
      <c r="E297" s="4308"/>
      <c r="F297" s="4308"/>
      <c r="G297" s="4278"/>
      <c r="H297" s="4278"/>
      <c r="I297" s="4278"/>
      <c r="J297" s="4129"/>
      <c r="K297" s="4204"/>
      <c r="L297" s="4278"/>
      <c r="M297" s="4278"/>
      <c r="N297" s="4278"/>
      <c r="O297" s="4278"/>
      <c r="P297" s="4278"/>
      <c r="Q297" s="4319"/>
      <c r="R297" s="4320"/>
      <c r="S297" s="4322"/>
      <c r="T297" s="4316"/>
      <c r="U297" s="4318"/>
      <c r="V297" s="1522">
        <v>26000000</v>
      </c>
      <c r="W297" s="2576">
        <v>96</v>
      </c>
      <c r="X297" s="2507" t="s">
        <v>558</v>
      </c>
      <c r="Y297" s="4129"/>
      <c r="Z297" s="4278"/>
      <c r="AA297" s="4313"/>
      <c r="AB297" s="4313"/>
      <c r="AC297" s="4313"/>
      <c r="AD297" s="4313"/>
      <c r="AE297" s="4313"/>
      <c r="AF297" s="4313"/>
      <c r="AG297" s="4313"/>
      <c r="AH297" s="4313"/>
      <c r="AI297" s="4313"/>
      <c r="AJ297" s="4313"/>
      <c r="AK297" s="4313"/>
      <c r="AL297" s="4313"/>
      <c r="AM297" s="4313"/>
      <c r="AN297" s="4132"/>
      <c r="AO297" s="4302"/>
      <c r="AP297" s="4302"/>
      <c r="AQ297" s="4152"/>
      <c r="AR297" s="2598"/>
    </row>
    <row r="298" spans="1:175" ht="33.75" customHeight="1" x14ac:dyDescent="0.2">
      <c r="A298" s="1199"/>
      <c r="B298" s="1200"/>
      <c r="C298" s="1201"/>
      <c r="D298" s="4307"/>
      <c r="E298" s="4308"/>
      <c r="F298" s="4308"/>
      <c r="G298" s="4278"/>
      <c r="H298" s="4278"/>
      <c r="I298" s="4278"/>
      <c r="J298" s="4129"/>
      <c r="K298" s="4204"/>
      <c r="L298" s="4278"/>
      <c r="M298" s="4278"/>
      <c r="N298" s="4278"/>
      <c r="O298" s="4278"/>
      <c r="P298" s="4278"/>
      <c r="Q298" s="4319"/>
      <c r="R298" s="4320"/>
      <c r="S298" s="4322"/>
      <c r="T298" s="4316"/>
      <c r="U298" s="4317" t="s">
        <v>559</v>
      </c>
      <c r="V298" s="1522">
        <v>10500000</v>
      </c>
      <c r="W298" s="2576">
        <v>20</v>
      </c>
      <c r="X298" s="2507" t="s">
        <v>542</v>
      </c>
      <c r="Y298" s="4129"/>
      <c r="Z298" s="4278"/>
      <c r="AA298" s="4313"/>
      <c r="AB298" s="4313"/>
      <c r="AC298" s="4313"/>
      <c r="AD298" s="4313"/>
      <c r="AE298" s="4313"/>
      <c r="AF298" s="4313"/>
      <c r="AG298" s="4313"/>
      <c r="AH298" s="4313"/>
      <c r="AI298" s="4313"/>
      <c r="AJ298" s="4313"/>
      <c r="AK298" s="4313"/>
      <c r="AL298" s="4313"/>
      <c r="AM298" s="4313"/>
      <c r="AN298" s="4132"/>
      <c r="AO298" s="4302"/>
      <c r="AP298" s="4302"/>
      <c r="AQ298" s="4152"/>
    </row>
    <row r="299" spans="1:175" ht="39.75" customHeight="1" x14ac:dyDescent="0.2">
      <c r="A299" s="1199"/>
      <c r="B299" s="1200"/>
      <c r="C299" s="1201"/>
      <c r="D299" s="4309"/>
      <c r="E299" s="4310"/>
      <c r="F299" s="4310"/>
      <c r="G299" s="4278"/>
      <c r="H299" s="4278"/>
      <c r="I299" s="4278"/>
      <c r="J299" s="4129"/>
      <c r="K299" s="4204"/>
      <c r="L299" s="4278"/>
      <c r="M299" s="4278"/>
      <c r="N299" s="4278"/>
      <c r="O299" s="4278"/>
      <c r="P299" s="4278"/>
      <c r="Q299" s="4319"/>
      <c r="R299" s="4320"/>
      <c r="S299" s="4323"/>
      <c r="T299" s="4316"/>
      <c r="U299" s="4318"/>
      <c r="V299" s="1522">
        <v>26000000</v>
      </c>
      <c r="W299" s="2576">
        <v>96</v>
      </c>
      <c r="X299" s="2507" t="s">
        <v>558</v>
      </c>
      <c r="Y299" s="4129"/>
      <c r="Z299" s="4278"/>
      <c r="AA299" s="4313"/>
      <c r="AB299" s="4313"/>
      <c r="AC299" s="4313"/>
      <c r="AD299" s="4313"/>
      <c r="AE299" s="4313"/>
      <c r="AF299" s="4313"/>
      <c r="AG299" s="4313"/>
      <c r="AH299" s="4313"/>
      <c r="AI299" s="4313"/>
      <c r="AJ299" s="4313"/>
      <c r="AK299" s="4313"/>
      <c r="AL299" s="4313"/>
      <c r="AM299" s="4313"/>
      <c r="AN299" s="4133"/>
      <c r="AO299" s="4302"/>
      <c r="AP299" s="4302"/>
      <c r="AQ299" s="4153"/>
      <c r="AR299" s="2599"/>
    </row>
    <row r="300" spans="1:175" ht="36" customHeight="1" x14ac:dyDescent="0.2">
      <c r="A300" s="1199"/>
      <c r="C300" s="1227"/>
      <c r="D300" s="1296">
        <v>14</v>
      </c>
      <c r="E300" s="1190" t="s">
        <v>560</v>
      </c>
      <c r="F300" s="1190"/>
      <c r="G300" s="1191"/>
      <c r="H300" s="1191"/>
      <c r="I300" s="1191"/>
      <c r="J300" s="1191"/>
      <c r="K300" s="1192"/>
      <c r="L300" s="1191"/>
      <c r="M300" s="1191"/>
      <c r="N300" s="1193"/>
      <c r="O300" s="1191"/>
      <c r="P300" s="1192"/>
      <c r="Q300" s="1191"/>
      <c r="R300" s="1231"/>
      <c r="S300" s="1191"/>
      <c r="T300" s="1283"/>
      <c r="U300" s="1192"/>
      <c r="V300" s="1192"/>
      <c r="W300" s="1192"/>
      <c r="X300" s="1192"/>
      <c r="Y300" s="1192"/>
      <c r="Z300" s="1192"/>
      <c r="AA300" s="1192"/>
      <c r="AB300" s="1193"/>
      <c r="AC300" s="1193"/>
      <c r="AD300" s="1193"/>
      <c r="AE300" s="1193"/>
      <c r="AF300" s="1193"/>
      <c r="AG300" s="1193"/>
      <c r="AH300" s="1193"/>
      <c r="AI300" s="1193"/>
      <c r="AJ300" s="1193"/>
      <c r="AK300" s="1193"/>
      <c r="AL300" s="1193"/>
      <c r="AM300" s="1193"/>
      <c r="AN300" s="1193"/>
      <c r="AO300" s="1191"/>
      <c r="AP300" s="1191"/>
      <c r="AQ300" s="1198"/>
    </row>
    <row r="301" spans="1:175" ht="36" customHeight="1" x14ac:dyDescent="0.2">
      <c r="A301" s="1199"/>
      <c r="B301" s="1200"/>
      <c r="C301" s="1201"/>
      <c r="D301" s="1202"/>
      <c r="E301" s="1202"/>
      <c r="F301" s="1203"/>
      <c r="G301" s="1297">
        <v>50</v>
      </c>
      <c r="H301" s="1290" t="s">
        <v>561</v>
      </c>
      <c r="I301" s="1290"/>
      <c r="J301" s="1290"/>
      <c r="K301" s="1291"/>
      <c r="L301" s="1290"/>
      <c r="M301" s="1290"/>
      <c r="N301" s="1261"/>
      <c r="O301" s="1290"/>
      <c r="P301" s="1291"/>
      <c r="Q301" s="1290"/>
      <c r="R301" s="1298"/>
      <c r="S301" s="1290"/>
      <c r="T301" s="1291"/>
      <c r="U301" s="1291"/>
      <c r="V301" s="1552"/>
      <c r="W301" s="1553"/>
      <c r="X301" s="1554"/>
      <c r="Y301" s="1554"/>
      <c r="Z301" s="1261"/>
      <c r="AA301" s="1261"/>
      <c r="AB301" s="1261"/>
      <c r="AC301" s="1261"/>
      <c r="AD301" s="1261"/>
      <c r="AE301" s="1261"/>
      <c r="AF301" s="1261"/>
      <c r="AG301" s="1261"/>
      <c r="AH301" s="1261"/>
      <c r="AI301" s="1261"/>
      <c r="AJ301" s="1261"/>
      <c r="AK301" s="1261"/>
      <c r="AL301" s="1261"/>
      <c r="AM301" s="1261"/>
      <c r="AN301" s="1261"/>
      <c r="AO301" s="1290"/>
      <c r="AP301" s="1290"/>
      <c r="AQ301" s="1300"/>
    </row>
    <row r="302" spans="1:175" s="1303" customFormat="1" ht="105.75" customHeight="1" x14ac:dyDescent="0.2">
      <c r="A302" s="1199"/>
      <c r="B302" s="1200"/>
      <c r="C302" s="1201"/>
      <c r="D302" s="1200"/>
      <c r="E302" s="1200"/>
      <c r="F302" s="1201"/>
      <c r="G302" s="1202"/>
      <c r="H302" s="1202"/>
      <c r="I302" s="1203"/>
      <c r="J302" s="2495">
        <v>166</v>
      </c>
      <c r="K302" s="2502" t="s">
        <v>562</v>
      </c>
      <c r="L302" s="2499" t="s">
        <v>169</v>
      </c>
      <c r="M302" s="2512">
        <v>1</v>
      </c>
      <c r="N302" s="4122" t="s">
        <v>563</v>
      </c>
      <c r="O302" s="4333" t="s">
        <v>564</v>
      </c>
      <c r="P302" s="4119" t="s">
        <v>565</v>
      </c>
      <c r="Q302" s="2491">
        <v>0</v>
      </c>
      <c r="R302" s="4142">
        <f>SUM(V302:V317)</f>
        <v>18297925731.689999</v>
      </c>
      <c r="S302" s="4119" t="s">
        <v>566</v>
      </c>
      <c r="T302" s="2494" t="s">
        <v>567</v>
      </c>
      <c r="U302" s="1301" t="s">
        <v>568</v>
      </c>
      <c r="V302" s="1530">
        <v>0</v>
      </c>
      <c r="W302" s="2577"/>
      <c r="X302" s="1325"/>
      <c r="Y302" s="4116">
        <v>292684</v>
      </c>
      <c r="Z302" s="4122">
        <v>282326</v>
      </c>
      <c r="AA302" s="4134">
        <v>135912</v>
      </c>
      <c r="AB302" s="4134">
        <v>45122</v>
      </c>
      <c r="AC302" s="4134">
        <f>SUM(AC288)</f>
        <v>307101</v>
      </c>
      <c r="AD302" s="4134">
        <f>SUM(AD288)</f>
        <v>86875</v>
      </c>
      <c r="AE302" s="4134">
        <v>2145</v>
      </c>
      <c r="AF302" s="4338">
        <v>12718</v>
      </c>
      <c r="AG302" s="4338">
        <v>26</v>
      </c>
      <c r="AH302" s="4338">
        <v>37</v>
      </c>
      <c r="AI302" s="4338" t="s">
        <v>177</v>
      </c>
      <c r="AJ302" s="4338" t="s">
        <v>177</v>
      </c>
      <c r="AK302" s="4338">
        <v>53164</v>
      </c>
      <c r="AL302" s="4338">
        <v>16982</v>
      </c>
      <c r="AM302" s="4338">
        <v>60013</v>
      </c>
      <c r="AN302" s="4134">
        <v>575010</v>
      </c>
      <c r="AO302" s="4148">
        <v>43467</v>
      </c>
      <c r="AP302" s="4148">
        <v>43830</v>
      </c>
      <c r="AQ302" s="4151" t="s">
        <v>178</v>
      </c>
      <c r="AR302" s="2594"/>
      <c r="AS302" s="1188"/>
      <c r="AT302" s="1188"/>
      <c r="AU302" s="1188"/>
      <c r="AV302" s="1188"/>
      <c r="AW302" s="1188"/>
      <c r="AX302" s="1188"/>
      <c r="AY302" s="1188"/>
      <c r="AZ302" s="1188"/>
      <c r="BA302" s="1188"/>
      <c r="BB302" s="1188"/>
      <c r="BC302" s="1188"/>
      <c r="BD302" s="1188"/>
      <c r="BE302" s="1188"/>
      <c r="BF302" s="1188"/>
      <c r="BG302" s="1188"/>
      <c r="BH302" s="1188"/>
      <c r="BI302" s="1188"/>
      <c r="BJ302" s="1188"/>
      <c r="BK302" s="1188"/>
      <c r="BL302" s="1188"/>
      <c r="BM302" s="1188"/>
      <c r="BN302" s="1188"/>
      <c r="BO302" s="1188"/>
      <c r="BP302" s="1188"/>
      <c r="BQ302" s="1188"/>
      <c r="BR302" s="1188"/>
      <c r="BS302" s="1188"/>
      <c r="BT302" s="1188"/>
      <c r="BU302" s="1188"/>
      <c r="BV302" s="1188"/>
      <c r="BW302" s="1188"/>
      <c r="BX302" s="1188"/>
      <c r="BY302" s="1188"/>
      <c r="BZ302" s="1188"/>
      <c r="CA302" s="1188"/>
      <c r="CB302" s="1188"/>
      <c r="CC302" s="1188"/>
      <c r="CD302" s="1188"/>
      <c r="CE302" s="1188"/>
      <c r="CF302" s="1188"/>
      <c r="CG302" s="1188"/>
      <c r="CH302" s="1188"/>
      <c r="CI302" s="1188"/>
      <c r="CJ302" s="1188"/>
      <c r="CK302" s="1188"/>
      <c r="CL302" s="1188"/>
      <c r="CM302" s="1188"/>
      <c r="CN302" s="1188"/>
      <c r="CO302" s="1188"/>
      <c r="CP302" s="1188"/>
      <c r="CQ302" s="1188"/>
      <c r="CR302" s="1188"/>
      <c r="CS302" s="1188"/>
      <c r="CT302" s="1188"/>
      <c r="CU302" s="1188"/>
      <c r="CV302" s="1188"/>
      <c r="CW302" s="1188"/>
      <c r="CX302" s="1188"/>
      <c r="CY302" s="1188"/>
      <c r="CZ302" s="1188"/>
      <c r="DA302" s="1188"/>
      <c r="DB302" s="1188"/>
      <c r="DC302" s="1188"/>
      <c r="DD302" s="1188"/>
      <c r="DE302" s="1188"/>
      <c r="DF302" s="1188"/>
      <c r="DG302" s="1188"/>
      <c r="DH302" s="1188"/>
      <c r="DI302" s="1188"/>
      <c r="DJ302" s="1188"/>
      <c r="DK302" s="1188"/>
      <c r="DL302" s="1188"/>
      <c r="DM302" s="1188"/>
      <c r="DN302" s="1188"/>
      <c r="DO302" s="1188"/>
      <c r="DP302" s="1188"/>
      <c r="DQ302" s="1188"/>
      <c r="DR302" s="1188"/>
      <c r="DS302" s="1188"/>
      <c r="DT302" s="1188"/>
      <c r="DU302" s="1188"/>
      <c r="DV302" s="1188"/>
      <c r="DW302" s="1188"/>
      <c r="DX302" s="1188"/>
      <c r="DY302" s="1188"/>
      <c r="DZ302" s="1188"/>
      <c r="EA302" s="1188"/>
      <c r="EB302" s="1188"/>
      <c r="EC302" s="1188"/>
      <c r="ED302" s="1188"/>
      <c r="EE302" s="1188"/>
      <c r="EF302" s="1188"/>
      <c r="EG302" s="1188"/>
      <c r="EH302" s="1188"/>
      <c r="EI302" s="1188"/>
      <c r="EJ302" s="1188"/>
      <c r="EK302" s="1188"/>
      <c r="EL302" s="1188"/>
      <c r="EM302" s="1188"/>
      <c r="EN302" s="1188"/>
      <c r="EO302" s="1188"/>
      <c r="EP302" s="1188"/>
      <c r="EQ302" s="1188"/>
      <c r="ER302" s="1188"/>
      <c r="ES302" s="1188"/>
      <c r="ET302" s="1188"/>
      <c r="EU302" s="1188"/>
      <c r="EV302" s="1188"/>
      <c r="EW302" s="1188"/>
      <c r="EX302" s="1188"/>
      <c r="EY302" s="1188"/>
      <c r="EZ302" s="1188"/>
      <c r="FA302" s="1188"/>
      <c r="FB302" s="1188"/>
      <c r="FC302" s="1188"/>
      <c r="FD302" s="1188"/>
      <c r="FE302" s="1188"/>
      <c r="FF302" s="1188"/>
      <c r="FG302" s="1188"/>
      <c r="FH302" s="1188"/>
      <c r="FI302" s="1188"/>
      <c r="FJ302" s="1188"/>
      <c r="FK302" s="1188"/>
      <c r="FL302" s="1188"/>
      <c r="FM302" s="1188"/>
      <c r="FN302" s="1188"/>
      <c r="FO302" s="1188"/>
      <c r="FP302" s="1188"/>
      <c r="FQ302" s="1188"/>
      <c r="FR302" s="1188"/>
      <c r="FS302" s="1188"/>
    </row>
    <row r="303" spans="1:175" s="1304" customFormat="1" ht="54" customHeight="1" x14ac:dyDescent="0.2">
      <c r="A303" s="1199"/>
      <c r="B303" s="1200"/>
      <c r="C303" s="1201"/>
      <c r="D303" s="1200"/>
      <c r="E303" s="1200"/>
      <c r="F303" s="1201"/>
      <c r="G303" s="1200"/>
      <c r="H303" s="1200"/>
      <c r="I303" s="1201"/>
      <c r="J303" s="4116">
        <v>167</v>
      </c>
      <c r="K303" s="4116" t="s">
        <v>569</v>
      </c>
      <c r="L303" s="4122" t="s">
        <v>169</v>
      </c>
      <c r="M303" s="4339">
        <v>15</v>
      </c>
      <c r="N303" s="4123"/>
      <c r="O303" s="4334"/>
      <c r="P303" s="4120"/>
      <c r="Q303" s="4139">
        <v>1</v>
      </c>
      <c r="R303" s="4143"/>
      <c r="S303" s="4120"/>
      <c r="T303" s="4122" t="s">
        <v>570</v>
      </c>
      <c r="U303" s="4335" t="s">
        <v>571</v>
      </c>
      <c r="V303" s="2578">
        <f>1097554095+290726109+155203905</f>
        <v>1543484109</v>
      </c>
      <c r="W303" s="2579">
        <v>110</v>
      </c>
      <c r="X303" s="2514" t="s">
        <v>572</v>
      </c>
      <c r="Y303" s="4241"/>
      <c r="Z303" s="4123"/>
      <c r="AA303" s="4135"/>
      <c r="AB303" s="4135"/>
      <c r="AC303" s="4135"/>
      <c r="AD303" s="4135"/>
      <c r="AE303" s="4135"/>
      <c r="AF303" s="4338"/>
      <c r="AG303" s="4338"/>
      <c r="AH303" s="4338"/>
      <c r="AI303" s="4338"/>
      <c r="AJ303" s="4338"/>
      <c r="AK303" s="4338"/>
      <c r="AL303" s="4338"/>
      <c r="AM303" s="4338"/>
      <c r="AN303" s="4135"/>
      <c r="AO303" s="4149"/>
      <c r="AP303" s="4149"/>
      <c r="AQ303" s="4152"/>
      <c r="AR303" s="2594"/>
      <c r="AS303" s="1188"/>
      <c r="AT303" s="1188"/>
      <c r="AU303" s="1188"/>
      <c r="AV303" s="1188"/>
      <c r="AW303" s="1188"/>
      <c r="AX303" s="1188"/>
      <c r="AY303" s="1188"/>
      <c r="AZ303" s="1188"/>
      <c r="BA303" s="1188"/>
      <c r="BB303" s="1188"/>
      <c r="BC303" s="1188"/>
      <c r="BD303" s="1188"/>
      <c r="BE303" s="1188"/>
      <c r="BF303" s="1188"/>
      <c r="BG303" s="1188"/>
      <c r="BH303" s="1188"/>
      <c r="BI303" s="1188"/>
      <c r="BJ303" s="1188"/>
      <c r="BK303" s="1188"/>
      <c r="BL303" s="1188"/>
      <c r="BM303" s="1188"/>
      <c r="BN303" s="1188"/>
      <c r="BO303" s="1188"/>
      <c r="BP303" s="1188"/>
      <c r="BQ303" s="1188"/>
      <c r="BR303" s="1188"/>
      <c r="BS303" s="1188"/>
      <c r="BT303" s="1188"/>
      <c r="BU303" s="1188"/>
      <c r="BV303" s="1188"/>
      <c r="BW303" s="1188"/>
      <c r="BX303" s="1188"/>
      <c r="BY303" s="1188"/>
      <c r="BZ303" s="1188"/>
      <c r="CA303" s="1188"/>
      <c r="CB303" s="1188"/>
      <c r="CC303" s="1188"/>
      <c r="CD303" s="1188"/>
      <c r="CE303" s="1188"/>
      <c r="CF303" s="1188"/>
      <c r="CG303" s="1188"/>
      <c r="CH303" s="1188"/>
      <c r="CI303" s="1188"/>
      <c r="CJ303" s="1188"/>
      <c r="CK303" s="1188"/>
      <c r="CL303" s="1188"/>
      <c r="CM303" s="1188"/>
      <c r="CN303" s="1188"/>
      <c r="CO303" s="1188"/>
      <c r="CP303" s="1188"/>
      <c r="CQ303" s="1188"/>
      <c r="CR303" s="1188"/>
      <c r="CS303" s="1188"/>
      <c r="CT303" s="1188"/>
      <c r="CU303" s="1188"/>
      <c r="CV303" s="1188"/>
      <c r="CW303" s="1188"/>
      <c r="CX303" s="1188"/>
      <c r="CY303" s="1188"/>
      <c r="CZ303" s="1188"/>
      <c r="DA303" s="1188"/>
      <c r="DB303" s="1188"/>
      <c r="DC303" s="1188"/>
      <c r="DD303" s="1188"/>
      <c r="DE303" s="1188"/>
      <c r="DF303" s="1188"/>
      <c r="DG303" s="1188"/>
      <c r="DH303" s="1188"/>
      <c r="DI303" s="1188"/>
      <c r="DJ303" s="1188"/>
      <c r="DK303" s="1188"/>
      <c r="DL303" s="1188"/>
      <c r="DM303" s="1188"/>
      <c r="DN303" s="1188"/>
      <c r="DO303" s="1188"/>
      <c r="DP303" s="1188"/>
      <c r="DQ303" s="1188"/>
      <c r="DR303" s="1188"/>
      <c r="DS303" s="1188"/>
      <c r="DT303" s="1188"/>
      <c r="DU303" s="1188"/>
      <c r="DV303" s="1188"/>
      <c r="DW303" s="1188"/>
      <c r="DX303" s="1188"/>
      <c r="DY303" s="1188"/>
      <c r="DZ303" s="1188"/>
      <c r="EA303" s="1188"/>
      <c r="EB303" s="1188"/>
      <c r="EC303" s="1188"/>
      <c r="ED303" s="1188"/>
      <c r="EE303" s="1188"/>
      <c r="EF303" s="1188"/>
      <c r="EG303" s="1188"/>
      <c r="EH303" s="1188"/>
      <c r="EI303" s="1188"/>
      <c r="EJ303" s="1188"/>
      <c r="EK303" s="1188"/>
      <c r="EL303" s="1188"/>
      <c r="EM303" s="1188"/>
      <c r="EN303" s="1188"/>
      <c r="EO303" s="1188"/>
      <c r="EP303" s="1188"/>
      <c r="EQ303" s="1188"/>
      <c r="ER303" s="1188"/>
      <c r="ES303" s="1188"/>
      <c r="ET303" s="1188"/>
      <c r="EU303" s="1188"/>
      <c r="EV303" s="1188"/>
      <c r="EW303" s="1188"/>
      <c r="EX303" s="1188"/>
      <c r="EY303" s="1188"/>
      <c r="EZ303" s="1188"/>
      <c r="FA303" s="1188"/>
      <c r="FB303" s="1188"/>
      <c r="FC303" s="1188"/>
      <c r="FD303" s="1188"/>
      <c r="FE303" s="1188"/>
      <c r="FF303" s="1188"/>
      <c r="FG303" s="1188"/>
      <c r="FH303" s="1188"/>
      <c r="FI303" s="1188"/>
      <c r="FJ303" s="1188"/>
      <c r="FK303" s="1188"/>
      <c r="FL303" s="1188"/>
      <c r="FM303" s="1188"/>
      <c r="FN303" s="1188"/>
      <c r="FO303" s="1188"/>
      <c r="FP303" s="1188"/>
      <c r="FQ303" s="1188"/>
      <c r="FR303" s="1188"/>
      <c r="FS303" s="1188"/>
    </row>
    <row r="304" spans="1:175" s="1304" customFormat="1" ht="58.5" customHeight="1" x14ac:dyDescent="0.2">
      <c r="A304" s="1199"/>
      <c r="B304" s="1200"/>
      <c r="C304" s="1201"/>
      <c r="D304" s="1200"/>
      <c r="E304" s="1200"/>
      <c r="F304" s="1201"/>
      <c r="G304" s="1200"/>
      <c r="H304" s="1200"/>
      <c r="I304" s="1201"/>
      <c r="J304" s="4117"/>
      <c r="K304" s="4117"/>
      <c r="L304" s="4123"/>
      <c r="M304" s="4340"/>
      <c r="N304" s="4123"/>
      <c r="O304" s="4334"/>
      <c r="P304" s="4120"/>
      <c r="Q304" s="4140"/>
      <c r="R304" s="4143"/>
      <c r="S304" s="4120"/>
      <c r="T304" s="4123"/>
      <c r="U304" s="4336"/>
      <c r="V304" s="2580">
        <v>3114728803</v>
      </c>
      <c r="W304" s="2579">
        <v>58</v>
      </c>
      <c r="X304" s="2514" t="s">
        <v>573</v>
      </c>
      <c r="Y304" s="4241"/>
      <c r="Z304" s="4123"/>
      <c r="AA304" s="4135"/>
      <c r="AB304" s="4135"/>
      <c r="AC304" s="4135"/>
      <c r="AD304" s="4135"/>
      <c r="AE304" s="4135"/>
      <c r="AF304" s="4338"/>
      <c r="AG304" s="4338"/>
      <c r="AH304" s="4338"/>
      <c r="AI304" s="4338"/>
      <c r="AJ304" s="4338"/>
      <c r="AK304" s="4338"/>
      <c r="AL304" s="4338"/>
      <c r="AM304" s="4338"/>
      <c r="AN304" s="4135"/>
      <c r="AO304" s="4149"/>
      <c r="AP304" s="4149"/>
      <c r="AQ304" s="4152"/>
      <c r="AR304" s="2594"/>
      <c r="AS304" s="1188"/>
      <c r="AT304" s="1188"/>
      <c r="AU304" s="1188"/>
      <c r="AV304" s="1188"/>
      <c r="AW304" s="1188"/>
      <c r="AX304" s="1188"/>
      <c r="AY304" s="1188"/>
      <c r="AZ304" s="1188"/>
      <c r="BA304" s="1188"/>
      <c r="BB304" s="1188"/>
      <c r="BC304" s="1188"/>
      <c r="BD304" s="1188"/>
      <c r="BE304" s="1188"/>
      <c r="BF304" s="1188"/>
      <c r="BG304" s="1188"/>
      <c r="BH304" s="1188"/>
      <c r="BI304" s="1188"/>
      <c r="BJ304" s="1188"/>
      <c r="BK304" s="1188"/>
      <c r="BL304" s="1188"/>
      <c r="BM304" s="1188"/>
      <c r="BN304" s="1188"/>
      <c r="BO304" s="1188"/>
      <c r="BP304" s="1188"/>
      <c r="BQ304" s="1188"/>
      <c r="BR304" s="1188"/>
      <c r="BS304" s="1188"/>
      <c r="BT304" s="1188"/>
      <c r="BU304" s="1188"/>
      <c r="BV304" s="1188"/>
      <c r="BW304" s="1188"/>
      <c r="BX304" s="1188"/>
      <c r="BY304" s="1188"/>
      <c r="BZ304" s="1188"/>
      <c r="CA304" s="1188"/>
      <c r="CB304" s="1188"/>
      <c r="CC304" s="1188"/>
      <c r="CD304" s="1188"/>
      <c r="CE304" s="1188"/>
      <c r="CF304" s="1188"/>
      <c r="CG304" s="1188"/>
      <c r="CH304" s="1188"/>
      <c r="CI304" s="1188"/>
      <c r="CJ304" s="1188"/>
      <c r="CK304" s="1188"/>
      <c r="CL304" s="1188"/>
      <c r="CM304" s="1188"/>
      <c r="CN304" s="1188"/>
      <c r="CO304" s="1188"/>
      <c r="CP304" s="1188"/>
      <c r="CQ304" s="1188"/>
      <c r="CR304" s="1188"/>
      <c r="CS304" s="1188"/>
      <c r="CT304" s="1188"/>
      <c r="CU304" s="1188"/>
      <c r="CV304" s="1188"/>
      <c r="CW304" s="1188"/>
      <c r="CX304" s="1188"/>
      <c r="CY304" s="1188"/>
      <c r="CZ304" s="1188"/>
      <c r="DA304" s="1188"/>
      <c r="DB304" s="1188"/>
      <c r="DC304" s="1188"/>
      <c r="DD304" s="1188"/>
      <c r="DE304" s="1188"/>
      <c r="DF304" s="1188"/>
      <c r="DG304" s="1188"/>
      <c r="DH304" s="1188"/>
      <c r="DI304" s="1188"/>
      <c r="DJ304" s="1188"/>
      <c r="DK304" s="1188"/>
      <c r="DL304" s="1188"/>
      <c r="DM304" s="1188"/>
      <c r="DN304" s="1188"/>
      <c r="DO304" s="1188"/>
      <c r="DP304" s="1188"/>
      <c r="DQ304" s="1188"/>
      <c r="DR304" s="1188"/>
      <c r="DS304" s="1188"/>
      <c r="DT304" s="1188"/>
      <c r="DU304" s="1188"/>
      <c r="DV304" s="1188"/>
      <c r="DW304" s="1188"/>
      <c r="DX304" s="1188"/>
      <c r="DY304" s="1188"/>
      <c r="DZ304" s="1188"/>
      <c r="EA304" s="1188"/>
      <c r="EB304" s="1188"/>
      <c r="EC304" s="1188"/>
      <c r="ED304" s="1188"/>
      <c r="EE304" s="1188"/>
      <c r="EF304" s="1188"/>
      <c r="EG304" s="1188"/>
      <c r="EH304" s="1188"/>
      <c r="EI304" s="1188"/>
      <c r="EJ304" s="1188"/>
      <c r="EK304" s="1188"/>
      <c r="EL304" s="1188"/>
      <c r="EM304" s="1188"/>
      <c r="EN304" s="1188"/>
      <c r="EO304" s="1188"/>
      <c r="EP304" s="1188"/>
      <c r="EQ304" s="1188"/>
      <c r="ER304" s="1188"/>
      <c r="ES304" s="1188"/>
      <c r="ET304" s="1188"/>
      <c r="EU304" s="1188"/>
      <c r="EV304" s="1188"/>
      <c r="EW304" s="1188"/>
      <c r="EX304" s="1188"/>
      <c r="EY304" s="1188"/>
      <c r="EZ304" s="1188"/>
      <c r="FA304" s="1188"/>
      <c r="FB304" s="1188"/>
      <c r="FC304" s="1188"/>
      <c r="FD304" s="1188"/>
      <c r="FE304" s="1188"/>
      <c r="FF304" s="1188"/>
      <c r="FG304" s="1188"/>
      <c r="FH304" s="1188"/>
      <c r="FI304" s="1188"/>
      <c r="FJ304" s="1188"/>
      <c r="FK304" s="1188"/>
      <c r="FL304" s="1188"/>
      <c r="FM304" s="1188"/>
      <c r="FN304" s="1188"/>
      <c r="FO304" s="1188"/>
      <c r="FP304" s="1188"/>
      <c r="FQ304" s="1188"/>
      <c r="FR304" s="1188"/>
      <c r="FS304" s="1188"/>
    </row>
    <row r="305" spans="1:175" s="1304" customFormat="1" ht="58.5" customHeight="1" x14ac:dyDescent="0.2">
      <c r="A305" s="1199"/>
      <c r="B305" s="1200"/>
      <c r="C305" s="1201"/>
      <c r="D305" s="1200"/>
      <c r="E305" s="1200"/>
      <c r="F305" s="1201"/>
      <c r="G305" s="1200"/>
      <c r="H305" s="1200"/>
      <c r="I305" s="1201"/>
      <c r="J305" s="4117"/>
      <c r="K305" s="4117"/>
      <c r="L305" s="4123"/>
      <c r="M305" s="4340"/>
      <c r="N305" s="4123"/>
      <c r="O305" s="4334"/>
      <c r="P305" s="4120"/>
      <c r="Q305" s="4140"/>
      <c r="R305" s="4143"/>
      <c r="S305" s="4120"/>
      <c r="T305" s="4123"/>
      <c r="U305" s="4336"/>
      <c r="V305" s="2581">
        <v>81073317</v>
      </c>
      <c r="W305" s="1665">
        <v>58</v>
      </c>
      <c r="X305" s="1664" t="s">
        <v>574</v>
      </c>
      <c r="Y305" s="4241"/>
      <c r="Z305" s="4123"/>
      <c r="AA305" s="4135"/>
      <c r="AB305" s="4135"/>
      <c r="AC305" s="4135"/>
      <c r="AD305" s="4135"/>
      <c r="AE305" s="4135"/>
      <c r="AF305" s="4338"/>
      <c r="AG305" s="4338"/>
      <c r="AH305" s="4338"/>
      <c r="AI305" s="4338"/>
      <c r="AJ305" s="4338"/>
      <c r="AK305" s="4338"/>
      <c r="AL305" s="4338"/>
      <c r="AM305" s="4338"/>
      <c r="AN305" s="4135"/>
      <c r="AO305" s="4149"/>
      <c r="AP305" s="4149"/>
      <c r="AQ305" s="4152"/>
      <c r="AR305" s="2594"/>
      <c r="AS305" s="1188"/>
      <c r="AT305" s="1188"/>
      <c r="AU305" s="1188"/>
      <c r="AV305" s="1188"/>
      <c r="AW305" s="1188"/>
      <c r="AX305" s="1188"/>
      <c r="AY305" s="1188"/>
      <c r="AZ305" s="1188"/>
      <c r="BA305" s="1188"/>
      <c r="BB305" s="1188"/>
      <c r="BC305" s="1188"/>
      <c r="BD305" s="1188"/>
      <c r="BE305" s="1188"/>
      <c r="BF305" s="1188"/>
      <c r="BG305" s="1188"/>
      <c r="BH305" s="1188"/>
      <c r="BI305" s="1188"/>
      <c r="BJ305" s="1188"/>
      <c r="BK305" s="1188"/>
      <c r="BL305" s="1188"/>
      <c r="BM305" s="1188"/>
      <c r="BN305" s="1188"/>
      <c r="BO305" s="1188"/>
      <c r="BP305" s="1188"/>
      <c r="BQ305" s="1188"/>
      <c r="BR305" s="1188"/>
      <c r="BS305" s="1188"/>
      <c r="BT305" s="1188"/>
      <c r="BU305" s="1188"/>
      <c r="BV305" s="1188"/>
      <c r="BW305" s="1188"/>
      <c r="BX305" s="1188"/>
      <c r="BY305" s="1188"/>
      <c r="BZ305" s="1188"/>
      <c r="CA305" s="1188"/>
      <c r="CB305" s="1188"/>
      <c r="CC305" s="1188"/>
      <c r="CD305" s="1188"/>
      <c r="CE305" s="1188"/>
      <c r="CF305" s="1188"/>
      <c r="CG305" s="1188"/>
      <c r="CH305" s="1188"/>
      <c r="CI305" s="1188"/>
      <c r="CJ305" s="1188"/>
      <c r="CK305" s="1188"/>
      <c r="CL305" s="1188"/>
      <c r="CM305" s="1188"/>
      <c r="CN305" s="1188"/>
      <c r="CO305" s="1188"/>
      <c r="CP305" s="1188"/>
      <c r="CQ305" s="1188"/>
      <c r="CR305" s="1188"/>
      <c r="CS305" s="1188"/>
      <c r="CT305" s="1188"/>
      <c r="CU305" s="1188"/>
      <c r="CV305" s="1188"/>
      <c r="CW305" s="1188"/>
      <c r="CX305" s="1188"/>
      <c r="CY305" s="1188"/>
      <c r="CZ305" s="1188"/>
      <c r="DA305" s="1188"/>
      <c r="DB305" s="1188"/>
      <c r="DC305" s="1188"/>
      <c r="DD305" s="1188"/>
      <c r="DE305" s="1188"/>
      <c r="DF305" s="1188"/>
      <c r="DG305" s="1188"/>
      <c r="DH305" s="1188"/>
      <c r="DI305" s="1188"/>
      <c r="DJ305" s="1188"/>
      <c r="DK305" s="1188"/>
      <c r="DL305" s="1188"/>
      <c r="DM305" s="1188"/>
      <c r="DN305" s="1188"/>
      <c r="DO305" s="1188"/>
      <c r="DP305" s="1188"/>
      <c r="DQ305" s="1188"/>
      <c r="DR305" s="1188"/>
      <c r="DS305" s="1188"/>
      <c r="DT305" s="1188"/>
      <c r="DU305" s="1188"/>
      <c r="DV305" s="1188"/>
      <c r="DW305" s="1188"/>
      <c r="DX305" s="1188"/>
      <c r="DY305" s="1188"/>
      <c r="DZ305" s="1188"/>
      <c r="EA305" s="1188"/>
      <c r="EB305" s="1188"/>
      <c r="EC305" s="1188"/>
      <c r="ED305" s="1188"/>
      <c r="EE305" s="1188"/>
      <c r="EF305" s="1188"/>
      <c r="EG305" s="1188"/>
      <c r="EH305" s="1188"/>
      <c r="EI305" s="1188"/>
      <c r="EJ305" s="1188"/>
      <c r="EK305" s="1188"/>
      <c r="EL305" s="1188"/>
      <c r="EM305" s="1188"/>
      <c r="EN305" s="1188"/>
      <c r="EO305" s="1188"/>
      <c r="EP305" s="1188"/>
      <c r="EQ305" s="1188"/>
      <c r="ER305" s="1188"/>
      <c r="ES305" s="1188"/>
      <c r="ET305" s="1188"/>
      <c r="EU305" s="1188"/>
      <c r="EV305" s="1188"/>
      <c r="EW305" s="1188"/>
      <c r="EX305" s="1188"/>
      <c r="EY305" s="1188"/>
      <c r="EZ305" s="1188"/>
      <c r="FA305" s="1188"/>
      <c r="FB305" s="1188"/>
      <c r="FC305" s="1188"/>
      <c r="FD305" s="1188"/>
      <c r="FE305" s="1188"/>
      <c r="FF305" s="1188"/>
      <c r="FG305" s="1188"/>
      <c r="FH305" s="1188"/>
      <c r="FI305" s="1188"/>
      <c r="FJ305" s="1188"/>
      <c r="FK305" s="1188"/>
      <c r="FL305" s="1188"/>
      <c r="FM305" s="1188"/>
      <c r="FN305" s="1188"/>
      <c r="FO305" s="1188"/>
      <c r="FP305" s="1188"/>
      <c r="FQ305" s="1188"/>
      <c r="FR305" s="1188"/>
      <c r="FS305" s="1188"/>
    </row>
    <row r="306" spans="1:175" s="1304" customFormat="1" ht="45" customHeight="1" x14ac:dyDescent="0.2">
      <c r="A306" s="1199"/>
      <c r="B306" s="1200"/>
      <c r="C306" s="1201"/>
      <c r="D306" s="1200"/>
      <c r="E306" s="1200"/>
      <c r="F306" s="1201"/>
      <c r="G306" s="1200"/>
      <c r="H306" s="1200"/>
      <c r="I306" s="1201"/>
      <c r="J306" s="4117"/>
      <c r="K306" s="4117"/>
      <c r="L306" s="4123"/>
      <c r="M306" s="4340"/>
      <c r="N306" s="4123"/>
      <c r="O306" s="4334"/>
      <c r="P306" s="4120"/>
      <c r="Q306" s="4140"/>
      <c r="R306" s="4143"/>
      <c r="S306" s="4120"/>
      <c r="T306" s="4123"/>
      <c r="U306" s="4336"/>
      <c r="V306" s="2578">
        <f>4163056704+1353644949</f>
        <v>5516701653</v>
      </c>
      <c r="W306" s="2579">
        <v>59</v>
      </c>
      <c r="X306" s="2514" t="s">
        <v>575</v>
      </c>
      <c r="Y306" s="4241"/>
      <c r="Z306" s="4123"/>
      <c r="AA306" s="4135"/>
      <c r="AB306" s="4135"/>
      <c r="AC306" s="4135"/>
      <c r="AD306" s="4135"/>
      <c r="AE306" s="4135"/>
      <c r="AF306" s="4338"/>
      <c r="AG306" s="4338"/>
      <c r="AH306" s="4338"/>
      <c r="AI306" s="4338"/>
      <c r="AJ306" s="4338"/>
      <c r="AK306" s="4338"/>
      <c r="AL306" s="4338"/>
      <c r="AM306" s="4338"/>
      <c r="AN306" s="4135"/>
      <c r="AO306" s="4149"/>
      <c r="AP306" s="4149"/>
      <c r="AQ306" s="4152"/>
      <c r="AR306" s="2594"/>
      <c r="AS306" s="1188"/>
      <c r="AT306" s="1188"/>
      <c r="AU306" s="1188"/>
      <c r="AV306" s="1188"/>
      <c r="AW306" s="1188"/>
      <c r="AX306" s="1188"/>
      <c r="AY306" s="1188"/>
      <c r="AZ306" s="1188"/>
      <c r="BA306" s="1188"/>
      <c r="BB306" s="1188"/>
      <c r="BC306" s="1188"/>
      <c r="BD306" s="1188"/>
      <c r="BE306" s="1188"/>
      <c r="BF306" s="1188"/>
      <c r="BG306" s="1188"/>
      <c r="BH306" s="1188"/>
      <c r="BI306" s="1188"/>
      <c r="BJ306" s="1188"/>
      <c r="BK306" s="1188"/>
      <c r="BL306" s="1188"/>
      <c r="BM306" s="1188"/>
      <c r="BN306" s="1188"/>
      <c r="BO306" s="1188"/>
      <c r="BP306" s="1188"/>
      <c r="BQ306" s="1188"/>
      <c r="BR306" s="1188"/>
      <c r="BS306" s="1188"/>
      <c r="BT306" s="1188"/>
      <c r="BU306" s="1188"/>
      <c r="BV306" s="1188"/>
      <c r="BW306" s="1188"/>
      <c r="BX306" s="1188"/>
      <c r="BY306" s="1188"/>
      <c r="BZ306" s="1188"/>
      <c r="CA306" s="1188"/>
      <c r="CB306" s="1188"/>
      <c r="CC306" s="1188"/>
      <c r="CD306" s="1188"/>
      <c r="CE306" s="1188"/>
      <c r="CF306" s="1188"/>
      <c r="CG306" s="1188"/>
      <c r="CH306" s="1188"/>
      <c r="CI306" s="1188"/>
      <c r="CJ306" s="1188"/>
      <c r="CK306" s="1188"/>
      <c r="CL306" s="1188"/>
      <c r="CM306" s="1188"/>
      <c r="CN306" s="1188"/>
      <c r="CO306" s="1188"/>
      <c r="CP306" s="1188"/>
      <c r="CQ306" s="1188"/>
      <c r="CR306" s="1188"/>
      <c r="CS306" s="1188"/>
      <c r="CT306" s="1188"/>
      <c r="CU306" s="1188"/>
      <c r="CV306" s="1188"/>
      <c r="CW306" s="1188"/>
      <c r="CX306" s="1188"/>
      <c r="CY306" s="1188"/>
      <c r="CZ306" s="1188"/>
      <c r="DA306" s="1188"/>
      <c r="DB306" s="1188"/>
      <c r="DC306" s="1188"/>
      <c r="DD306" s="1188"/>
      <c r="DE306" s="1188"/>
      <c r="DF306" s="1188"/>
      <c r="DG306" s="1188"/>
      <c r="DH306" s="1188"/>
      <c r="DI306" s="1188"/>
      <c r="DJ306" s="1188"/>
      <c r="DK306" s="1188"/>
      <c r="DL306" s="1188"/>
      <c r="DM306" s="1188"/>
      <c r="DN306" s="1188"/>
      <c r="DO306" s="1188"/>
      <c r="DP306" s="1188"/>
      <c r="DQ306" s="1188"/>
      <c r="DR306" s="1188"/>
      <c r="DS306" s="1188"/>
      <c r="DT306" s="1188"/>
      <c r="DU306" s="1188"/>
      <c r="DV306" s="1188"/>
      <c r="DW306" s="1188"/>
      <c r="DX306" s="1188"/>
      <c r="DY306" s="1188"/>
      <c r="DZ306" s="1188"/>
      <c r="EA306" s="1188"/>
      <c r="EB306" s="1188"/>
      <c r="EC306" s="1188"/>
      <c r="ED306" s="1188"/>
      <c r="EE306" s="1188"/>
      <c r="EF306" s="1188"/>
      <c r="EG306" s="1188"/>
      <c r="EH306" s="1188"/>
      <c r="EI306" s="1188"/>
      <c r="EJ306" s="1188"/>
      <c r="EK306" s="1188"/>
      <c r="EL306" s="1188"/>
      <c r="EM306" s="1188"/>
      <c r="EN306" s="1188"/>
      <c r="EO306" s="1188"/>
      <c r="EP306" s="1188"/>
      <c r="EQ306" s="1188"/>
      <c r="ER306" s="1188"/>
      <c r="ES306" s="1188"/>
      <c r="ET306" s="1188"/>
      <c r="EU306" s="1188"/>
      <c r="EV306" s="1188"/>
      <c r="EW306" s="1188"/>
      <c r="EX306" s="1188"/>
      <c r="EY306" s="1188"/>
      <c r="EZ306" s="1188"/>
      <c r="FA306" s="1188"/>
      <c r="FB306" s="1188"/>
      <c r="FC306" s="1188"/>
      <c r="FD306" s="1188"/>
      <c r="FE306" s="1188"/>
      <c r="FF306" s="1188"/>
      <c r="FG306" s="1188"/>
      <c r="FH306" s="1188"/>
      <c r="FI306" s="1188"/>
      <c r="FJ306" s="1188"/>
      <c r="FK306" s="1188"/>
      <c r="FL306" s="1188"/>
      <c r="FM306" s="1188"/>
      <c r="FN306" s="1188"/>
      <c r="FO306" s="1188"/>
      <c r="FP306" s="1188"/>
      <c r="FQ306" s="1188"/>
      <c r="FR306" s="1188"/>
      <c r="FS306" s="1188"/>
    </row>
    <row r="307" spans="1:175" s="1304" customFormat="1" ht="45" customHeight="1" x14ac:dyDescent="0.2">
      <c r="A307" s="1199"/>
      <c r="B307" s="1200"/>
      <c r="C307" s="1201"/>
      <c r="D307" s="1200"/>
      <c r="E307" s="1200"/>
      <c r="F307" s="1201"/>
      <c r="G307" s="1200"/>
      <c r="H307" s="1200"/>
      <c r="I307" s="1201"/>
      <c r="J307" s="4117"/>
      <c r="K307" s="4117"/>
      <c r="L307" s="4123"/>
      <c r="M307" s="4340"/>
      <c r="N307" s="4123"/>
      <c r="O307" s="4334"/>
      <c r="P307" s="4120"/>
      <c r="Q307" s="4140"/>
      <c r="R307" s="4143"/>
      <c r="S307" s="4120"/>
      <c r="T307" s="4123"/>
      <c r="U307" s="4336"/>
      <c r="V307" s="2578">
        <f>3888000000-112885557</f>
        <v>3775114443</v>
      </c>
      <c r="W307" s="2579">
        <v>60</v>
      </c>
      <c r="X307" s="2514" t="s">
        <v>576</v>
      </c>
      <c r="Y307" s="4241"/>
      <c r="Z307" s="4123"/>
      <c r="AA307" s="4135"/>
      <c r="AB307" s="4135"/>
      <c r="AC307" s="4135"/>
      <c r="AD307" s="4135"/>
      <c r="AE307" s="4135"/>
      <c r="AF307" s="4338"/>
      <c r="AG307" s="4338"/>
      <c r="AH307" s="4338"/>
      <c r="AI307" s="4338"/>
      <c r="AJ307" s="4338"/>
      <c r="AK307" s="4338"/>
      <c r="AL307" s="4338"/>
      <c r="AM307" s="4338"/>
      <c r="AN307" s="4135"/>
      <c r="AO307" s="4149"/>
      <c r="AP307" s="4149"/>
      <c r="AQ307" s="4152"/>
      <c r="AR307" s="2594"/>
      <c r="AS307" s="1188"/>
      <c r="AT307" s="1188"/>
      <c r="AU307" s="1188"/>
      <c r="AV307" s="1188"/>
      <c r="AW307" s="1188"/>
      <c r="AX307" s="1188"/>
      <c r="AY307" s="1188"/>
      <c r="AZ307" s="1188"/>
      <c r="BA307" s="1188"/>
      <c r="BB307" s="1188"/>
      <c r="BC307" s="1188"/>
      <c r="BD307" s="1188"/>
      <c r="BE307" s="1188"/>
      <c r="BF307" s="1188"/>
      <c r="BG307" s="1188"/>
      <c r="BH307" s="1188"/>
      <c r="BI307" s="1188"/>
      <c r="BJ307" s="1188"/>
      <c r="BK307" s="1188"/>
      <c r="BL307" s="1188"/>
      <c r="BM307" s="1188"/>
      <c r="BN307" s="1188"/>
      <c r="BO307" s="1188"/>
      <c r="BP307" s="1188"/>
      <c r="BQ307" s="1188"/>
      <c r="BR307" s="1188"/>
      <c r="BS307" s="1188"/>
      <c r="BT307" s="1188"/>
      <c r="BU307" s="1188"/>
      <c r="BV307" s="1188"/>
      <c r="BW307" s="1188"/>
      <c r="BX307" s="1188"/>
      <c r="BY307" s="1188"/>
      <c r="BZ307" s="1188"/>
      <c r="CA307" s="1188"/>
      <c r="CB307" s="1188"/>
      <c r="CC307" s="1188"/>
      <c r="CD307" s="1188"/>
      <c r="CE307" s="1188"/>
      <c r="CF307" s="1188"/>
      <c r="CG307" s="1188"/>
      <c r="CH307" s="1188"/>
      <c r="CI307" s="1188"/>
      <c r="CJ307" s="1188"/>
      <c r="CK307" s="1188"/>
      <c r="CL307" s="1188"/>
      <c r="CM307" s="1188"/>
      <c r="CN307" s="1188"/>
      <c r="CO307" s="1188"/>
      <c r="CP307" s="1188"/>
      <c r="CQ307" s="1188"/>
      <c r="CR307" s="1188"/>
      <c r="CS307" s="1188"/>
      <c r="CT307" s="1188"/>
      <c r="CU307" s="1188"/>
      <c r="CV307" s="1188"/>
      <c r="CW307" s="1188"/>
      <c r="CX307" s="1188"/>
      <c r="CY307" s="1188"/>
      <c r="CZ307" s="1188"/>
      <c r="DA307" s="1188"/>
      <c r="DB307" s="1188"/>
      <c r="DC307" s="1188"/>
      <c r="DD307" s="1188"/>
      <c r="DE307" s="1188"/>
      <c r="DF307" s="1188"/>
      <c r="DG307" s="1188"/>
      <c r="DH307" s="1188"/>
      <c r="DI307" s="1188"/>
      <c r="DJ307" s="1188"/>
      <c r="DK307" s="1188"/>
      <c r="DL307" s="1188"/>
      <c r="DM307" s="1188"/>
      <c r="DN307" s="1188"/>
      <c r="DO307" s="1188"/>
      <c r="DP307" s="1188"/>
      <c r="DQ307" s="1188"/>
      <c r="DR307" s="1188"/>
      <c r="DS307" s="1188"/>
      <c r="DT307" s="1188"/>
      <c r="DU307" s="1188"/>
      <c r="DV307" s="1188"/>
      <c r="DW307" s="1188"/>
      <c r="DX307" s="1188"/>
      <c r="DY307" s="1188"/>
      <c r="DZ307" s="1188"/>
      <c r="EA307" s="1188"/>
      <c r="EB307" s="1188"/>
      <c r="EC307" s="1188"/>
      <c r="ED307" s="1188"/>
      <c r="EE307" s="1188"/>
      <c r="EF307" s="1188"/>
      <c r="EG307" s="1188"/>
      <c r="EH307" s="1188"/>
      <c r="EI307" s="1188"/>
      <c r="EJ307" s="1188"/>
      <c r="EK307" s="1188"/>
      <c r="EL307" s="1188"/>
      <c r="EM307" s="1188"/>
      <c r="EN307" s="1188"/>
      <c r="EO307" s="1188"/>
      <c r="EP307" s="1188"/>
      <c r="EQ307" s="1188"/>
      <c r="ER307" s="1188"/>
      <c r="ES307" s="1188"/>
      <c r="ET307" s="1188"/>
      <c r="EU307" s="1188"/>
      <c r="EV307" s="1188"/>
      <c r="EW307" s="1188"/>
      <c r="EX307" s="1188"/>
      <c r="EY307" s="1188"/>
      <c r="EZ307" s="1188"/>
      <c r="FA307" s="1188"/>
      <c r="FB307" s="1188"/>
      <c r="FC307" s="1188"/>
      <c r="FD307" s="1188"/>
      <c r="FE307" s="1188"/>
      <c r="FF307" s="1188"/>
      <c r="FG307" s="1188"/>
      <c r="FH307" s="1188"/>
      <c r="FI307" s="1188"/>
      <c r="FJ307" s="1188"/>
      <c r="FK307" s="1188"/>
      <c r="FL307" s="1188"/>
      <c r="FM307" s="1188"/>
      <c r="FN307" s="1188"/>
      <c r="FO307" s="1188"/>
      <c r="FP307" s="1188"/>
      <c r="FQ307" s="1188"/>
      <c r="FR307" s="1188"/>
      <c r="FS307" s="1188"/>
    </row>
    <row r="308" spans="1:175" s="1304" customFormat="1" ht="45" customHeight="1" x14ac:dyDescent="0.2">
      <c r="A308" s="1199"/>
      <c r="B308" s="1200"/>
      <c r="C308" s="1201"/>
      <c r="D308" s="1200"/>
      <c r="E308" s="1200"/>
      <c r="F308" s="1201"/>
      <c r="G308" s="1200"/>
      <c r="H308" s="1200"/>
      <c r="I308" s="1201"/>
      <c r="J308" s="4117"/>
      <c r="K308" s="4117"/>
      <c r="L308" s="4123"/>
      <c r="M308" s="4340"/>
      <c r="N308" s="4123"/>
      <c r="O308" s="4334"/>
      <c r="P308" s="4120"/>
      <c r="Q308" s="4140"/>
      <c r="R308" s="4143"/>
      <c r="S308" s="4120"/>
      <c r="T308" s="4123"/>
      <c r="U308" s="4336"/>
      <c r="V308" s="2578">
        <f>905255315+1666797702.4+23198327.37</f>
        <v>2595251344.77</v>
      </c>
      <c r="W308" s="2579">
        <v>96</v>
      </c>
      <c r="X308" s="2514" t="s">
        <v>577</v>
      </c>
      <c r="Y308" s="4241"/>
      <c r="Z308" s="4123"/>
      <c r="AA308" s="4135"/>
      <c r="AB308" s="4135"/>
      <c r="AC308" s="4135"/>
      <c r="AD308" s="4135"/>
      <c r="AE308" s="4135"/>
      <c r="AF308" s="4338"/>
      <c r="AG308" s="4338"/>
      <c r="AH308" s="4338"/>
      <c r="AI308" s="4338"/>
      <c r="AJ308" s="4338"/>
      <c r="AK308" s="4338"/>
      <c r="AL308" s="4338"/>
      <c r="AM308" s="4338"/>
      <c r="AN308" s="4135"/>
      <c r="AO308" s="4149"/>
      <c r="AP308" s="4149"/>
      <c r="AQ308" s="4152"/>
      <c r="AR308" s="2594"/>
      <c r="AS308" s="1188"/>
      <c r="AT308" s="1188"/>
      <c r="AU308" s="1188"/>
      <c r="AV308" s="1188"/>
      <c r="AW308" s="1188"/>
      <c r="AX308" s="1188"/>
      <c r="AY308" s="1188"/>
      <c r="AZ308" s="1188"/>
      <c r="BA308" s="1188"/>
      <c r="BB308" s="1188"/>
      <c r="BC308" s="1188"/>
      <c r="BD308" s="1188"/>
      <c r="BE308" s="1188"/>
      <c r="BF308" s="1188"/>
      <c r="BG308" s="1188"/>
      <c r="BH308" s="1188"/>
      <c r="BI308" s="1188"/>
      <c r="BJ308" s="1188"/>
      <c r="BK308" s="1188"/>
      <c r="BL308" s="1188"/>
      <c r="BM308" s="1188"/>
      <c r="BN308" s="1188"/>
      <c r="BO308" s="1188"/>
      <c r="BP308" s="1188"/>
      <c r="BQ308" s="1188"/>
      <c r="BR308" s="1188"/>
      <c r="BS308" s="1188"/>
      <c r="BT308" s="1188"/>
      <c r="BU308" s="1188"/>
      <c r="BV308" s="1188"/>
      <c r="BW308" s="1188"/>
      <c r="BX308" s="1188"/>
      <c r="BY308" s="1188"/>
      <c r="BZ308" s="1188"/>
      <c r="CA308" s="1188"/>
      <c r="CB308" s="1188"/>
      <c r="CC308" s="1188"/>
      <c r="CD308" s="1188"/>
      <c r="CE308" s="1188"/>
      <c r="CF308" s="1188"/>
      <c r="CG308" s="1188"/>
      <c r="CH308" s="1188"/>
      <c r="CI308" s="1188"/>
      <c r="CJ308" s="1188"/>
      <c r="CK308" s="1188"/>
      <c r="CL308" s="1188"/>
      <c r="CM308" s="1188"/>
      <c r="CN308" s="1188"/>
      <c r="CO308" s="1188"/>
      <c r="CP308" s="1188"/>
      <c r="CQ308" s="1188"/>
      <c r="CR308" s="1188"/>
      <c r="CS308" s="1188"/>
      <c r="CT308" s="1188"/>
      <c r="CU308" s="1188"/>
      <c r="CV308" s="1188"/>
      <c r="CW308" s="1188"/>
      <c r="CX308" s="1188"/>
      <c r="CY308" s="1188"/>
      <c r="CZ308" s="1188"/>
      <c r="DA308" s="1188"/>
      <c r="DB308" s="1188"/>
      <c r="DC308" s="1188"/>
      <c r="DD308" s="1188"/>
      <c r="DE308" s="1188"/>
      <c r="DF308" s="1188"/>
      <c r="DG308" s="1188"/>
      <c r="DH308" s="1188"/>
      <c r="DI308" s="1188"/>
      <c r="DJ308" s="1188"/>
      <c r="DK308" s="1188"/>
      <c r="DL308" s="1188"/>
      <c r="DM308" s="1188"/>
      <c r="DN308" s="1188"/>
      <c r="DO308" s="1188"/>
      <c r="DP308" s="1188"/>
      <c r="DQ308" s="1188"/>
      <c r="DR308" s="1188"/>
      <c r="DS308" s="1188"/>
      <c r="DT308" s="1188"/>
      <c r="DU308" s="1188"/>
      <c r="DV308" s="1188"/>
      <c r="DW308" s="1188"/>
      <c r="DX308" s="1188"/>
      <c r="DY308" s="1188"/>
      <c r="DZ308" s="1188"/>
      <c r="EA308" s="1188"/>
      <c r="EB308" s="1188"/>
      <c r="EC308" s="1188"/>
      <c r="ED308" s="1188"/>
      <c r="EE308" s="1188"/>
      <c r="EF308" s="1188"/>
      <c r="EG308" s="1188"/>
      <c r="EH308" s="1188"/>
      <c r="EI308" s="1188"/>
      <c r="EJ308" s="1188"/>
      <c r="EK308" s="1188"/>
      <c r="EL308" s="1188"/>
      <c r="EM308" s="1188"/>
      <c r="EN308" s="1188"/>
      <c r="EO308" s="1188"/>
      <c r="EP308" s="1188"/>
      <c r="EQ308" s="1188"/>
      <c r="ER308" s="1188"/>
      <c r="ES308" s="1188"/>
      <c r="ET308" s="1188"/>
      <c r="EU308" s="1188"/>
      <c r="EV308" s="1188"/>
      <c r="EW308" s="1188"/>
      <c r="EX308" s="1188"/>
      <c r="EY308" s="1188"/>
      <c r="EZ308" s="1188"/>
      <c r="FA308" s="1188"/>
      <c r="FB308" s="1188"/>
      <c r="FC308" s="1188"/>
      <c r="FD308" s="1188"/>
      <c r="FE308" s="1188"/>
      <c r="FF308" s="1188"/>
      <c r="FG308" s="1188"/>
      <c r="FH308" s="1188"/>
      <c r="FI308" s="1188"/>
      <c r="FJ308" s="1188"/>
      <c r="FK308" s="1188"/>
      <c r="FL308" s="1188"/>
      <c r="FM308" s="1188"/>
      <c r="FN308" s="1188"/>
      <c r="FO308" s="1188"/>
      <c r="FP308" s="1188"/>
      <c r="FQ308" s="1188"/>
      <c r="FR308" s="1188"/>
      <c r="FS308" s="1188"/>
    </row>
    <row r="309" spans="1:175" s="1304" customFormat="1" ht="45" customHeight="1" x14ac:dyDescent="0.2">
      <c r="A309" s="1199"/>
      <c r="B309" s="1200"/>
      <c r="C309" s="1201"/>
      <c r="D309" s="1200"/>
      <c r="E309" s="1200"/>
      <c r="F309" s="1201"/>
      <c r="G309" s="1200"/>
      <c r="H309" s="1200"/>
      <c r="I309" s="1201"/>
      <c r="J309" s="4117"/>
      <c r="K309" s="4117"/>
      <c r="L309" s="4123"/>
      <c r="M309" s="4340"/>
      <c r="N309" s="4123"/>
      <c r="O309" s="4334"/>
      <c r="P309" s="4120"/>
      <c r="Q309" s="4140"/>
      <c r="R309" s="4143"/>
      <c r="S309" s="4120"/>
      <c r="T309" s="4123"/>
      <c r="U309" s="4336"/>
      <c r="V309" s="2578">
        <f>573833621+465971836</f>
        <v>1039805457</v>
      </c>
      <c r="W309" s="2579">
        <v>97</v>
      </c>
      <c r="X309" s="2514" t="s">
        <v>578</v>
      </c>
      <c r="Y309" s="4241"/>
      <c r="Z309" s="4123"/>
      <c r="AA309" s="4135"/>
      <c r="AB309" s="4135"/>
      <c r="AC309" s="4135"/>
      <c r="AD309" s="4135"/>
      <c r="AE309" s="4135"/>
      <c r="AF309" s="4338"/>
      <c r="AG309" s="4338"/>
      <c r="AH309" s="4338"/>
      <c r="AI309" s="4338"/>
      <c r="AJ309" s="4338"/>
      <c r="AK309" s="4338"/>
      <c r="AL309" s="4338"/>
      <c r="AM309" s="4338"/>
      <c r="AN309" s="4135"/>
      <c r="AO309" s="4149"/>
      <c r="AP309" s="4149"/>
      <c r="AQ309" s="4152"/>
      <c r="AR309" s="2594"/>
      <c r="AS309" s="1188"/>
      <c r="AT309" s="1188"/>
      <c r="AU309" s="1188"/>
      <c r="AV309" s="1188"/>
      <c r="AW309" s="1188"/>
      <c r="AX309" s="1188"/>
      <c r="AY309" s="1188"/>
      <c r="AZ309" s="1188"/>
      <c r="BA309" s="1188"/>
      <c r="BB309" s="1188"/>
      <c r="BC309" s="1188"/>
      <c r="BD309" s="1188"/>
      <c r="BE309" s="1188"/>
      <c r="BF309" s="1188"/>
      <c r="BG309" s="1188"/>
      <c r="BH309" s="1188"/>
      <c r="BI309" s="1188"/>
      <c r="BJ309" s="1188"/>
      <c r="BK309" s="1188"/>
      <c r="BL309" s="1188"/>
      <c r="BM309" s="1188"/>
      <c r="BN309" s="1188"/>
      <c r="BO309" s="1188"/>
      <c r="BP309" s="1188"/>
      <c r="BQ309" s="1188"/>
      <c r="BR309" s="1188"/>
      <c r="BS309" s="1188"/>
      <c r="BT309" s="1188"/>
      <c r="BU309" s="1188"/>
      <c r="BV309" s="1188"/>
      <c r="BW309" s="1188"/>
      <c r="BX309" s="1188"/>
      <c r="BY309" s="1188"/>
      <c r="BZ309" s="1188"/>
      <c r="CA309" s="1188"/>
      <c r="CB309" s="1188"/>
      <c r="CC309" s="1188"/>
      <c r="CD309" s="1188"/>
      <c r="CE309" s="1188"/>
      <c r="CF309" s="1188"/>
      <c r="CG309" s="1188"/>
      <c r="CH309" s="1188"/>
      <c r="CI309" s="1188"/>
      <c r="CJ309" s="1188"/>
      <c r="CK309" s="1188"/>
      <c r="CL309" s="1188"/>
      <c r="CM309" s="1188"/>
      <c r="CN309" s="1188"/>
      <c r="CO309" s="1188"/>
      <c r="CP309" s="1188"/>
      <c r="CQ309" s="1188"/>
      <c r="CR309" s="1188"/>
      <c r="CS309" s="1188"/>
      <c r="CT309" s="1188"/>
      <c r="CU309" s="1188"/>
      <c r="CV309" s="1188"/>
      <c r="CW309" s="1188"/>
      <c r="CX309" s="1188"/>
      <c r="CY309" s="1188"/>
      <c r="CZ309" s="1188"/>
      <c r="DA309" s="1188"/>
      <c r="DB309" s="1188"/>
      <c r="DC309" s="1188"/>
      <c r="DD309" s="1188"/>
      <c r="DE309" s="1188"/>
      <c r="DF309" s="1188"/>
      <c r="DG309" s="1188"/>
      <c r="DH309" s="1188"/>
      <c r="DI309" s="1188"/>
      <c r="DJ309" s="1188"/>
      <c r="DK309" s="1188"/>
      <c r="DL309" s="1188"/>
      <c r="DM309" s="1188"/>
      <c r="DN309" s="1188"/>
      <c r="DO309" s="1188"/>
      <c r="DP309" s="1188"/>
      <c r="DQ309" s="1188"/>
      <c r="DR309" s="1188"/>
      <c r="DS309" s="1188"/>
      <c r="DT309" s="1188"/>
      <c r="DU309" s="1188"/>
      <c r="DV309" s="1188"/>
      <c r="DW309" s="1188"/>
      <c r="DX309" s="1188"/>
      <c r="DY309" s="1188"/>
      <c r="DZ309" s="1188"/>
      <c r="EA309" s="1188"/>
      <c r="EB309" s="1188"/>
      <c r="EC309" s="1188"/>
      <c r="ED309" s="1188"/>
      <c r="EE309" s="1188"/>
      <c r="EF309" s="1188"/>
      <c r="EG309" s="1188"/>
      <c r="EH309" s="1188"/>
      <c r="EI309" s="1188"/>
      <c r="EJ309" s="1188"/>
      <c r="EK309" s="1188"/>
      <c r="EL309" s="1188"/>
      <c r="EM309" s="1188"/>
      <c r="EN309" s="1188"/>
      <c r="EO309" s="1188"/>
      <c r="EP309" s="1188"/>
      <c r="EQ309" s="1188"/>
      <c r="ER309" s="1188"/>
      <c r="ES309" s="1188"/>
      <c r="ET309" s="1188"/>
      <c r="EU309" s="1188"/>
      <c r="EV309" s="1188"/>
      <c r="EW309" s="1188"/>
      <c r="EX309" s="1188"/>
      <c r="EY309" s="1188"/>
      <c r="EZ309" s="1188"/>
      <c r="FA309" s="1188"/>
      <c r="FB309" s="1188"/>
      <c r="FC309" s="1188"/>
      <c r="FD309" s="1188"/>
      <c r="FE309" s="1188"/>
      <c r="FF309" s="1188"/>
      <c r="FG309" s="1188"/>
      <c r="FH309" s="1188"/>
      <c r="FI309" s="1188"/>
      <c r="FJ309" s="1188"/>
      <c r="FK309" s="1188"/>
      <c r="FL309" s="1188"/>
      <c r="FM309" s="1188"/>
      <c r="FN309" s="1188"/>
      <c r="FO309" s="1188"/>
      <c r="FP309" s="1188"/>
      <c r="FQ309" s="1188"/>
      <c r="FR309" s="1188"/>
      <c r="FS309" s="1188"/>
    </row>
    <row r="310" spans="1:175" s="1304" customFormat="1" ht="45" customHeight="1" x14ac:dyDescent="0.2">
      <c r="A310" s="1199"/>
      <c r="B310" s="1200"/>
      <c r="C310" s="1201"/>
      <c r="D310" s="1200"/>
      <c r="E310" s="1200"/>
      <c r="F310" s="1201"/>
      <c r="G310" s="1200"/>
      <c r="H310" s="1200"/>
      <c r="I310" s="1201"/>
      <c r="J310" s="4117"/>
      <c r="K310" s="4117"/>
      <c r="L310" s="4123"/>
      <c r="M310" s="4340"/>
      <c r="N310" s="4123"/>
      <c r="O310" s="4334"/>
      <c r="P310" s="4120"/>
      <c r="Q310" s="4140"/>
      <c r="R310" s="4143"/>
      <c r="S310" s="4120"/>
      <c r="T310" s="4123"/>
      <c r="U310" s="4336"/>
      <c r="V310" s="2578">
        <v>6866202</v>
      </c>
      <c r="W310" s="2579">
        <v>65</v>
      </c>
      <c r="X310" s="2514" t="s">
        <v>579</v>
      </c>
      <c r="Y310" s="4241"/>
      <c r="Z310" s="4123"/>
      <c r="AA310" s="4135"/>
      <c r="AB310" s="4135"/>
      <c r="AC310" s="4135"/>
      <c r="AD310" s="4135"/>
      <c r="AE310" s="4135"/>
      <c r="AF310" s="4338"/>
      <c r="AG310" s="4338"/>
      <c r="AH310" s="4338"/>
      <c r="AI310" s="4338"/>
      <c r="AJ310" s="4338"/>
      <c r="AK310" s="4338"/>
      <c r="AL310" s="4338"/>
      <c r="AM310" s="4338"/>
      <c r="AN310" s="4135"/>
      <c r="AO310" s="4149"/>
      <c r="AP310" s="4149"/>
      <c r="AQ310" s="4152"/>
      <c r="AR310" s="2594"/>
      <c r="AS310" s="1188"/>
      <c r="AT310" s="1188"/>
      <c r="AU310" s="1188"/>
      <c r="AV310" s="1188"/>
      <c r="AW310" s="1188"/>
      <c r="AX310" s="1188"/>
      <c r="AY310" s="1188"/>
      <c r="AZ310" s="1188"/>
      <c r="BA310" s="1188"/>
      <c r="BB310" s="1188"/>
      <c r="BC310" s="1188"/>
      <c r="BD310" s="1188"/>
      <c r="BE310" s="1188"/>
      <c r="BF310" s="1188"/>
      <c r="BG310" s="1188"/>
      <c r="BH310" s="1188"/>
      <c r="BI310" s="1188"/>
      <c r="BJ310" s="1188"/>
      <c r="BK310" s="1188"/>
      <c r="BL310" s="1188"/>
      <c r="BM310" s="1188"/>
      <c r="BN310" s="1188"/>
      <c r="BO310" s="1188"/>
      <c r="BP310" s="1188"/>
      <c r="BQ310" s="1188"/>
      <c r="BR310" s="1188"/>
      <c r="BS310" s="1188"/>
      <c r="BT310" s="1188"/>
      <c r="BU310" s="1188"/>
      <c r="BV310" s="1188"/>
      <c r="BW310" s="1188"/>
      <c r="BX310" s="1188"/>
      <c r="BY310" s="1188"/>
      <c r="BZ310" s="1188"/>
      <c r="CA310" s="1188"/>
      <c r="CB310" s="1188"/>
      <c r="CC310" s="1188"/>
      <c r="CD310" s="1188"/>
      <c r="CE310" s="1188"/>
      <c r="CF310" s="1188"/>
      <c r="CG310" s="1188"/>
      <c r="CH310" s="1188"/>
      <c r="CI310" s="1188"/>
      <c r="CJ310" s="1188"/>
      <c r="CK310" s="1188"/>
      <c r="CL310" s="1188"/>
      <c r="CM310" s="1188"/>
      <c r="CN310" s="1188"/>
      <c r="CO310" s="1188"/>
      <c r="CP310" s="1188"/>
      <c r="CQ310" s="1188"/>
      <c r="CR310" s="1188"/>
      <c r="CS310" s="1188"/>
      <c r="CT310" s="1188"/>
      <c r="CU310" s="1188"/>
      <c r="CV310" s="1188"/>
      <c r="CW310" s="1188"/>
      <c r="CX310" s="1188"/>
      <c r="CY310" s="1188"/>
      <c r="CZ310" s="1188"/>
      <c r="DA310" s="1188"/>
      <c r="DB310" s="1188"/>
      <c r="DC310" s="1188"/>
      <c r="DD310" s="1188"/>
      <c r="DE310" s="1188"/>
      <c r="DF310" s="1188"/>
      <c r="DG310" s="1188"/>
      <c r="DH310" s="1188"/>
      <c r="DI310" s="1188"/>
      <c r="DJ310" s="1188"/>
      <c r="DK310" s="1188"/>
      <c r="DL310" s="1188"/>
      <c r="DM310" s="1188"/>
      <c r="DN310" s="1188"/>
      <c r="DO310" s="1188"/>
      <c r="DP310" s="1188"/>
      <c r="DQ310" s="1188"/>
      <c r="DR310" s="1188"/>
      <c r="DS310" s="1188"/>
      <c r="DT310" s="1188"/>
      <c r="DU310" s="1188"/>
      <c r="DV310" s="1188"/>
      <c r="DW310" s="1188"/>
      <c r="DX310" s="1188"/>
      <c r="DY310" s="1188"/>
      <c r="DZ310" s="1188"/>
      <c r="EA310" s="1188"/>
      <c r="EB310" s="1188"/>
      <c r="EC310" s="1188"/>
      <c r="ED310" s="1188"/>
      <c r="EE310" s="1188"/>
      <c r="EF310" s="1188"/>
      <c r="EG310" s="1188"/>
      <c r="EH310" s="1188"/>
      <c r="EI310" s="1188"/>
      <c r="EJ310" s="1188"/>
      <c r="EK310" s="1188"/>
      <c r="EL310" s="1188"/>
      <c r="EM310" s="1188"/>
      <c r="EN310" s="1188"/>
      <c r="EO310" s="1188"/>
      <c r="EP310" s="1188"/>
      <c r="EQ310" s="1188"/>
      <c r="ER310" s="1188"/>
      <c r="ES310" s="1188"/>
      <c r="ET310" s="1188"/>
      <c r="EU310" s="1188"/>
      <c r="EV310" s="1188"/>
      <c r="EW310" s="1188"/>
      <c r="EX310" s="1188"/>
      <c r="EY310" s="1188"/>
      <c r="EZ310" s="1188"/>
      <c r="FA310" s="1188"/>
      <c r="FB310" s="1188"/>
      <c r="FC310" s="1188"/>
      <c r="FD310" s="1188"/>
      <c r="FE310" s="1188"/>
      <c r="FF310" s="1188"/>
      <c r="FG310" s="1188"/>
      <c r="FH310" s="1188"/>
      <c r="FI310" s="1188"/>
      <c r="FJ310" s="1188"/>
      <c r="FK310" s="1188"/>
      <c r="FL310" s="1188"/>
      <c r="FM310" s="1188"/>
      <c r="FN310" s="1188"/>
      <c r="FO310" s="1188"/>
      <c r="FP310" s="1188"/>
      <c r="FQ310" s="1188"/>
      <c r="FR310" s="1188"/>
      <c r="FS310" s="1188"/>
    </row>
    <row r="311" spans="1:175" s="1304" customFormat="1" ht="45" customHeight="1" x14ac:dyDescent="0.2">
      <c r="A311" s="1199"/>
      <c r="B311" s="1200"/>
      <c r="C311" s="1201"/>
      <c r="D311" s="1200"/>
      <c r="E311" s="1200"/>
      <c r="F311" s="1201"/>
      <c r="G311" s="1200"/>
      <c r="H311" s="1200"/>
      <c r="I311" s="1201"/>
      <c r="J311" s="4117"/>
      <c r="K311" s="4117"/>
      <c r="L311" s="4123"/>
      <c r="M311" s="4340"/>
      <c r="N311" s="4123"/>
      <c r="O311" s="4334"/>
      <c r="P311" s="4120"/>
      <c r="Q311" s="4140"/>
      <c r="R311" s="4143"/>
      <c r="S311" s="4120"/>
      <c r="T311" s="4123"/>
      <c r="U311" s="4336"/>
      <c r="V311" s="2578">
        <v>134128260</v>
      </c>
      <c r="W311" s="2579">
        <v>156</v>
      </c>
      <c r="X311" s="2514" t="s">
        <v>580</v>
      </c>
      <c r="Y311" s="4241"/>
      <c r="Z311" s="4123"/>
      <c r="AA311" s="4135"/>
      <c r="AB311" s="4135"/>
      <c r="AC311" s="4135"/>
      <c r="AD311" s="4135"/>
      <c r="AE311" s="4135"/>
      <c r="AF311" s="4338"/>
      <c r="AG311" s="4338"/>
      <c r="AH311" s="4338"/>
      <c r="AI311" s="4338"/>
      <c r="AJ311" s="4338"/>
      <c r="AK311" s="4338"/>
      <c r="AL311" s="4338"/>
      <c r="AM311" s="4338"/>
      <c r="AN311" s="4135"/>
      <c r="AO311" s="4149"/>
      <c r="AP311" s="4149"/>
      <c r="AQ311" s="4152"/>
      <c r="AR311" s="2594"/>
      <c r="AS311" s="1188"/>
      <c r="AT311" s="1188"/>
      <c r="AU311" s="1188"/>
      <c r="AV311" s="1188"/>
      <c r="AW311" s="1188"/>
      <c r="AX311" s="1188"/>
      <c r="AY311" s="1188"/>
      <c r="AZ311" s="1188"/>
      <c r="BA311" s="1188"/>
      <c r="BB311" s="1188"/>
      <c r="BC311" s="1188"/>
      <c r="BD311" s="1188"/>
      <c r="BE311" s="1188"/>
      <c r="BF311" s="1188"/>
      <c r="BG311" s="1188"/>
      <c r="BH311" s="1188"/>
      <c r="BI311" s="1188"/>
      <c r="BJ311" s="1188"/>
      <c r="BK311" s="1188"/>
      <c r="BL311" s="1188"/>
      <c r="BM311" s="1188"/>
      <c r="BN311" s="1188"/>
      <c r="BO311" s="1188"/>
      <c r="BP311" s="1188"/>
      <c r="BQ311" s="1188"/>
      <c r="BR311" s="1188"/>
      <c r="BS311" s="1188"/>
      <c r="BT311" s="1188"/>
      <c r="BU311" s="1188"/>
      <c r="BV311" s="1188"/>
      <c r="BW311" s="1188"/>
      <c r="BX311" s="1188"/>
      <c r="BY311" s="1188"/>
      <c r="BZ311" s="1188"/>
      <c r="CA311" s="1188"/>
      <c r="CB311" s="1188"/>
      <c r="CC311" s="1188"/>
      <c r="CD311" s="1188"/>
      <c r="CE311" s="1188"/>
      <c r="CF311" s="1188"/>
      <c r="CG311" s="1188"/>
      <c r="CH311" s="1188"/>
      <c r="CI311" s="1188"/>
      <c r="CJ311" s="1188"/>
      <c r="CK311" s="1188"/>
      <c r="CL311" s="1188"/>
      <c r="CM311" s="1188"/>
      <c r="CN311" s="1188"/>
      <c r="CO311" s="1188"/>
      <c r="CP311" s="1188"/>
      <c r="CQ311" s="1188"/>
      <c r="CR311" s="1188"/>
      <c r="CS311" s="1188"/>
      <c r="CT311" s="1188"/>
      <c r="CU311" s="1188"/>
      <c r="CV311" s="1188"/>
      <c r="CW311" s="1188"/>
      <c r="CX311" s="1188"/>
      <c r="CY311" s="1188"/>
      <c r="CZ311" s="1188"/>
      <c r="DA311" s="1188"/>
      <c r="DB311" s="1188"/>
      <c r="DC311" s="1188"/>
      <c r="DD311" s="1188"/>
      <c r="DE311" s="1188"/>
      <c r="DF311" s="1188"/>
      <c r="DG311" s="1188"/>
      <c r="DH311" s="1188"/>
      <c r="DI311" s="1188"/>
      <c r="DJ311" s="1188"/>
      <c r="DK311" s="1188"/>
      <c r="DL311" s="1188"/>
      <c r="DM311" s="1188"/>
      <c r="DN311" s="1188"/>
      <c r="DO311" s="1188"/>
      <c r="DP311" s="1188"/>
      <c r="DQ311" s="1188"/>
      <c r="DR311" s="1188"/>
      <c r="DS311" s="1188"/>
      <c r="DT311" s="1188"/>
      <c r="DU311" s="1188"/>
      <c r="DV311" s="1188"/>
      <c r="DW311" s="1188"/>
      <c r="DX311" s="1188"/>
      <c r="DY311" s="1188"/>
      <c r="DZ311" s="1188"/>
      <c r="EA311" s="1188"/>
      <c r="EB311" s="1188"/>
      <c r="EC311" s="1188"/>
      <c r="ED311" s="1188"/>
      <c r="EE311" s="1188"/>
      <c r="EF311" s="1188"/>
      <c r="EG311" s="1188"/>
      <c r="EH311" s="1188"/>
      <c r="EI311" s="1188"/>
      <c r="EJ311" s="1188"/>
      <c r="EK311" s="1188"/>
      <c r="EL311" s="1188"/>
      <c r="EM311" s="1188"/>
      <c r="EN311" s="1188"/>
      <c r="EO311" s="1188"/>
      <c r="EP311" s="1188"/>
      <c r="EQ311" s="1188"/>
      <c r="ER311" s="1188"/>
      <c r="ES311" s="1188"/>
      <c r="ET311" s="1188"/>
      <c r="EU311" s="1188"/>
      <c r="EV311" s="1188"/>
      <c r="EW311" s="1188"/>
      <c r="EX311" s="1188"/>
      <c r="EY311" s="1188"/>
      <c r="EZ311" s="1188"/>
      <c r="FA311" s="1188"/>
      <c r="FB311" s="1188"/>
      <c r="FC311" s="1188"/>
      <c r="FD311" s="1188"/>
      <c r="FE311" s="1188"/>
      <c r="FF311" s="1188"/>
      <c r="FG311" s="1188"/>
      <c r="FH311" s="1188"/>
      <c r="FI311" s="1188"/>
      <c r="FJ311" s="1188"/>
      <c r="FK311" s="1188"/>
      <c r="FL311" s="1188"/>
      <c r="FM311" s="1188"/>
      <c r="FN311" s="1188"/>
      <c r="FO311" s="1188"/>
      <c r="FP311" s="1188"/>
      <c r="FQ311" s="1188"/>
      <c r="FR311" s="1188"/>
      <c r="FS311" s="1188"/>
    </row>
    <row r="312" spans="1:175" s="1304" customFormat="1" ht="51.75" customHeight="1" x14ac:dyDescent="0.2">
      <c r="A312" s="1199"/>
      <c r="B312" s="1200"/>
      <c r="C312" s="1201"/>
      <c r="D312" s="1200"/>
      <c r="E312" s="1200"/>
      <c r="F312" s="1201"/>
      <c r="G312" s="1200"/>
      <c r="H312" s="1200"/>
      <c r="I312" s="1201"/>
      <c r="J312" s="4117"/>
      <c r="K312" s="4117"/>
      <c r="L312" s="4123"/>
      <c r="M312" s="4340"/>
      <c r="N312" s="4123"/>
      <c r="O312" s="4334"/>
      <c r="P312" s="4120"/>
      <c r="Q312" s="4140"/>
      <c r="R312" s="4143"/>
      <c r="S312" s="4120"/>
      <c r="T312" s="4123"/>
      <c r="U312" s="4336"/>
      <c r="V312" s="2578">
        <v>68256639</v>
      </c>
      <c r="W312" s="2579">
        <v>102</v>
      </c>
      <c r="X312" s="2514" t="s">
        <v>581</v>
      </c>
      <c r="Y312" s="4241"/>
      <c r="Z312" s="4123"/>
      <c r="AA312" s="4135"/>
      <c r="AB312" s="4135"/>
      <c r="AC312" s="4135"/>
      <c r="AD312" s="4135"/>
      <c r="AE312" s="4135"/>
      <c r="AF312" s="4338"/>
      <c r="AG312" s="4338"/>
      <c r="AH312" s="4338"/>
      <c r="AI312" s="4338"/>
      <c r="AJ312" s="4338"/>
      <c r="AK312" s="4338"/>
      <c r="AL312" s="4338"/>
      <c r="AM312" s="4338"/>
      <c r="AN312" s="4135"/>
      <c r="AO312" s="4149"/>
      <c r="AP312" s="4149"/>
      <c r="AQ312" s="4152"/>
      <c r="AR312" s="2594"/>
      <c r="AS312" s="1188"/>
      <c r="AT312" s="1188"/>
      <c r="AU312" s="1188"/>
      <c r="AV312" s="1188"/>
      <c r="AW312" s="1188"/>
      <c r="AX312" s="1188"/>
      <c r="AY312" s="1188"/>
      <c r="AZ312" s="1188"/>
      <c r="BA312" s="1188"/>
      <c r="BB312" s="1188"/>
      <c r="BC312" s="1188"/>
      <c r="BD312" s="1188"/>
      <c r="BE312" s="1188"/>
      <c r="BF312" s="1188"/>
      <c r="BG312" s="1188"/>
      <c r="BH312" s="1188"/>
      <c r="BI312" s="1188"/>
      <c r="BJ312" s="1188"/>
      <c r="BK312" s="1188"/>
      <c r="BL312" s="1188"/>
      <c r="BM312" s="1188"/>
      <c r="BN312" s="1188"/>
      <c r="BO312" s="1188"/>
      <c r="BP312" s="1188"/>
      <c r="BQ312" s="1188"/>
      <c r="BR312" s="1188"/>
      <c r="BS312" s="1188"/>
      <c r="BT312" s="1188"/>
      <c r="BU312" s="1188"/>
      <c r="BV312" s="1188"/>
      <c r="BW312" s="1188"/>
      <c r="BX312" s="1188"/>
      <c r="BY312" s="1188"/>
      <c r="BZ312" s="1188"/>
      <c r="CA312" s="1188"/>
      <c r="CB312" s="1188"/>
      <c r="CC312" s="1188"/>
      <c r="CD312" s="1188"/>
      <c r="CE312" s="1188"/>
      <c r="CF312" s="1188"/>
      <c r="CG312" s="1188"/>
      <c r="CH312" s="1188"/>
      <c r="CI312" s="1188"/>
      <c r="CJ312" s="1188"/>
      <c r="CK312" s="1188"/>
      <c r="CL312" s="1188"/>
      <c r="CM312" s="1188"/>
      <c r="CN312" s="1188"/>
      <c r="CO312" s="1188"/>
      <c r="CP312" s="1188"/>
      <c r="CQ312" s="1188"/>
      <c r="CR312" s="1188"/>
      <c r="CS312" s="1188"/>
      <c r="CT312" s="1188"/>
      <c r="CU312" s="1188"/>
      <c r="CV312" s="1188"/>
      <c r="CW312" s="1188"/>
      <c r="CX312" s="1188"/>
      <c r="CY312" s="1188"/>
      <c r="CZ312" s="1188"/>
      <c r="DA312" s="1188"/>
      <c r="DB312" s="1188"/>
      <c r="DC312" s="1188"/>
      <c r="DD312" s="1188"/>
      <c r="DE312" s="1188"/>
      <c r="DF312" s="1188"/>
      <c r="DG312" s="1188"/>
      <c r="DH312" s="1188"/>
      <c r="DI312" s="1188"/>
      <c r="DJ312" s="1188"/>
      <c r="DK312" s="1188"/>
      <c r="DL312" s="1188"/>
      <c r="DM312" s="1188"/>
      <c r="DN312" s="1188"/>
      <c r="DO312" s="1188"/>
      <c r="DP312" s="1188"/>
      <c r="DQ312" s="1188"/>
      <c r="DR312" s="1188"/>
      <c r="DS312" s="1188"/>
      <c r="DT312" s="1188"/>
      <c r="DU312" s="1188"/>
      <c r="DV312" s="1188"/>
      <c r="DW312" s="1188"/>
      <c r="DX312" s="1188"/>
      <c r="DY312" s="1188"/>
      <c r="DZ312" s="1188"/>
      <c r="EA312" s="1188"/>
      <c r="EB312" s="1188"/>
      <c r="EC312" s="1188"/>
      <c r="ED312" s="1188"/>
      <c r="EE312" s="1188"/>
      <c r="EF312" s="1188"/>
      <c r="EG312" s="1188"/>
      <c r="EH312" s="1188"/>
      <c r="EI312" s="1188"/>
      <c r="EJ312" s="1188"/>
      <c r="EK312" s="1188"/>
      <c r="EL312" s="1188"/>
      <c r="EM312" s="1188"/>
      <c r="EN312" s="1188"/>
      <c r="EO312" s="1188"/>
      <c r="EP312" s="1188"/>
      <c r="EQ312" s="1188"/>
      <c r="ER312" s="1188"/>
      <c r="ES312" s="1188"/>
      <c r="ET312" s="1188"/>
      <c r="EU312" s="1188"/>
      <c r="EV312" s="1188"/>
      <c r="EW312" s="1188"/>
      <c r="EX312" s="1188"/>
      <c r="EY312" s="1188"/>
      <c r="EZ312" s="1188"/>
      <c r="FA312" s="1188"/>
      <c r="FB312" s="1188"/>
      <c r="FC312" s="1188"/>
      <c r="FD312" s="1188"/>
      <c r="FE312" s="1188"/>
      <c r="FF312" s="1188"/>
      <c r="FG312" s="1188"/>
      <c r="FH312" s="1188"/>
      <c r="FI312" s="1188"/>
      <c r="FJ312" s="1188"/>
      <c r="FK312" s="1188"/>
      <c r="FL312" s="1188"/>
      <c r="FM312" s="1188"/>
      <c r="FN312" s="1188"/>
      <c r="FO312" s="1188"/>
      <c r="FP312" s="1188"/>
      <c r="FQ312" s="1188"/>
      <c r="FR312" s="1188"/>
      <c r="FS312" s="1188"/>
    </row>
    <row r="313" spans="1:175" s="1304" customFormat="1" ht="42.75" customHeight="1" x14ac:dyDescent="0.2">
      <c r="A313" s="1199"/>
      <c r="B313" s="1200"/>
      <c r="C313" s="1201"/>
      <c r="D313" s="1200"/>
      <c r="E313" s="1200"/>
      <c r="F313" s="1201"/>
      <c r="G313" s="1200"/>
      <c r="H313" s="1200"/>
      <c r="I313" s="1201"/>
      <c r="J313" s="4117"/>
      <c r="K313" s="4117"/>
      <c r="L313" s="4123"/>
      <c r="M313" s="4340"/>
      <c r="N313" s="4123"/>
      <c r="O313" s="4334"/>
      <c r="P313" s="4120"/>
      <c r="Q313" s="4140"/>
      <c r="R313" s="4143"/>
      <c r="S313" s="4120"/>
      <c r="T313" s="4123"/>
      <c r="U313" s="4336"/>
      <c r="V313" s="2582">
        <v>151028573</v>
      </c>
      <c r="W313" s="2583">
        <v>148</v>
      </c>
      <c r="X313" s="2514" t="s">
        <v>582</v>
      </c>
      <c r="Y313" s="4241"/>
      <c r="Z313" s="4123"/>
      <c r="AA313" s="4135"/>
      <c r="AB313" s="4135"/>
      <c r="AC313" s="4135"/>
      <c r="AD313" s="4135"/>
      <c r="AE313" s="4135"/>
      <c r="AF313" s="4338"/>
      <c r="AG313" s="4338"/>
      <c r="AH313" s="4338"/>
      <c r="AI313" s="4338"/>
      <c r="AJ313" s="4338"/>
      <c r="AK313" s="4338"/>
      <c r="AL313" s="4338"/>
      <c r="AM313" s="4338"/>
      <c r="AN313" s="4135"/>
      <c r="AO313" s="4149"/>
      <c r="AP313" s="4149"/>
      <c r="AQ313" s="4152"/>
      <c r="AR313" s="2594"/>
      <c r="AS313" s="1188"/>
      <c r="AT313" s="1188"/>
      <c r="AU313" s="1188"/>
      <c r="AV313" s="1188"/>
      <c r="AW313" s="1188"/>
      <c r="AX313" s="1188"/>
      <c r="AY313" s="1188"/>
      <c r="AZ313" s="1188"/>
      <c r="BA313" s="1188"/>
      <c r="BB313" s="1188"/>
      <c r="BC313" s="1188"/>
      <c r="BD313" s="1188"/>
      <c r="BE313" s="1188"/>
      <c r="BF313" s="1188"/>
      <c r="BG313" s="1188"/>
      <c r="BH313" s="1188"/>
      <c r="BI313" s="1188"/>
      <c r="BJ313" s="1188"/>
      <c r="BK313" s="1188"/>
      <c r="BL313" s="1188"/>
      <c r="BM313" s="1188"/>
      <c r="BN313" s="1188"/>
      <c r="BO313" s="1188"/>
      <c r="BP313" s="1188"/>
      <c r="BQ313" s="1188"/>
      <c r="BR313" s="1188"/>
      <c r="BS313" s="1188"/>
      <c r="BT313" s="1188"/>
      <c r="BU313" s="1188"/>
      <c r="BV313" s="1188"/>
      <c r="BW313" s="1188"/>
      <c r="BX313" s="1188"/>
      <c r="BY313" s="1188"/>
      <c r="BZ313" s="1188"/>
      <c r="CA313" s="1188"/>
      <c r="CB313" s="1188"/>
      <c r="CC313" s="1188"/>
      <c r="CD313" s="1188"/>
      <c r="CE313" s="1188"/>
      <c r="CF313" s="1188"/>
      <c r="CG313" s="1188"/>
      <c r="CH313" s="1188"/>
      <c r="CI313" s="1188"/>
      <c r="CJ313" s="1188"/>
      <c r="CK313" s="1188"/>
      <c r="CL313" s="1188"/>
      <c r="CM313" s="1188"/>
      <c r="CN313" s="1188"/>
      <c r="CO313" s="1188"/>
      <c r="CP313" s="1188"/>
      <c r="CQ313" s="1188"/>
      <c r="CR313" s="1188"/>
      <c r="CS313" s="1188"/>
      <c r="CT313" s="1188"/>
      <c r="CU313" s="1188"/>
      <c r="CV313" s="1188"/>
      <c r="CW313" s="1188"/>
      <c r="CX313" s="1188"/>
      <c r="CY313" s="1188"/>
      <c r="CZ313" s="1188"/>
      <c r="DA313" s="1188"/>
      <c r="DB313" s="1188"/>
      <c r="DC313" s="1188"/>
      <c r="DD313" s="1188"/>
      <c r="DE313" s="1188"/>
      <c r="DF313" s="1188"/>
      <c r="DG313" s="1188"/>
      <c r="DH313" s="1188"/>
      <c r="DI313" s="1188"/>
      <c r="DJ313" s="1188"/>
      <c r="DK313" s="1188"/>
      <c r="DL313" s="1188"/>
      <c r="DM313" s="1188"/>
      <c r="DN313" s="1188"/>
      <c r="DO313" s="1188"/>
      <c r="DP313" s="1188"/>
      <c r="DQ313" s="1188"/>
      <c r="DR313" s="1188"/>
      <c r="DS313" s="1188"/>
      <c r="DT313" s="1188"/>
      <c r="DU313" s="1188"/>
      <c r="DV313" s="1188"/>
      <c r="DW313" s="1188"/>
      <c r="DX313" s="1188"/>
      <c r="DY313" s="1188"/>
      <c r="DZ313" s="1188"/>
      <c r="EA313" s="1188"/>
      <c r="EB313" s="1188"/>
      <c r="EC313" s="1188"/>
      <c r="ED313" s="1188"/>
      <c r="EE313" s="1188"/>
      <c r="EF313" s="1188"/>
      <c r="EG313" s="1188"/>
      <c r="EH313" s="1188"/>
      <c r="EI313" s="1188"/>
      <c r="EJ313" s="1188"/>
      <c r="EK313" s="1188"/>
      <c r="EL313" s="1188"/>
      <c r="EM313" s="1188"/>
      <c r="EN313" s="1188"/>
      <c r="EO313" s="1188"/>
      <c r="EP313" s="1188"/>
      <c r="EQ313" s="1188"/>
      <c r="ER313" s="1188"/>
      <c r="ES313" s="1188"/>
      <c r="ET313" s="1188"/>
      <c r="EU313" s="1188"/>
      <c r="EV313" s="1188"/>
      <c r="EW313" s="1188"/>
      <c r="EX313" s="1188"/>
      <c r="EY313" s="1188"/>
      <c r="EZ313" s="1188"/>
      <c r="FA313" s="1188"/>
      <c r="FB313" s="1188"/>
      <c r="FC313" s="1188"/>
      <c r="FD313" s="1188"/>
      <c r="FE313" s="1188"/>
      <c r="FF313" s="1188"/>
      <c r="FG313" s="1188"/>
      <c r="FH313" s="1188"/>
      <c r="FI313" s="1188"/>
      <c r="FJ313" s="1188"/>
      <c r="FK313" s="1188"/>
      <c r="FL313" s="1188"/>
      <c r="FM313" s="1188"/>
      <c r="FN313" s="1188"/>
      <c r="FO313" s="1188"/>
      <c r="FP313" s="1188"/>
      <c r="FQ313" s="1188"/>
      <c r="FR313" s="1188"/>
      <c r="FS313" s="1188"/>
    </row>
    <row r="314" spans="1:175" s="1304" customFormat="1" ht="38.25" customHeight="1" x14ac:dyDescent="0.2">
      <c r="A314" s="1199"/>
      <c r="B314" s="1200"/>
      <c r="C314" s="1201"/>
      <c r="D314" s="1200"/>
      <c r="E314" s="1200"/>
      <c r="F314" s="1201"/>
      <c r="G314" s="1200"/>
      <c r="H314" s="1200"/>
      <c r="I314" s="1201"/>
      <c r="J314" s="4117"/>
      <c r="K314" s="4117"/>
      <c r="L314" s="4123"/>
      <c r="M314" s="4340"/>
      <c r="N314" s="4123"/>
      <c r="O314" s="4334"/>
      <c r="P314" s="4120"/>
      <c r="Q314" s="4140"/>
      <c r="R314" s="4143"/>
      <c r="S314" s="4120"/>
      <c r="T314" s="4123"/>
      <c r="U314" s="4336"/>
      <c r="V314" s="2582">
        <f>903327+139747405.92</f>
        <v>140650732.91999999</v>
      </c>
      <c r="W314" s="2583">
        <v>152</v>
      </c>
      <c r="X314" s="2514" t="s">
        <v>583</v>
      </c>
      <c r="Y314" s="4241"/>
      <c r="Z314" s="4123"/>
      <c r="AA314" s="4135"/>
      <c r="AB314" s="4135"/>
      <c r="AC314" s="4135"/>
      <c r="AD314" s="4135"/>
      <c r="AE314" s="4135"/>
      <c r="AF314" s="4338"/>
      <c r="AG314" s="4338"/>
      <c r="AH314" s="4338"/>
      <c r="AI314" s="4338"/>
      <c r="AJ314" s="4338"/>
      <c r="AK314" s="4338"/>
      <c r="AL314" s="4338"/>
      <c r="AM314" s="4338"/>
      <c r="AN314" s="4135"/>
      <c r="AO314" s="4149"/>
      <c r="AP314" s="4149"/>
      <c r="AQ314" s="4152"/>
      <c r="AR314" s="2594"/>
      <c r="AS314" s="1188"/>
      <c r="AT314" s="1188"/>
      <c r="AU314" s="1188"/>
      <c r="AV314" s="1188"/>
      <c r="AW314" s="1188"/>
      <c r="AX314" s="1188"/>
      <c r="AY314" s="1188"/>
      <c r="AZ314" s="1188"/>
      <c r="BA314" s="1188"/>
      <c r="BB314" s="1188"/>
      <c r="BC314" s="1188"/>
      <c r="BD314" s="1188"/>
      <c r="BE314" s="1188"/>
      <c r="BF314" s="1188"/>
      <c r="BG314" s="1188"/>
      <c r="BH314" s="1188"/>
      <c r="BI314" s="1188"/>
      <c r="BJ314" s="1188"/>
      <c r="BK314" s="1188"/>
      <c r="BL314" s="1188"/>
      <c r="BM314" s="1188"/>
      <c r="BN314" s="1188"/>
      <c r="BO314" s="1188"/>
      <c r="BP314" s="1188"/>
      <c r="BQ314" s="1188"/>
      <c r="BR314" s="1188"/>
      <c r="BS314" s="1188"/>
      <c r="BT314" s="1188"/>
      <c r="BU314" s="1188"/>
      <c r="BV314" s="1188"/>
      <c r="BW314" s="1188"/>
      <c r="BX314" s="1188"/>
      <c r="BY314" s="1188"/>
      <c r="BZ314" s="1188"/>
      <c r="CA314" s="1188"/>
      <c r="CB314" s="1188"/>
      <c r="CC314" s="1188"/>
      <c r="CD314" s="1188"/>
      <c r="CE314" s="1188"/>
      <c r="CF314" s="1188"/>
      <c r="CG314" s="1188"/>
      <c r="CH314" s="1188"/>
      <c r="CI314" s="1188"/>
      <c r="CJ314" s="1188"/>
      <c r="CK314" s="1188"/>
      <c r="CL314" s="1188"/>
      <c r="CM314" s="1188"/>
      <c r="CN314" s="1188"/>
      <c r="CO314" s="1188"/>
      <c r="CP314" s="1188"/>
      <c r="CQ314" s="1188"/>
      <c r="CR314" s="1188"/>
      <c r="CS314" s="1188"/>
      <c r="CT314" s="1188"/>
      <c r="CU314" s="1188"/>
      <c r="CV314" s="1188"/>
      <c r="CW314" s="1188"/>
      <c r="CX314" s="1188"/>
      <c r="CY314" s="1188"/>
      <c r="CZ314" s="1188"/>
      <c r="DA314" s="1188"/>
      <c r="DB314" s="1188"/>
      <c r="DC314" s="1188"/>
      <c r="DD314" s="1188"/>
      <c r="DE314" s="1188"/>
      <c r="DF314" s="1188"/>
      <c r="DG314" s="1188"/>
      <c r="DH314" s="1188"/>
      <c r="DI314" s="1188"/>
      <c r="DJ314" s="1188"/>
      <c r="DK314" s="1188"/>
      <c r="DL314" s="1188"/>
      <c r="DM314" s="1188"/>
      <c r="DN314" s="1188"/>
      <c r="DO314" s="1188"/>
      <c r="DP314" s="1188"/>
      <c r="DQ314" s="1188"/>
      <c r="DR314" s="1188"/>
      <c r="DS314" s="1188"/>
      <c r="DT314" s="1188"/>
      <c r="DU314" s="1188"/>
      <c r="DV314" s="1188"/>
      <c r="DW314" s="1188"/>
      <c r="DX314" s="1188"/>
      <c r="DY314" s="1188"/>
      <c r="DZ314" s="1188"/>
      <c r="EA314" s="1188"/>
      <c r="EB314" s="1188"/>
      <c r="EC314" s="1188"/>
      <c r="ED314" s="1188"/>
      <c r="EE314" s="1188"/>
      <c r="EF314" s="1188"/>
      <c r="EG314" s="1188"/>
      <c r="EH314" s="1188"/>
      <c r="EI314" s="1188"/>
      <c r="EJ314" s="1188"/>
      <c r="EK314" s="1188"/>
      <c r="EL314" s="1188"/>
      <c r="EM314" s="1188"/>
      <c r="EN314" s="1188"/>
      <c r="EO314" s="1188"/>
      <c r="EP314" s="1188"/>
      <c r="EQ314" s="1188"/>
      <c r="ER314" s="1188"/>
      <c r="ES314" s="1188"/>
      <c r="ET314" s="1188"/>
      <c r="EU314" s="1188"/>
      <c r="EV314" s="1188"/>
      <c r="EW314" s="1188"/>
      <c r="EX314" s="1188"/>
      <c r="EY314" s="1188"/>
      <c r="EZ314" s="1188"/>
      <c r="FA314" s="1188"/>
      <c r="FB314" s="1188"/>
      <c r="FC314" s="1188"/>
      <c r="FD314" s="1188"/>
      <c r="FE314" s="1188"/>
      <c r="FF314" s="1188"/>
      <c r="FG314" s="1188"/>
      <c r="FH314" s="1188"/>
      <c r="FI314" s="1188"/>
      <c r="FJ314" s="1188"/>
      <c r="FK314" s="1188"/>
      <c r="FL314" s="1188"/>
      <c r="FM314" s="1188"/>
      <c r="FN314" s="1188"/>
      <c r="FO314" s="1188"/>
      <c r="FP314" s="1188"/>
      <c r="FQ314" s="1188"/>
      <c r="FR314" s="1188"/>
      <c r="FS314" s="1188"/>
    </row>
    <row r="315" spans="1:175" s="1304" customFormat="1" ht="38.25" customHeight="1" x14ac:dyDescent="0.2">
      <c r="A315" s="1199"/>
      <c r="B315" s="1200"/>
      <c r="C315" s="1201"/>
      <c r="D315" s="1200"/>
      <c r="E315" s="1200"/>
      <c r="F315" s="1201"/>
      <c r="G315" s="1200"/>
      <c r="H315" s="1200"/>
      <c r="I315" s="1201"/>
      <c r="J315" s="4118"/>
      <c r="K315" s="4118"/>
      <c r="L315" s="4124"/>
      <c r="M315" s="4341"/>
      <c r="N315" s="4123"/>
      <c r="O315" s="4334"/>
      <c r="P315" s="4120"/>
      <c r="Q315" s="4141"/>
      <c r="R315" s="4143"/>
      <c r="S315" s="4120"/>
      <c r="T315" s="4124"/>
      <c r="U315" s="4337"/>
      <c r="V315" s="2582">
        <v>130836198</v>
      </c>
      <c r="W315" s="2583">
        <v>162</v>
      </c>
      <c r="X315" s="2514" t="s">
        <v>584</v>
      </c>
      <c r="Y315" s="4241"/>
      <c r="Z315" s="4123"/>
      <c r="AA315" s="4135"/>
      <c r="AB315" s="4135"/>
      <c r="AC315" s="4135"/>
      <c r="AD315" s="4135"/>
      <c r="AE315" s="4135"/>
      <c r="AF315" s="4338"/>
      <c r="AG315" s="4338"/>
      <c r="AH315" s="4338"/>
      <c r="AI315" s="4338"/>
      <c r="AJ315" s="4338"/>
      <c r="AK315" s="4338"/>
      <c r="AL315" s="4338"/>
      <c r="AM315" s="4338"/>
      <c r="AN315" s="4135"/>
      <c r="AO315" s="4149"/>
      <c r="AP315" s="4149"/>
      <c r="AQ315" s="4152"/>
      <c r="AR315" s="2593"/>
      <c r="AS315" s="1188"/>
      <c r="AT315" s="1188"/>
      <c r="AU315" s="1188"/>
      <c r="AV315" s="1188"/>
      <c r="AW315" s="1188"/>
      <c r="AX315" s="1188"/>
      <c r="AY315" s="1188"/>
      <c r="AZ315" s="1188"/>
      <c r="BA315" s="1188"/>
      <c r="BB315" s="1188"/>
      <c r="BC315" s="1188"/>
      <c r="BD315" s="1188"/>
      <c r="BE315" s="1188"/>
      <c r="BF315" s="1188"/>
      <c r="BG315" s="1188"/>
      <c r="BH315" s="1188"/>
      <c r="BI315" s="1188"/>
      <c r="BJ315" s="1188"/>
      <c r="BK315" s="1188"/>
      <c r="BL315" s="1188"/>
      <c r="BM315" s="1188"/>
      <c r="BN315" s="1188"/>
      <c r="BO315" s="1188"/>
      <c r="BP315" s="1188"/>
      <c r="BQ315" s="1188"/>
      <c r="BR315" s="1188"/>
      <c r="BS315" s="1188"/>
      <c r="BT315" s="1188"/>
      <c r="BU315" s="1188"/>
      <c r="BV315" s="1188"/>
      <c r="BW315" s="1188"/>
      <c r="BX315" s="1188"/>
      <c r="BY315" s="1188"/>
      <c r="BZ315" s="1188"/>
      <c r="CA315" s="1188"/>
      <c r="CB315" s="1188"/>
      <c r="CC315" s="1188"/>
      <c r="CD315" s="1188"/>
      <c r="CE315" s="1188"/>
      <c r="CF315" s="1188"/>
      <c r="CG315" s="1188"/>
      <c r="CH315" s="1188"/>
      <c r="CI315" s="1188"/>
      <c r="CJ315" s="1188"/>
      <c r="CK315" s="1188"/>
      <c r="CL315" s="1188"/>
      <c r="CM315" s="1188"/>
      <c r="CN315" s="1188"/>
      <c r="CO315" s="1188"/>
      <c r="CP315" s="1188"/>
      <c r="CQ315" s="1188"/>
      <c r="CR315" s="1188"/>
      <c r="CS315" s="1188"/>
      <c r="CT315" s="1188"/>
      <c r="CU315" s="1188"/>
      <c r="CV315" s="1188"/>
      <c r="CW315" s="1188"/>
      <c r="CX315" s="1188"/>
      <c r="CY315" s="1188"/>
      <c r="CZ315" s="1188"/>
      <c r="DA315" s="1188"/>
      <c r="DB315" s="1188"/>
      <c r="DC315" s="1188"/>
      <c r="DD315" s="1188"/>
      <c r="DE315" s="1188"/>
      <c r="DF315" s="1188"/>
      <c r="DG315" s="1188"/>
      <c r="DH315" s="1188"/>
      <c r="DI315" s="1188"/>
      <c r="DJ315" s="1188"/>
      <c r="DK315" s="1188"/>
      <c r="DL315" s="1188"/>
      <c r="DM315" s="1188"/>
      <c r="DN315" s="1188"/>
      <c r="DO315" s="1188"/>
      <c r="DP315" s="1188"/>
      <c r="DQ315" s="1188"/>
      <c r="DR315" s="1188"/>
      <c r="DS315" s="1188"/>
      <c r="DT315" s="1188"/>
      <c r="DU315" s="1188"/>
      <c r="DV315" s="1188"/>
      <c r="DW315" s="1188"/>
      <c r="DX315" s="1188"/>
      <c r="DY315" s="1188"/>
      <c r="DZ315" s="1188"/>
      <c r="EA315" s="1188"/>
      <c r="EB315" s="1188"/>
      <c r="EC315" s="1188"/>
      <c r="ED315" s="1188"/>
      <c r="EE315" s="1188"/>
      <c r="EF315" s="1188"/>
      <c r="EG315" s="1188"/>
      <c r="EH315" s="1188"/>
      <c r="EI315" s="1188"/>
      <c r="EJ315" s="1188"/>
      <c r="EK315" s="1188"/>
      <c r="EL315" s="1188"/>
      <c r="EM315" s="1188"/>
      <c r="EN315" s="1188"/>
      <c r="EO315" s="1188"/>
      <c r="EP315" s="1188"/>
      <c r="EQ315" s="1188"/>
      <c r="ER315" s="1188"/>
      <c r="ES315" s="1188"/>
      <c r="ET315" s="1188"/>
      <c r="EU315" s="1188"/>
      <c r="EV315" s="1188"/>
      <c r="EW315" s="1188"/>
      <c r="EX315" s="1188"/>
      <c r="EY315" s="1188"/>
      <c r="EZ315" s="1188"/>
      <c r="FA315" s="1188"/>
      <c r="FB315" s="1188"/>
      <c r="FC315" s="1188"/>
      <c r="FD315" s="1188"/>
      <c r="FE315" s="1188"/>
      <c r="FF315" s="1188"/>
      <c r="FG315" s="1188"/>
      <c r="FH315" s="1188"/>
      <c r="FI315" s="1188"/>
      <c r="FJ315" s="1188"/>
      <c r="FK315" s="1188"/>
      <c r="FL315" s="1188"/>
      <c r="FM315" s="1188"/>
      <c r="FN315" s="1188"/>
      <c r="FO315" s="1188"/>
      <c r="FP315" s="1188"/>
      <c r="FQ315" s="1188"/>
      <c r="FR315" s="1188"/>
      <c r="FS315" s="1188"/>
    </row>
    <row r="316" spans="1:175" ht="61.5" customHeight="1" x14ac:dyDescent="0.2">
      <c r="A316" s="1199"/>
      <c r="B316" s="1200"/>
      <c r="C316" s="1201"/>
      <c r="D316" s="1200"/>
      <c r="E316" s="1200"/>
      <c r="F316" s="1201"/>
      <c r="G316" s="1200"/>
      <c r="H316" s="1200"/>
      <c r="I316" s="1201"/>
      <c r="J316" s="4116">
        <v>168</v>
      </c>
      <c r="K316" s="4215" t="s">
        <v>585</v>
      </c>
      <c r="L316" s="4122" t="s">
        <v>169</v>
      </c>
      <c r="M316" s="4122">
        <v>14</v>
      </c>
      <c r="N316" s="4123"/>
      <c r="O316" s="4334"/>
      <c r="P316" s="4120"/>
      <c r="Q316" s="4139">
        <v>0</v>
      </c>
      <c r="R316" s="4143"/>
      <c r="S316" s="4120"/>
      <c r="T316" s="4145" t="s">
        <v>586</v>
      </c>
      <c r="U316" s="1305" t="s">
        <v>587</v>
      </c>
      <c r="V316" s="1540">
        <v>0</v>
      </c>
      <c r="W316" s="2584"/>
      <c r="X316" s="2585"/>
      <c r="Y316" s="4117"/>
      <c r="Z316" s="4123"/>
      <c r="AA316" s="4135"/>
      <c r="AB316" s="4135"/>
      <c r="AC316" s="4135"/>
      <c r="AD316" s="4135"/>
      <c r="AE316" s="4135"/>
      <c r="AF316" s="4338"/>
      <c r="AG316" s="4338"/>
      <c r="AH316" s="4338"/>
      <c r="AI316" s="4338"/>
      <c r="AJ316" s="4338"/>
      <c r="AK316" s="4338"/>
      <c r="AL316" s="4338"/>
      <c r="AM316" s="4338"/>
      <c r="AN316" s="4135"/>
      <c r="AO316" s="4149"/>
      <c r="AP316" s="4149"/>
      <c r="AQ316" s="4152"/>
    </row>
    <row r="317" spans="1:175" ht="51.75" customHeight="1" x14ac:dyDescent="0.2">
      <c r="A317" s="1199"/>
      <c r="B317" s="1200"/>
      <c r="C317" s="1201"/>
      <c r="D317" s="1200"/>
      <c r="E317" s="1200"/>
      <c r="F317" s="1201"/>
      <c r="G317" s="1306"/>
      <c r="H317" s="1306"/>
      <c r="I317" s="1307"/>
      <c r="J317" s="4118"/>
      <c r="K317" s="4245"/>
      <c r="L317" s="4123"/>
      <c r="M317" s="4123"/>
      <c r="N317" s="4124"/>
      <c r="O317" s="4334"/>
      <c r="P317" s="4120"/>
      <c r="Q317" s="4141"/>
      <c r="R317" s="4143"/>
      <c r="S317" s="4120"/>
      <c r="T317" s="4147"/>
      <c r="U317" s="1308" t="s">
        <v>588</v>
      </c>
      <c r="V317" s="1541"/>
      <c r="W317" s="2572"/>
      <c r="X317" s="2573"/>
      <c r="Y317" s="4118"/>
      <c r="Z317" s="4124"/>
      <c r="AA317" s="4136"/>
      <c r="AB317" s="4136"/>
      <c r="AC317" s="4136"/>
      <c r="AD317" s="4136"/>
      <c r="AE317" s="4136"/>
      <c r="AF317" s="4134"/>
      <c r="AG317" s="4134"/>
      <c r="AH317" s="4134"/>
      <c r="AI317" s="4134"/>
      <c r="AJ317" s="4134"/>
      <c r="AK317" s="4134"/>
      <c r="AL317" s="4134"/>
      <c r="AM317" s="4134"/>
      <c r="AN317" s="4136"/>
      <c r="AO317" s="4149"/>
      <c r="AP317" s="4149"/>
      <c r="AQ317" s="4153"/>
    </row>
    <row r="318" spans="1:175" ht="36" customHeight="1" x14ac:dyDescent="0.2">
      <c r="A318" s="1199"/>
      <c r="B318" s="1200"/>
      <c r="C318" s="1201"/>
      <c r="D318" s="1200"/>
      <c r="E318" s="1200"/>
      <c r="F318" s="1201"/>
      <c r="G318" s="1309">
        <v>51</v>
      </c>
      <c r="H318" s="1310" t="s">
        <v>589</v>
      </c>
      <c r="I318" s="1310"/>
      <c r="J318" s="1294"/>
      <c r="K318" s="1295"/>
      <c r="L318" s="1205"/>
      <c r="M318" s="1205"/>
      <c r="N318" s="1207"/>
      <c r="O318" s="1205"/>
      <c r="P318" s="1206"/>
      <c r="Q318" s="1205"/>
      <c r="R318" s="1235"/>
      <c r="S318" s="1205"/>
      <c r="T318" s="1206"/>
      <c r="U318" s="1206"/>
      <c r="V318" s="1549"/>
      <c r="W318" s="1550"/>
      <c r="X318" s="1551"/>
      <c r="Y318" s="1551"/>
      <c r="Z318" s="1207"/>
      <c r="AA318" s="4344"/>
      <c r="AB318" s="4344"/>
      <c r="AC318" s="4344"/>
      <c r="AD318" s="4344"/>
      <c r="AE318" s="4344"/>
      <c r="AF318" s="4344"/>
      <c r="AG318" s="4344"/>
      <c r="AH318" s="4344"/>
      <c r="AI318" s="4344"/>
      <c r="AJ318" s="4344"/>
      <c r="AK318" s="4344"/>
      <c r="AL318" s="4344"/>
      <c r="AM318" s="4344"/>
      <c r="AN318" s="1312"/>
      <c r="AO318" s="1205"/>
      <c r="AP318" s="1205"/>
      <c r="AQ318" s="1212"/>
    </row>
    <row r="319" spans="1:175" ht="67.5" customHeight="1" x14ac:dyDescent="0.2">
      <c r="A319" s="1313"/>
      <c r="B319" s="1314"/>
      <c r="C319" s="2506"/>
      <c r="D319" s="1314"/>
      <c r="E319" s="1314"/>
      <c r="F319" s="2506"/>
      <c r="G319" s="2508"/>
      <c r="H319" s="2508"/>
      <c r="I319" s="2505"/>
      <c r="J319" s="4122">
        <v>169</v>
      </c>
      <c r="K319" s="4119" t="s">
        <v>590</v>
      </c>
      <c r="L319" s="4122" t="s">
        <v>169</v>
      </c>
      <c r="M319" s="4122">
        <v>12</v>
      </c>
      <c r="N319" s="4122" t="s">
        <v>591</v>
      </c>
      <c r="O319" s="4122" t="s">
        <v>592</v>
      </c>
      <c r="P319" s="4119" t="s">
        <v>593</v>
      </c>
      <c r="Q319" s="4139">
        <f>SUM(V319:V321)/R319</f>
        <v>1</v>
      </c>
      <c r="R319" s="4142">
        <f>SUM(V319+V320+V321)</f>
        <v>58080000</v>
      </c>
      <c r="S319" s="4119" t="s">
        <v>594</v>
      </c>
      <c r="T319" s="1248" t="s">
        <v>595</v>
      </c>
      <c r="U319" s="1248" t="s">
        <v>596</v>
      </c>
      <c r="V319" s="1522">
        <v>19360000</v>
      </c>
      <c r="W319" s="2555">
        <v>20</v>
      </c>
      <c r="X319" s="2507" t="s">
        <v>61</v>
      </c>
      <c r="Y319" s="4116">
        <v>292684</v>
      </c>
      <c r="Z319" s="4122">
        <v>282326</v>
      </c>
      <c r="AA319" s="4134">
        <v>135912</v>
      </c>
      <c r="AB319" s="4134">
        <v>45122</v>
      </c>
      <c r="AC319" s="4342">
        <f>SUM(AC302)</f>
        <v>307101</v>
      </c>
      <c r="AD319" s="4134">
        <v>86875</v>
      </c>
      <c r="AE319" s="4134">
        <v>2145</v>
      </c>
      <c r="AF319" s="4134">
        <v>12718</v>
      </c>
      <c r="AG319" s="4134">
        <v>26</v>
      </c>
      <c r="AH319" s="4134">
        <v>37</v>
      </c>
      <c r="AI319" s="4134" t="s">
        <v>177</v>
      </c>
      <c r="AJ319" s="4342" t="s">
        <v>177</v>
      </c>
      <c r="AK319" s="4134">
        <v>53164</v>
      </c>
      <c r="AL319" s="4134">
        <v>16982</v>
      </c>
      <c r="AM319" s="4342">
        <v>60013</v>
      </c>
      <c r="AN319" s="4338">
        <v>575010</v>
      </c>
      <c r="AO319" s="4302">
        <v>43467</v>
      </c>
      <c r="AP319" s="4302">
        <v>43830</v>
      </c>
      <c r="AQ319" s="4151" t="s">
        <v>178</v>
      </c>
      <c r="AR319" s="2594"/>
    </row>
    <row r="320" spans="1:175" ht="67.5" customHeight="1" x14ac:dyDescent="0.2">
      <c r="A320" s="1313"/>
      <c r="B320" s="1314"/>
      <c r="C320" s="2506"/>
      <c r="D320" s="1314"/>
      <c r="E320" s="1314"/>
      <c r="F320" s="2506"/>
      <c r="G320" s="1314"/>
      <c r="H320" s="1314"/>
      <c r="I320" s="2506"/>
      <c r="J320" s="4123"/>
      <c r="K320" s="4120"/>
      <c r="L320" s="4123"/>
      <c r="M320" s="4123"/>
      <c r="N320" s="4123"/>
      <c r="O320" s="4123"/>
      <c r="P320" s="4120"/>
      <c r="Q320" s="4140"/>
      <c r="R320" s="4143"/>
      <c r="S320" s="4120"/>
      <c r="T320" s="1248" t="s">
        <v>597</v>
      </c>
      <c r="U320" s="1248" t="s">
        <v>598</v>
      </c>
      <c r="V320" s="1522">
        <v>19360000</v>
      </c>
      <c r="W320" s="2555">
        <v>20</v>
      </c>
      <c r="X320" s="2507" t="s">
        <v>61</v>
      </c>
      <c r="Y320" s="4117"/>
      <c r="Z320" s="4123"/>
      <c r="AA320" s="4135"/>
      <c r="AB320" s="4135"/>
      <c r="AC320" s="4343"/>
      <c r="AD320" s="4135"/>
      <c r="AE320" s="4135"/>
      <c r="AF320" s="4135"/>
      <c r="AG320" s="4135"/>
      <c r="AH320" s="4135"/>
      <c r="AI320" s="4135"/>
      <c r="AJ320" s="4343"/>
      <c r="AK320" s="4135"/>
      <c r="AL320" s="4135"/>
      <c r="AM320" s="4343"/>
      <c r="AN320" s="4338"/>
      <c r="AO320" s="4302"/>
      <c r="AP320" s="4302"/>
      <c r="AQ320" s="4152"/>
    </row>
    <row r="321" spans="1:44" ht="128.25" x14ac:dyDescent="0.2">
      <c r="A321" s="1213"/>
      <c r="B321" s="1214"/>
      <c r="C321" s="1215"/>
      <c r="D321" s="1214"/>
      <c r="E321" s="1214"/>
      <c r="F321" s="1215"/>
      <c r="G321" s="1224"/>
      <c r="H321" s="1224"/>
      <c r="I321" s="1225"/>
      <c r="J321" s="4124"/>
      <c r="K321" s="4121"/>
      <c r="L321" s="4124"/>
      <c r="M321" s="4124"/>
      <c r="N321" s="4124"/>
      <c r="O321" s="4124"/>
      <c r="P321" s="4121"/>
      <c r="Q321" s="4141"/>
      <c r="R321" s="4144"/>
      <c r="S321" s="4121"/>
      <c r="T321" s="1248" t="s">
        <v>585</v>
      </c>
      <c r="U321" s="1248" t="s">
        <v>599</v>
      </c>
      <c r="V321" s="1522">
        <v>19360000</v>
      </c>
      <c r="W321" s="2555">
        <v>20</v>
      </c>
      <c r="X321" s="2507" t="s">
        <v>61</v>
      </c>
      <c r="Y321" s="4118"/>
      <c r="Z321" s="4124"/>
      <c r="AA321" s="4135"/>
      <c r="AB321" s="4135"/>
      <c r="AC321" s="4343"/>
      <c r="AD321" s="4135"/>
      <c r="AE321" s="4135"/>
      <c r="AF321" s="4135"/>
      <c r="AG321" s="4135"/>
      <c r="AH321" s="4135"/>
      <c r="AI321" s="4135"/>
      <c r="AJ321" s="4343"/>
      <c r="AK321" s="4135"/>
      <c r="AL321" s="4135"/>
      <c r="AM321" s="4343"/>
      <c r="AN321" s="4338"/>
      <c r="AO321" s="4302"/>
      <c r="AP321" s="4302"/>
      <c r="AQ321" s="4153"/>
    </row>
    <row r="322" spans="1:44" ht="36" customHeight="1" x14ac:dyDescent="0.2">
      <c r="A322" s="1199"/>
      <c r="B322" s="1200"/>
      <c r="C322" s="1201"/>
      <c r="D322" s="1200"/>
      <c r="E322" s="1200"/>
      <c r="F322" s="1201"/>
      <c r="G322" s="1234">
        <v>52</v>
      </c>
      <c r="H322" s="1205" t="s">
        <v>600</v>
      </c>
      <c r="I322" s="1205"/>
      <c r="J322" s="1290"/>
      <c r="K322" s="1291"/>
      <c r="L322" s="1205"/>
      <c r="M322" s="1205"/>
      <c r="N322" s="1207"/>
      <c r="O322" s="1205"/>
      <c r="P322" s="1206"/>
      <c r="Q322" s="1205"/>
      <c r="R322" s="1235"/>
      <c r="S322" s="1205"/>
      <c r="T322" s="1206"/>
      <c r="U322" s="1206"/>
      <c r="V322" s="1206"/>
      <c r="W322" s="1206"/>
      <c r="X322" s="1206"/>
      <c r="Y322" s="1206"/>
      <c r="Z322" s="1207"/>
      <c r="AA322" s="4345"/>
      <c r="AB322" s="4344"/>
      <c r="AC322" s="4344"/>
      <c r="AD322" s="4344"/>
      <c r="AE322" s="4344"/>
      <c r="AF322" s="4344"/>
      <c r="AG322" s="4344"/>
      <c r="AH322" s="4344"/>
      <c r="AI322" s="4344"/>
      <c r="AJ322" s="4344"/>
      <c r="AK322" s="4344"/>
      <c r="AL322" s="4344"/>
      <c r="AM322" s="4344"/>
      <c r="AN322" s="1315"/>
      <c r="AO322" s="1205"/>
      <c r="AP322" s="1205"/>
      <c r="AQ322" s="1212"/>
    </row>
    <row r="323" spans="1:44" ht="39.75" customHeight="1" x14ac:dyDescent="0.2">
      <c r="A323" s="1238"/>
      <c r="B323" s="1239"/>
      <c r="C323" s="1240"/>
      <c r="D323" s="1239"/>
      <c r="E323" s="1239"/>
      <c r="F323" s="1240"/>
      <c r="G323" s="1242"/>
      <c r="H323" s="1242"/>
      <c r="I323" s="1242"/>
      <c r="J323" s="4291">
        <v>170</v>
      </c>
      <c r="K323" s="4270" t="s">
        <v>601</v>
      </c>
      <c r="L323" s="4265" t="s">
        <v>169</v>
      </c>
      <c r="M323" s="4122">
        <v>14</v>
      </c>
      <c r="N323" s="4122" t="s">
        <v>602</v>
      </c>
      <c r="O323" s="4122" t="s">
        <v>603</v>
      </c>
      <c r="P323" s="4122" t="s">
        <v>604</v>
      </c>
      <c r="Q323" s="4139">
        <f>(V323+V325+V324)/R323</f>
        <v>0.5</v>
      </c>
      <c r="R323" s="4142">
        <f>SUM(V323:V327)</f>
        <v>20000000</v>
      </c>
      <c r="S323" s="4122" t="s">
        <v>605</v>
      </c>
      <c r="T323" s="4119" t="s">
        <v>606</v>
      </c>
      <c r="U323" s="1316" t="s">
        <v>607</v>
      </c>
      <c r="V323" s="1542">
        <v>3000000</v>
      </c>
      <c r="W323" s="2555">
        <v>20</v>
      </c>
      <c r="X323" s="1325" t="s">
        <v>61</v>
      </c>
      <c r="Y323" s="4116">
        <v>292684</v>
      </c>
      <c r="Z323" s="4122">
        <v>282326</v>
      </c>
      <c r="AA323" s="4134">
        <v>135912</v>
      </c>
      <c r="AB323" s="4134">
        <v>45122</v>
      </c>
      <c r="AC323" s="4342">
        <f>SUM(AC319)</f>
        <v>307101</v>
      </c>
      <c r="AD323" s="4134">
        <v>86875</v>
      </c>
      <c r="AE323" s="4134">
        <v>2145</v>
      </c>
      <c r="AF323" s="4134">
        <v>12718</v>
      </c>
      <c r="AG323" s="4134">
        <v>26</v>
      </c>
      <c r="AH323" s="4134">
        <v>37</v>
      </c>
      <c r="AI323" s="4134" t="s">
        <v>177</v>
      </c>
      <c r="AJ323" s="4134" t="s">
        <v>177</v>
      </c>
      <c r="AK323" s="4134">
        <v>53164</v>
      </c>
      <c r="AL323" s="4134">
        <v>16982</v>
      </c>
      <c r="AM323" s="4134">
        <v>60013</v>
      </c>
      <c r="AN323" s="4338">
        <v>575010</v>
      </c>
      <c r="AO323" s="4346">
        <v>43467</v>
      </c>
      <c r="AP323" s="4346">
        <v>43830</v>
      </c>
      <c r="AQ323" s="4347" t="s">
        <v>178</v>
      </c>
      <c r="AR323" s="2594"/>
    </row>
    <row r="324" spans="1:44" ht="37.5" customHeight="1" x14ac:dyDescent="0.2">
      <c r="A324" s="1238"/>
      <c r="B324" s="1239"/>
      <c r="C324" s="1240"/>
      <c r="D324" s="1239"/>
      <c r="E324" s="1239"/>
      <c r="F324" s="1240"/>
      <c r="G324" s="1239"/>
      <c r="H324" s="1239"/>
      <c r="I324" s="1239"/>
      <c r="J324" s="4291"/>
      <c r="K324" s="4270"/>
      <c r="L324" s="4266"/>
      <c r="M324" s="4123"/>
      <c r="N324" s="4123"/>
      <c r="O324" s="4123"/>
      <c r="P324" s="4123"/>
      <c r="Q324" s="4140"/>
      <c r="R324" s="4143"/>
      <c r="S324" s="4123"/>
      <c r="T324" s="4120"/>
      <c r="U324" s="1316" t="s">
        <v>608</v>
      </c>
      <c r="V324" s="1542">
        <v>4000000</v>
      </c>
      <c r="W324" s="2586">
        <v>20</v>
      </c>
      <c r="X324" s="2559" t="s">
        <v>61</v>
      </c>
      <c r="Y324" s="4241"/>
      <c r="Z324" s="4123"/>
      <c r="AA324" s="4135"/>
      <c r="AB324" s="4135"/>
      <c r="AC324" s="4135"/>
      <c r="AD324" s="4135"/>
      <c r="AE324" s="4135"/>
      <c r="AF324" s="4135"/>
      <c r="AG324" s="4135"/>
      <c r="AH324" s="4135"/>
      <c r="AI324" s="4135"/>
      <c r="AJ324" s="4135"/>
      <c r="AK324" s="4135"/>
      <c r="AL324" s="4135"/>
      <c r="AM324" s="4135"/>
      <c r="AN324" s="4338"/>
      <c r="AO324" s="4135"/>
      <c r="AP324" s="4135"/>
      <c r="AQ324" s="4348"/>
      <c r="AR324" s="2594"/>
    </row>
    <row r="325" spans="1:44" ht="49.5" customHeight="1" x14ac:dyDescent="0.2">
      <c r="A325" s="1238"/>
      <c r="B325" s="1239"/>
      <c r="C325" s="1240"/>
      <c r="D325" s="1239"/>
      <c r="E325" s="1239"/>
      <c r="F325" s="1240"/>
      <c r="G325" s="1239"/>
      <c r="H325" s="1239"/>
      <c r="I325" s="1239"/>
      <c r="J325" s="4291"/>
      <c r="K325" s="4270"/>
      <c r="L325" s="4266"/>
      <c r="M325" s="4123"/>
      <c r="N325" s="4123"/>
      <c r="O325" s="4123"/>
      <c r="P325" s="4123"/>
      <c r="Q325" s="4140"/>
      <c r="R325" s="4143"/>
      <c r="S325" s="4123"/>
      <c r="T325" s="4121"/>
      <c r="U325" s="1316" t="s">
        <v>609</v>
      </c>
      <c r="V325" s="1522">
        <v>3000000</v>
      </c>
      <c r="W325" s="2586">
        <v>20</v>
      </c>
      <c r="X325" s="2559" t="s">
        <v>61</v>
      </c>
      <c r="Y325" s="4241"/>
      <c r="Z325" s="4123"/>
      <c r="AA325" s="4135"/>
      <c r="AB325" s="4135"/>
      <c r="AC325" s="4135"/>
      <c r="AD325" s="4135"/>
      <c r="AE325" s="4135"/>
      <c r="AF325" s="4135"/>
      <c r="AG325" s="4135"/>
      <c r="AH325" s="4135"/>
      <c r="AI325" s="4135"/>
      <c r="AJ325" s="4135"/>
      <c r="AK325" s="4135"/>
      <c r="AL325" s="4135"/>
      <c r="AM325" s="4135"/>
      <c r="AN325" s="4338"/>
      <c r="AO325" s="4135"/>
      <c r="AP325" s="4135"/>
      <c r="AQ325" s="4348"/>
    </row>
    <row r="326" spans="1:44" ht="38.25" customHeight="1" x14ac:dyDescent="0.2">
      <c r="A326" s="1238"/>
      <c r="B326" s="1239"/>
      <c r="C326" s="1240"/>
      <c r="D326" s="1239"/>
      <c r="E326" s="1239"/>
      <c r="F326" s="1240"/>
      <c r="G326" s="1239"/>
      <c r="H326" s="1239"/>
      <c r="I326" s="1239"/>
      <c r="J326" s="4291">
        <v>171</v>
      </c>
      <c r="K326" s="4270" t="s">
        <v>610</v>
      </c>
      <c r="L326" s="4267"/>
      <c r="M326" s="4124"/>
      <c r="N326" s="4123"/>
      <c r="O326" s="4123"/>
      <c r="P326" s="4123"/>
      <c r="Q326" s="4139">
        <f>+SUM(V326:V327)/R323</f>
        <v>0.5</v>
      </c>
      <c r="R326" s="4143"/>
      <c r="S326" s="4123"/>
      <c r="T326" s="4145" t="s">
        <v>611</v>
      </c>
      <c r="U326" s="1316" t="s">
        <v>612</v>
      </c>
      <c r="V326" s="1522">
        <v>5000000</v>
      </c>
      <c r="W326" s="2586">
        <v>20</v>
      </c>
      <c r="X326" s="2559" t="s">
        <v>61</v>
      </c>
      <c r="Y326" s="4241"/>
      <c r="Z326" s="4123"/>
      <c r="AA326" s="4135"/>
      <c r="AB326" s="4135"/>
      <c r="AC326" s="4135"/>
      <c r="AD326" s="4135"/>
      <c r="AE326" s="4135"/>
      <c r="AF326" s="4135"/>
      <c r="AG326" s="4135"/>
      <c r="AH326" s="4135"/>
      <c r="AI326" s="4135"/>
      <c r="AJ326" s="4135"/>
      <c r="AK326" s="4135"/>
      <c r="AL326" s="4135"/>
      <c r="AM326" s="4135"/>
      <c r="AN326" s="4338"/>
      <c r="AO326" s="4135"/>
      <c r="AP326" s="4135"/>
      <c r="AQ326" s="4348"/>
    </row>
    <row r="327" spans="1:44" ht="50.25" customHeight="1" x14ac:dyDescent="0.2">
      <c r="A327" s="1238"/>
      <c r="B327" s="1239"/>
      <c r="C327" s="1240"/>
      <c r="D327" s="1239"/>
      <c r="E327" s="1239"/>
      <c r="F327" s="1240"/>
      <c r="G327" s="1239"/>
      <c r="H327" s="1239"/>
      <c r="I327" s="1239"/>
      <c r="J327" s="4291"/>
      <c r="K327" s="4270"/>
      <c r="L327" s="2505" t="s">
        <v>169</v>
      </c>
      <c r="M327" s="2499">
        <v>1</v>
      </c>
      <c r="N327" s="4124"/>
      <c r="O327" s="4124"/>
      <c r="P327" s="4124"/>
      <c r="Q327" s="4141"/>
      <c r="R327" s="4144"/>
      <c r="S327" s="4124"/>
      <c r="T327" s="4147"/>
      <c r="U327" s="1316" t="s">
        <v>613</v>
      </c>
      <c r="V327" s="1522">
        <v>5000000</v>
      </c>
      <c r="W327" s="2586">
        <v>20</v>
      </c>
      <c r="X327" s="2559" t="s">
        <v>61</v>
      </c>
      <c r="Y327" s="4242"/>
      <c r="Z327" s="4124"/>
      <c r="AA327" s="4136"/>
      <c r="AB327" s="4136"/>
      <c r="AC327" s="4136"/>
      <c r="AD327" s="4136"/>
      <c r="AE327" s="4136"/>
      <c r="AF327" s="4136"/>
      <c r="AG327" s="4136"/>
      <c r="AH327" s="4136"/>
      <c r="AI327" s="4136"/>
      <c r="AJ327" s="4136"/>
      <c r="AK327" s="4136"/>
      <c r="AL327" s="4136"/>
      <c r="AM327" s="4136"/>
      <c r="AN327" s="4338"/>
      <c r="AO327" s="4136"/>
      <c r="AP327" s="4136"/>
      <c r="AQ327" s="4349"/>
    </row>
    <row r="328" spans="1:44" ht="53.25" customHeight="1" x14ac:dyDescent="0.2">
      <c r="A328" s="1238"/>
      <c r="B328" s="1239"/>
      <c r="C328" s="1240"/>
      <c r="D328" s="1239"/>
      <c r="E328" s="1239"/>
      <c r="F328" s="1240"/>
      <c r="G328" s="1239"/>
      <c r="H328" s="1239"/>
      <c r="I328" s="1240"/>
      <c r="J328" s="4117">
        <v>172</v>
      </c>
      <c r="K328" s="4120" t="s">
        <v>614</v>
      </c>
      <c r="L328" s="4122" t="s">
        <v>169</v>
      </c>
      <c r="M328" s="4122">
        <v>12</v>
      </c>
      <c r="N328" s="4122" t="s">
        <v>615</v>
      </c>
      <c r="O328" s="4122" t="s">
        <v>616</v>
      </c>
      <c r="P328" s="4119" t="s">
        <v>617</v>
      </c>
      <c r="Q328" s="4139">
        <f>SUM(V328:V336)/R328</f>
        <v>1</v>
      </c>
      <c r="R328" s="4142">
        <f>SUM(V328:V336)</f>
        <v>674441641</v>
      </c>
      <c r="S328" s="4119" t="s">
        <v>618</v>
      </c>
      <c r="T328" s="4119" t="s">
        <v>619</v>
      </c>
      <c r="U328" s="4350" t="s">
        <v>620</v>
      </c>
      <c r="V328" s="1522">
        <f>100000000+14000000</f>
        <v>114000000</v>
      </c>
      <c r="W328" s="2555">
        <v>20</v>
      </c>
      <c r="X328" s="2497" t="s">
        <v>61</v>
      </c>
      <c r="Y328" s="4116">
        <v>292684</v>
      </c>
      <c r="Z328" s="4122">
        <v>282326</v>
      </c>
      <c r="AA328" s="4134">
        <v>135912</v>
      </c>
      <c r="AB328" s="4134">
        <v>45122</v>
      </c>
      <c r="AC328" s="4342">
        <f>SUM(AC323)</f>
        <v>307101</v>
      </c>
      <c r="AD328" s="4134">
        <v>86875</v>
      </c>
      <c r="AE328" s="4134">
        <v>2145</v>
      </c>
      <c r="AF328" s="4134">
        <v>12718</v>
      </c>
      <c r="AG328" s="4134">
        <v>26</v>
      </c>
      <c r="AH328" s="4134">
        <v>37</v>
      </c>
      <c r="AI328" s="4134" t="s">
        <v>177</v>
      </c>
      <c r="AJ328" s="4134" t="s">
        <v>177</v>
      </c>
      <c r="AK328" s="4134">
        <v>53164</v>
      </c>
      <c r="AL328" s="4134">
        <v>16982</v>
      </c>
      <c r="AM328" s="4134">
        <v>60013</v>
      </c>
      <c r="AN328" s="4134">
        <v>575010</v>
      </c>
      <c r="AO328" s="4148">
        <v>43467</v>
      </c>
      <c r="AP328" s="4148">
        <v>43830</v>
      </c>
      <c r="AQ328" s="4151" t="s">
        <v>178</v>
      </c>
    </row>
    <row r="329" spans="1:44" ht="53.25" customHeight="1" x14ac:dyDescent="0.2">
      <c r="A329" s="1238"/>
      <c r="B329" s="1239"/>
      <c r="C329" s="1240"/>
      <c r="D329" s="1239"/>
      <c r="E329" s="1239"/>
      <c r="F329" s="1240"/>
      <c r="G329" s="1239"/>
      <c r="H329" s="1239"/>
      <c r="I329" s="1240"/>
      <c r="J329" s="4117"/>
      <c r="K329" s="4120"/>
      <c r="L329" s="4123"/>
      <c r="M329" s="4123"/>
      <c r="N329" s="4123"/>
      <c r="O329" s="4123"/>
      <c r="P329" s="4120"/>
      <c r="Q329" s="4140"/>
      <c r="R329" s="4143"/>
      <c r="S329" s="4120"/>
      <c r="T329" s="4120"/>
      <c r="U329" s="4351"/>
      <c r="V329" s="1522">
        <f>114000000-14000000</f>
        <v>100000000</v>
      </c>
      <c r="W329" s="2555">
        <v>96</v>
      </c>
      <c r="X329" s="2507" t="s">
        <v>621</v>
      </c>
      <c r="Y329" s="4117"/>
      <c r="Z329" s="4123"/>
      <c r="AA329" s="4135"/>
      <c r="AB329" s="4135"/>
      <c r="AC329" s="4343"/>
      <c r="AD329" s="4135"/>
      <c r="AE329" s="4135"/>
      <c r="AF329" s="4135"/>
      <c r="AG329" s="4135"/>
      <c r="AH329" s="4135"/>
      <c r="AI329" s="4135"/>
      <c r="AJ329" s="4135"/>
      <c r="AK329" s="4135"/>
      <c r="AL329" s="4135"/>
      <c r="AM329" s="4135"/>
      <c r="AN329" s="4135"/>
      <c r="AO329" s="4149"/>
      <c r="AP329" s="4149"/>
      <c r="AQ329" s="4152"/>
    </row>
    <row r="330" spans="1:44" ht="42" customHeight="1" x14ac:dyDescent="0.2">
      <c r="A330" s="1238"/>
      <c r="B330" s="1239"/>
      <c r="C330" s="1240"/>
      <c r="D330" s="1239"/>
      <c r="E330" s="1239"/>
      <c r="F330" s="1240"/>
      <c r="G330" s="1239"/>
      <c r="H330" s="1239"/>
      <c r="I330" s="1240"/>
      <c r="J330" s="4117"/>
      <c r="K330" s="4120"/>
      <c r="L330" s="4123"/>
      <c r="M330" s="4123"/>
      <c r="N330" s="4123"/>
      <c r="O330" s="4123"/>
      <c r="P330" s="4120"/>
      <c r="Q330" s="4140"/>
      <c r="R330" s="4143"/>
      <c r="S330" s="4120"/>
      <c r="T330" s="4120"/>
      <c r="U330" s="1317" t="s">
        <v>622</v>
      </c>
      <c r="V330" s="1522">
        <v>10000000</v>
      </c>
      <c r="W330" s="2555">
        <v>20</v>
      </c>
      <c r="X330" s="2507" t="s">
        <v>61</v>
      </c>
      <c r="Y330" s="4117"/>
      <c r="Z330" s="4123"/>
      <c r="AA330" s="4135"/>
      <c r="AB330" s="4135"/>
      <c r="AC330" s="4135"/>
      <c r="AD330" s="4135"/>
      <c r="AE330" s="4135"/>
      <c r="AF330" s="4135"/>
      <c r="AG330" s="4135"/>
      <c r="AH330" s="4135"/>
      <c r="AI330" s="4135"/>
      <c r="AJ330" s="4135"/>
      <c r="AK330" s="4135"/>
      <c r="AL330" s="4135"/>
      <c r="AM330" s="4135"/>
      <c r="AN330" s="4135"/>
      <c r="AO330" s="4149"/>
      <c r="AP330" s="4149"/>
      <c r="AQ330" s="4152"/>
    </row>
    <row r="331" spans="1:44" ht="69" customHeight="1" x14ac:dyDescent="0.2">
      <c r="A331" s="1238"/>
      <c r="B331" s="1239"/>
      <c r="C331" s="1240"/>
      <c r="D331" s="1239"/>
      <c r="E331" s="1239"/>
      <c r="F331" s="1240"/>
      <c r="G331" s="1239"/>
      <c r="H331" s="1239"/>
      <c r="I331" s="1240"/>
      <c r="J331" s="4117"/>
      <c r="K331" s="4120"/>
      <c r="L331" s="4123"/>
      <c r="M331" s="4123"/>
      <c r="N331" s="4123"/>
      <c r="O331" s="4123"/>
      <c r="P331" s="4120"/>
      <c r="Q331" s="4140"/>
      <c r="R331" s="4143"/>
      <c r="S331" s="4120"/>
      <c r="T331" s="4120"/>
      <c r="U331" s="4352" t="s">
        <v>623</v>
      </c>
      <c r="V331" s="1522">
        <v>15441641</v>
      </c>
      <c r="W331" s="2555">
        <v>20</v>
      </c>
      <c r="X331" s="2507" t="s">
        <v>61</v>
      </c>
      <c r="Y331" s="4117"/>
      <c r="Z331" s="4123"/>
      <c r="AA331" s="4135"/>
      <c r="AB331" s="4135"/>
      <c r="AC331" s="4135"/>
      <c r="AD331" s="4135"/>
      <c r="AE331" s="4135"/>
      <c r="AF331" s="4135"/>
      <c r="AG331" s="4135"/>
      <c r="AH331" s="4135"/>
      <c r="AI331" s="4135"/>
      <c r="AJ331" s="4135"/>
      <c r="AK331" s="4135"/>
      <c r="AL331" s="4135"/>
      <c r="AM331" s="4135"/>
      <c r="AN331" s="4135"/>
      <c r="AO331" s="4149"/>
      <c r="AP331" s="4149"/>
      <c r="AQ331" s="4152"/>
    </row>
    <row r="332" spans="1:44" ht="69" customHeight="1" x14ac:dyDescent="0.2">
      <c r="A332" s="1238"/>
      <c r="B332" s="1239"/>
      <c r="C332" s="1240"/>
      <c r="D332" s="1239"/>
      <c r="E332" s="1239"/>
      <c r="F332" s="1240"/>
      <c r="G332" s="1239"/>
      <c r="H332" s="1239"/>
      <c r="I332" s="1240"/>
      <c r="J332" s="4117"/>
      <c r="K332" s="4120"/>
      <c r="L332" s="4123"/>
      <c r="M332" s="4123"/>
      <c r="N332" s="4123"/>
      <c r="O332" s="4123"/>
      <c r="P332" s="4120"/>
      <c r="Q332" s="4140"/>
      <c r="R332" s="4143"/>
      <c r="S332" s="4120"/>
      <c r="T332" s="4120"/>
      <c r="U332" s="4353"/>
      <c r="V332" s="1522">
        <v>400000000</v>
      </c>
      <c r="W332" s="2555">
        <v>88</v>
      </c>
      <c r="X332" s="2507" t="s">
        <v>624</v>
      </c>
      <c r="Y332" s="4117"/>
      <c r="Z332" s="4123"/>
      <c r="AA332" s="4135"/>
      <c r="AB332" s="4135"/>
      <c r="AC332" s="4135"/>
      <c r="AD332" s="4135"/>
      <c r="AE332" s="4135"/>
      <c r="AF332" s="4135"/>
      <c r="AG332" s="4135"/>
      <c r="AH332" s="4135"/>
      <c r="AI332" s="4135"/>
      <c r="AJ332" s="4135"/>
      <c r="AK332" s="4135"/>
      <c r="AL332" s="4135"/>
      <c r="AM332" s="4135"/>
      <c r="AN332" s="4135"/>
      <c r="AO332" s="4149"/>
      <c r="AP332" s="4149"/>
      <c r="AQ332" s="4152"/>
    </row>
    <row r="333" spans="1:44" ht="39" customHeight="1" x14ac:dyDescent="0.2">
      <c r="A333" s="1238"/>
      <c r="B333" s="1239"/>
      <c r="C333" s="1240"/>
      <c r="D333" s="1239"/>
      <c r="E333" s="1239"/>
      <c r="F333" s="1240"/>
      <c r="G333" s="1239"/>
      <c r="H333" s="1239"/>
      <c r="I333" s="1240"/>
      <c r="J333" s="4117"/>
      <c r="K333" s="4120"/>
      <c r="L333" s="4123"/>
      <c r="M333" s="4123"/>
      <c r="N333" s="4123"/>
      <c r="O333" s="4123"/>
      <c r="P333" s="4120"/>
      <c r="Q333" s="4140"/>
      <c r="R333" s="4143"/>
      <c r="S333" s="4120"/>
      <c r="T333" s="4120"/>
      <c r="U333" s="1317" t="s">
        <v>625</v>
      </c>
      <c r="V333" s="1522">
        <v>10000000</v>
      </c>
      <c r="W333" s="2555">
        <v>20</v>
      </c>
      <c r="X333" s="2507" t="s">
        <v>61</v>
      </c>
      <c r="Y333" s="4117"/>
      <c r="Z333" s="4123"/>
      <c r="AA333" s="4135"/>
      <c r="AB333" s="4135"/>
      <c r="AC333" s="4135"/>
      <c r="AD333" s="4135"/>
      <c r="AE333" s="4135"/>
      <c r="AF333" s="4135"/>
      <c r="AG333" s="4135"/>
      <c r="AH333" s="4135"/>
      <c r="AI333" s="4135"/>
      <c r="AJ333" s="4135"/>
      <c r="AK333" s="4135"/>
      <c r="AL333" s="4135"/>
      <c r="AM333" s="4135"/>
      <c r="AN333" s="4135"/>
      <c r="AO333" s="4149"/>
      <c r="AP333" s="4149"/>
      <c r="AQ333" s="4152"/>
    </row>
    <row r="334" spans="1:44" ht="28.5" x14ac:dyDescent="0.2">
      <c r="A334" s="1238"/>
      <c r="B334" s="1239"/>
      <c r="C334" s="1240"/>
      <c r="D334" s="1239"/>
      <c r="E334" s="1239"/>
      <c r="F334" s="1240"/>
      <c r="G334" s="1239"/>
      <c r="H334" s="1239"/>
      <c r="I334" s="1240"/>
      <c r="J334" s="4117"/>
      <c r="K334" s="4120"/>
      <c r="L334" s="4123"/>
      <c r="M334" s="4123"/>
      <c r="N334" s="4123"/>
      <c r="O334" s="4123"/>
      <c r="P334" s="4120"/>
      <c r="Q334" s="4140"/>
      <c r="R334" s="4143"/>
      <c r="S334" s="4120"/>
      <c r="T334" s="4121"/>
      <c r="U334" s="1317" t="s">
        <v>626</v>
      </c>
      <c r="V334" s="1522">
        <v>10000000</v>
      </c>
      <c r="W334" s="2555">
        <v>20</v>
      </c>
      <c r="X334" s="2507" t="s">
        <v>61</v>
      </c>
      <c r="Y334" s="4117"/>
      <c r="Z334" s="4123"/>
      <c r="AA334" s="4135"/>
      <c r="AB334" s="4135"/>
      <c r="AC334" s="4135"/>
      <c r="AD334" s="4135"/>
      <c r="AE334" s="4135"/>
      <c r="AF334" s="4135"/>
      <c r="AG334" s="4135"/>
      <c r="AH334" s="4135"/>
      <c r="AI334" s="4135"/>
      <c r="AJ334" s="4135"/>
      <c r="AK334" s="4135"/>
      <c r="AL334" s="4135"/>
      <c r="AM334" s="4135"/>
      <c r="AN334" s="4135"/>
      <c r="AO334" s="4149"/>
      <c r="AP334" s="4149"/>
      <c r="AQ334" s="4152"/>
    </row>
    <row r="335" spans="1:44" ht="38.25" customHeight="1" x14ac:dyDescent="0.2">
      <c r="A335" s="1238"/>
      <c r="B335" s="1239"/>
      <c r="C335" s="1240"/>
      <c r="D335" s="1239"/>
      <c r="E335" s="1239"/>
      <c r="F335" s="1240"/>
      <c r="G335" s="1239"/>
      <c r="H335" s="1239"/>
      <c r="I335" s="1240"/>
      <c r="J335" s="4117"/>
      <c r="K335" s="4120"/>
      <c r="L335" s="4123"/>
      <c r="M335" s="4123"/>
      <c r="N335" s="4123"/>
      <c r="O335" s="4123"/>
      <c r="P335" s="4120"/>
      <c r="Q335" s="4140"/>
      <c r="R335" s="4143"/>
      <c r="S335" s="4120"/>
      <c r="T335" s="2490"/>
      <c r="U335" s="4352" t="s">
        <v>627</v>
      </c>
      <c r="V335" s="1522">
        <f>0+14000000</f>
        <v>14000000</v>
      </c>
      <c r="W335" s="2555">
        <v>96</v>
      </c>
      <c r="X335" s="2507" t="s">
        <v>621</v>
      </c>
      <c r="Y335" s="4117"/>
      <c r="Z335" s="4123"/>
      <c r="AA335" s="4135"/>
      <c r="AB335" s="4135"/>
      <c r="AC335" s="4135"/>
      <c r="AD335" s="4135"/>
      <c r="AE335" s="4135"/>
      <c r="AF335" s="4135"/>
      <c r="AG335" s="4135"/>
      <c r="AH335" s="4135"/>
      <c r="AI335" s="4135"/>
      <c r="AJ335" s="4135"/>
      <c r="AK335" s="4135"/>
      <c r="AL335" s="4135"/>
      <c r="AM335" s="4135"/>
      <c r="AN335" s="4135"/>
      <c r="AO335" s="4149"/>
      <c r="AP335" s="4149"/>
      <c r="AQ335" s="4152"/>
    </row>
    <row r="336" spans="1:44" ht="71.25" x14ac:dyDescent="0.2">
      <c r="A336" s="1238"/>
      <c r="B336" s="1239"/>
      <c r="C336" s="1240"/>
      <c r="D336" s="1239"/>
      <c r="E336" s="1239"/>
      <c r="F336" s="1240"/>
      <c r="G336" s="1246"/>
      <c r="H336" s="1246"/>
      <c r="I336" s="1247"/>
      <c r="J336" s="4118"/>
      <c r="K336" s="4121"/>
      <c r="L336" s="4124"/>
      <c r="M336" s="4124"/>
      <c r="N336" s="4124"/>
      <c r="O336" s="4124"/>
      <c r="P336" s="4121"/>
      <c r="Q336" s="4141"/>
      <c r="R336" s="4144"/>
      <c r="S336" s="4121"/>
      <c r="T336" s="1248" t="s">
        <v>628</v>
      </c>
      <c r="U336" s="4353"/>
      <c r="V336" s="1522">
        <f>15000000-14000000</f>
        <v>1000000</v>
      </c>
      <c r="W336" s="2555">
        <v>20</v>
      </c>
      <c r="X336" s="2507" t="s">
        <v>61</v>
      </c>
      <c r="Y336" s="4118"/>
      <c r="Z336" s="4124"/>
      <c r="AA336" s="4136"/>
      <c r="AB336" s="4136"/>
      <c r="AC336" s="4136"/>
      <c r="AD336" s="4136"/>
      <c r="AE336" s="4136"/>
      <c r="AF336" s="4136"/>
      <c r="AG336" s="4136"/>
      <c r="AH336" s="4136"/>
      <c r="AI336" s="4136"/>
      <c r="AJ336" s="4136"/>
      <c r="AK336" s="4136"/>
      <c r="AL336" s="4136"/>
      <c r="AM336" s="4136"/>
      <c r="AN336" s="4136"/>
      <c r="AO336" s="4150"/>
      <c r="AP336" s="4150"/>
      <c r="AQ336" s="4153"/>
    </row>
    <row r="337" spans="1:44" ht="36" customHeight="1" x14ac:dyDescent="0.2">
      <c r="A337" s="1199"/>
      <c r="B337" s="1200"/>
      <c r="C337" s="1201"/>
      <c r="D337" s="1200"/>
      <c r="E337" s="1200"/>
      <c r="F337" s="1201"/>
      <c r="G337" s="1234">
        <v>53</v>
      </c>
      <c r="H337" s="1205" t="s">
        <v>629</v>
      </c>
      <c r="I337" s="1205"/>
      <c r="J337" s="1290"/>
      <c r="K337" s="1291"/>
      <c r="L337" s="1205"/>
      <c r="M337" s="1205"/>
      <c r="N337" s="1207"/>
      <c r="O337" s="1205"/>
      <c r="P337" s="1206"/>
      <c r="Q337" s="1205"/>
      <c r="R337" s="1235"/>
      <c r="S337" s="1205"/>
      <c r="T337" s="1206"/>
      <c r="U337" s="1206"/>
      <c r="V337" s="1206"/>
      <c r="W337" s="1206"/>
      <c r="X337" s="1206"/>
      <c r="Y337" s="1206"/>
      <c r="Z337" s="1206"/>
      <c r="AA337" s="1206"/>
      <c r="AB337" s="1318"/>
      <c r="AC337" s="1319"/>
      <c r="AD337" s="1318"/>
      <c r="AE337" s="1318"/>
      <c r="AF337" s="1318"/>
      <c r="AG337" s="1318"/>
      <c r="AH337" s="1312"/>
      <c r="AI337" s="1318"/>
      <c r="AJ337" s="1319"/>
      <c r="AK337" s="1318"/>
      <c r="AL337" s="1318"/>
      <c r="AM337" s="1319"/>
      <c r="AN337" s="1318"/>
      <c r="AO337" s="1205"/>
      <c r="AP337" s="1205"/>
      <c r="AQ337" s="1212"/>
    </row>
    <row r="338" spans="1:44" ht="70.5" customHeight="1" x14ac:dyDescent="0.2">
      <c r="A338" s="1213"/>
      <c r="B338" s="1214"/>
      <c r="C338" s="1215"/>
      <c r="D338" s="1214"/>
      <c r="E338" s="1214"/>
      <c r="F338" s="1215"/>
      <c r="G338" s="1217"/>
      <c r="H338" s="1217"/>
      <c r="I338" s="1217"/>
      <c r="J338" s="4291">
        <v>173</v>
      </c>
      <c r="K338" s="4270" t="s">
        <v>630</v>
      </c>
      <c r="L338" s="4265" t="s">
        <v>169</v>
      </c>
      <c r="M338" s="4333">
        <v>7</v>
      </c>
      <c r="N338" s="4122" t="s">
        <v>631</v>
      </c>
      <c r="O338" s="4122" t="s">
        <v>632</v>
      </c>
      <c r="P338" s="4119" t="s">
        <v>633</v>
      </c>
      <c r="Q338" s="4139">
        <f>+SUM(V338:V341)/R338</f>
        <v>0.17825311942959002</v>
      </c>
      <c r="R338" s="4142">
        <f>SUM(V338:V347)</f>
        <v>56100000</v>
      </c>
      <c r="S338" s="4119" t="s">
        <v>634</v>
      </c>
      <c r="T338" s="4119" t="s">
        <v>635</v>
      </c>
      <c r="U338" s="1320" t="s">
        <v>636</v>
      </c>
      <c r="V338" s="1537">
        <v>2000000</v>
      </c>
      <c r="W338" s="2555">
        <v>20</v>
      </c>
      <c r="X338" s="2507" t="s">
        <v>61</v>
      </c>
      <c r="Y338" s="4116">
        <v>292684</v>
      </c>
      <c r="Z338" s="4122">
        <v>282326</v>
      </c>
      <c r="AA338" s="4134">
        <v>135912</v>
      </c>
      <c r="AB338" s="4134">
        <v>45122</v>
      </c>
      <c r="AC338" s="4134">
        <f>AC328</f>
        <v>307101</v>
      </c>
      <c r="AD338" s="4134">
        <f>AD328</f>
        <v>86875</v>
      </c>
      <c r="AE338" s="4134">
        <v>2145</v>
      </c>
      <c r="AF338" s="4134">
        <v>12718</v>
      </c>
      <c r="AG338" s="4134">
        <v>26</v>
      </c>
      <c r="AH338" s="4134">
        <v>37</v>
      </c>
      <c r="AI338" s="4134" t="s">
        <v>177</v>
      </c>
      <c r="AJ338" s="4134" t="s">
        <v>177</v>
      </c>
      <c r="AK338" s="4134">
        <v>53164</v>
      </c>
      <c r="AL338" s="4134">
        <v>16982</v>
      </c>
      <c r="AM338" s="4134">
        <v>60013</v>
      </c>
      <c r="AN338" s="4134">
        <v>575010</v>
      </c>
      <c r="AO338" s="4148">
        <v>43467</v>
      </c>
      <c r="AP338" s="4148">
        <v>43830</v>
      </c>
      <c r="AQ338" s="4151" t="s">
        <v>178</v>
      </c>
      <c r="AR338" s="2594"/>
    </row>
    <row r="339" spans="1:44" ht="60.75" customHeight="1" x14ac:dyDescent="0.2">
      <c r="A339" s="1213"/>
      <c r="B339" s="1214"/>
      <c r="C339" s="1215"/>
      <c r="D339" s="1214"/>
      <c r="E339" s="1214"/>
      <c r="F339" s="1215"/>
      <c r="G339" s="1214"/>
      <c r="H339" s="1214"/>
      <c r="I339" s="1214"/>
      <c r="J339" s="4291"/>
      <c r="K339" s="4270"/>
      <c r="L339" s="4266"/>
      <c r="M339" s="4334"/>
      <c r="N339" s="4123"/>
      <c r="O339" s="4123"/>
      <c r="P339" s="4120"/>
      <c r="Q339" s="4140"/>
      <c r="R339" s="4143"/>
      <c r="S339" s="4120"/>
      <c r="T339" s="4120"/>
      <c r="U339" s="1320" t="s">
        <v>637</v>
      </c>
      <c r="V339" s="1537">
        <v>2000000</v>
      </c>
      <c r="W339" s="2555">
        <v>20</v>
      </c>
      <c r="X339" s="2507" t="s">
        <v>61</v>
      </c>
      <c r="Y339" s="4117"/>
      <c r="Z339" s="4123"/>
      <c r="AA339" s="4135"/>
      <c r="AB339" s="4135"/>
      <c r="AC339" s="4135"/>
      <c r="AD339" s="4135"/>
      <c r="AE339" s="4135"/>
      <c r="AF339" s="4135"/>
      <c r="AG339" s="4135"/>
      <c r="AH339" s="4135"/>
      <c r="AI339" s="4135"/>
      <c r="AJ339" s="4135"/>
      <c r="AK339" s="4135"/>
      <c r="AL339" s="4135"/>
      <c r="AM339" s="4135"/>
      <c r="AN339" s="4135"/>
      <c r="AO339" s="4149"/>
      <c r="AP339" s="4149"/>
      <c r="AQ339" s="4152"/>
    </row>
    <row r="340" spans="1:44" ht="42.75" customHeight="1" x14ac:dyDescent="0.2">
      <c r="A340" s="1213"/>
      <c r="B340" s="1214"/>
      <c r="C340" s="1215"/>
      <c r="D340" s="1214"/>
      <c r="E340" s="1214"/>
      <c r="F340" s="1215"/>
      <c r="G340" s="1214"/>
      <c r="H340" s="1214"/>
      <c r="I340" s="1214"/>
      <c r="J340" s="4291"/>
      <c r="K340" s="4270"/>
      <c r="L340" s="4266"/>
      <c r="M340" s="4334"/>
      <c r="N340" s="4123"/>
      <c r="O340" s="4123"/>
      <c r="P340" s="4120"/>
      <c r="Q340" s="4140"/>
      <c r="R340" s="4143"/>
      <c r="S340" s="4120"/>
      <c r="T340" s="4120"/>
      <c r="U340" s="4354" t="s">
        <v>638</v>
      </c>
      <c r="V340" s="1537">
        <v>2000000</v>
      </c>
      <c r="W340" s="2555">
        <v>20</v>
      </c>
      <c r="X340" s="2507" t="s">
        <v>61</v>
      </c>
      <c r="Y340" s="4117"/>
      <c r="Z340" s="4123"/>
      <c r="AA340" s="4135"/>
      <c r="AB340" s="4135"/>
      <c r="AC340" s="4135"/>
      <c r="AD340" s="4135"/>
      <c r="AE340" s="4135"/>
      <c r="AF340" s="4135"/>
      <c r="AG340" s="4135"/>
      <c r="AH340" s="4135"/>
      <c r="AI340" s="4135"/>
      <c r="AJ340" s="4135"/>
      <c r="AK340" s="4135"/>
      <c r="AL340" s="4135"/>
      <c r="AM340" s="4135"/>
      <c r="AN340" s="4135"/>
      <c r="AO340" s="4149"/>
      <c r="AP340" s="4149"/>
      <c r="AQ340" s="4152"/>
    </row>
    <row r="341" spans="1:44" ht="33" customHeight="1" x14ac:dyDescent="0.2">
      <c r="A341" s="1213"/>
      <c r="B341" s="1214"/>
      <c r="C341" s="1215"/>
      <c r="D341" s="1214"/>
      <c r="E341" s="1214"/>
      <c r="F341" s="1215"/>
      <c r="G341" s="1214"/>
      <c r="H341" s="1214"/>
      <c r="I341" s="1214"/>
      <c r="J341" s="4291"/>
      <c r="K341" s="4270"/>
      <c r="L341" s="4266"/>
      <c r="M341" s="4334"/>
      <c r="N341" s="4123"/>
      <c r="O341" s="4123"/>
      <c r="P341" s="4120"/>
      <c r="Q341" s="4141"/>
      <c r="R341" s="4143"/>
      <c r="S341" s="4120"/>
      <c r="T341" s="4121"/>
      <c r="U341" s="4355"/>
      <c r="V341" s="1537">
        <v>4000000</v>
      </c>
      <c r="W341" s="2555">
        <v>96</v>
      </c>
      <c r="X341" s="2507" t="s">
        <v>558</v>
      </c>
      <c r="Y341" s="4117"/>
      <c r="Z341" s="4123"/>
      <c r="AA341" s="4135"/>
      <c r="AB341" s="4135"/>
      <c r="AC341" s="4135"/>
      <c r="AD341" s="4135"/>
      <c r="AE341" s="4135"/>
      <c r="AF341" s="4135"/>
      <c r="AG341" s="4135"/>
      <c r="AH341" s="4135"/>
      <c r="AI341" s="4135"/>
      <c r="AJ341" s="4135"/>
      <c r="AK341" s="4135"/>
      <c r="AL341" s="4135"/>
      <c r="AM341" s="4135"/>
      <c r="AN341" s="4135"/>
      <c r="AO341" s="4149"/>
      <c r="AP341" s="4149"/>
      <c r="AQ341" s="4152"/>
    </row>
    <row r="342" spans="1:44" ht="34.5" customHeight="1" x14ac:dyDescent="0.2">
      <c r="A342" s="1213"/>
      <c r="B342" s="1214"/>
      <c r="C342" s="1215"/>
      <c r="D342" s="1214"/>
      <c r="E342" s="1214"/>
      <c r="F342" s="1215"/>
      <c r="G342" s="1214"/>
      <c r="H342" s="1214"/>
      <c r="I342" s="1214"/>
      <c r="J342" s="4291"/>
      <c r="K342" s="4270"/>
      <c r="L342" s="4266"/>
      <c r="M342" s="4334"/>
      <c r="N342" s="4123"/>
      <c r="O342" s="4123"/>
      <c r="P342" s="4120"/>
      <c r="Q342" s="4139">
        <f>+SUM(V342:V343)/R338</f>
        <v>0.15151515151515152</v>
      </c>
      <c r="R342" s="4143"/>
      <c r="S342" s="4120"/>
      <c r="T342" s="4145" t="s">
        <v>639</v>
      </c>
      <c r="U342" s="4354" t="s">
        <v>640</v>
      </c>
      <c r="V342" s="1537">
        <v>5000000</v>
      </c>
      <c r="W342" s="2555">
        <v>20</v>
      </c>
      <c r="X342" s="2507" t="s">
        <v>61</v>
      </c>
      <c r="Y342" s="4117"/>
      <c r="Z342" s="4123"/>
      <c r="AA342" s="4135"/>
      <c r="AB342" s="4135"/>
      <c r="AC342" s="4135"/>
      <c r="AD342" s="4135"/>
      <c r="AE342" s="4135"/>
      <c r="AF342" s="4135"/>
      <c r="AG342" s="4135"/>
      <c r="AH342" s="4135"/>
      <c r="AI342" s="4135"/>
      <c r="AJ342" s="4135"/>
      <c r="AK342" s="4135"/>
      <c r="AL342" s="4135"/>
      <c r="AM342" s="4135"/>
      <c r="AN342" s="4135"/>
      <c r="AO342" s="4149"/>
      <c r="AP342" s="4149"/>
      <c r="AQ342" s="4152"/>
    </row>
    <row r="343" spans="1:44" ht="51" customHeight="1" x14ac:dyDescent="0.2">
      <c r="A343" s="1213"/>
      <c r="B343" s="1214"/>
      <c r="C343" s="1215"/>
      <c r="D343" s="1214"/>
      <c r="E343" s="1214"/>
      <c r="F343" s="1215"/>
      <c r="G343" s="1214"/>
      <c r="H343" s="1214"/>
      <c r="I343" s="1214"/>
      <c r="J343" s="4291"/>
      <c r="K343" s="4270"/>
      <c r="L343" s="4266"/>
      <c r="M343" s="4357"/>
      <c r="N343" s="4123"/>
      <c r="O343" s="4123"/>
      <c r="P343" s="4120"/>
      <c r="Q343" s="4141"/>
      <c r="R343" s="4143"/>
      <c r="S343" s="4120"/>
      <c r="T343" s="4360"/>
      <c r="U343" s="4355"/>
      <c r="V343" s="1537">
        <v>3500000</v>
      </c>
      <c r="W343" s="2555">
        <v>96</v>
      </c>
      <c r="X343" s="2507" t="s">
        <v>558</v>
      </c>
      <c r="Y343" s="4117"/>
      <c r="Z343" s="4123"/>
      <c r="AA343" s="4135"/>
      <c r="AB343" s="4135"/>
      <c r="AC343" s="4135"/>
      <c r="AD343" s="4135"/>
      <c r="AE343" s="4135"/>
      <c r="AF343" s="4135"/>
      <c r="AG343" s="4135"/>
      <c r="AH343" s="4135"/>
      <c r="AI343" s="4135"/>
      <c r="AJ343" s="4135"/>
      <c r="AK343" s="4135"/>
      <c r="AL343" s="4135"/>
      <c r="AM343" s="4135"/>
      <c r="AN343" s="4135"/>
      <c r="AO343" s="4149"/>
      <c r="AP343" s="4149"/>
      <c r="AQ343" s="4152"/>
      <c r="AR343" s="2600"/>
    </row>
    <row r="344" spans="1:44" ht="44.25" customHeight="1" x14ac:dyDescent="0.2">
      <c r="A344" s="1213"/>
      <c r="B344" s="1214"/>
      <c r="C344" s="1215"/>
      <c r="D344" s="1214"/>
      <c r="E344" s="1214"/>
      <c r="F344" s="1215"/>
      <c r="G344" s="1214"/>
      <c r="H344" s="1214"/>
      <c r="I344" s="1214"/>
      <c r="J344" s="4291"/>
      <c r="K344" s="4270"/>
      <c r="L344" s="4266" t="s">
        <v>169</v>
      </c>
      <c r="M344" s="4278">
        <v>150</v>
      </c>
      <c r="N344" s="4123"/>
      <c r="O344" s="4123"/>
      <c r="P344" s="4120"/>
      <c r="Q344" s="4139">
        <f>SUM(V344:V347)/R338</f>
        <v>0.67023172905525852</v>
      </c>
      <c r="R344" s="4143"/>
      <c r="S344" s="4358"/>
      <c r="T344" s="4316" t="s">
        <v>641</v>
      </c>
      <c r="U344" s="1321" t="s">
        <v>642</v>
      </c>
      <c r="V344" s="1537">
        <v>3000000</v>
      </c>
      <c r="W344" s="2555">
        <v>20</v>
      </c>
      <c r="X344" s="2507" t="s">
        <v>61</v>
      </c>
      <c r="Y344" s="4117"/>
      <c r="Z344" s="4123"/>
      <c r="AA344" s="4135"/>
      <c r="AB344" s="4135"/>
      <c r="AC344" s="4135"/>
      <c r="AD344" s="4135"/>
      <c r="AE344" s="4135"/>
      <c r="AF344" s="4135"/>
      <c r="AG344" s="4135"/>
      <c r="AH344" s="4135"/>
      <c r="AI344" s="4135"/>
      <c r="AJ344" s="4135"/>
      <c r="AK344" s="4135"/>
      <c r="AL344" s="4135"/>
      <c r="AM344" s="4135"/>
      <c r="AN344" s="4135"/>
      <c r="AO344" s="4149"/>
      <c r="AP344" s="4149"/>
      <c r="AQ344" s="4152"/>
    </row>
    <row r="345" spans="1:44" ht="57" x14ac:dyDescent="0.2">
      <c r="A345" s="1213"/>
      <c r="B345" s="1214"/>
      <c r="C345" s="1215"/>
      <c r="D345" s="1214"/>
      <c r="E345" s="1214"/>
      <c r="F345" s="1215"/>
      <c r="G345" s="1214"/>
      <c r="H345" s="1214"/>
      <c r="I345" s="1214"/>
      <c r="J345" s="4291"/>
      <c r="K345" s="4270"/>
      <c r="L345" s="4266"/>
      <c r="M345" s="4278"/>
      <c r="N345" s="4123"/>
      <c r="O345" s="4123"/>
      <c r="P345" s="4120"/>
      <c r="Q345" s="4140"/>
      <c r="R345" s="4143"/>
      <c r="S345" s="4358"/>
      <c r="T345" s="4316"/>
      <c r="U345" s="1321" t="s">
        <v>643</v>
      </c>
      <c r="V345" s="1537">
        <v>3000000</v>
      </c>
      <c r="W345" s="2555">
        <v>20</v>
      </c>
      <c r="X345" s="2507" t="s">
        <v>61</v>
      </c>
      <c r="Y345" s="4117"/>
      <c r="Z345" s="4123"/>
      <c r="AA345" s="4135"/>
      <c r="AB345" s="4135"/>
      <c r="AC345" s="4135"/>
      <c r="AD345" s="4135"/>
      <c r="AE345" s="4135"/>
      <c r="AF345" s="4135"/>
      <c r="AG345" s="4135"/>
      <c r="AH345" s="4135"/>
      <c r="AI345" s="4135"/>
      <c r="AJ345" s="4135"/>
      <c r="AK345" s="4135"/>
      <c r="AL345" s="4135"/>
      <c r="AM345" s="4135"/>
      <c r="AN345" s="4135"/>
      <c r="AO345" s="4149"/>
      <c r="AP345" s="4149"/>
      <c r="AQ345" s="4152"/>
    </row>
    <row r="346" spans="1:44" ht="58.5" customHeight="1" x14ac:dyDescent="0.2">
      <c r="A346" s="1213"/>
      <c r="B346" s="1214"/>
      <c r="C346" s="1215"/>
      <c r="D346" s="1214"/>
      <c r="E346" s="1214"/>
      <c r="F346" s="1215"/>
      <c r="G346" s="1214"/>
      <c r="H346" s="1214"/>
      <c r="I346" s="1214"/>
      <c r="J346" s="4356"/>
      <c r="K346" s="4270"/>
      <c r="L346" s="4266"/>
      <c r="M346" s="4278"/>
      <c r="N346" s="4123"/>
      <c r="O346" s="4123"/>
      <c r="P346" s="4120"/>
      <c r="Q346" s="4140"/>
      <c r="R346" s="4143"/>
      <c r="S346" s="4358"/>
      <c r="T346" s="4316"/>
      <c r="U346" s="1321" t="s">
        <v>644</v>
      </c>
      <c r="V346" s="1537">
        <v>1600000</v>
      </c>
      <c r="W346" s="2555">
        <v>20</v>
      </c>
      <c r="X346" s="2507" t="s">
        <v>61</v>
      </c>
      <c r="Y346" s="4117"/>
      <c r="Z346" s="4123"/>
      <c r="AA346" s="4135"/>
      <c r="AB346" s="4135"/>
      <c r="AC346" s="4135"/>
      <c r="AD346" s="4135"/>
      <c r="AE346" s="4135"/>
      <c r="AF346" s="4135"/>
      <c r="AG346" s="4135"/>
      <c r="AH346" s="4135"/>
      <c r="AI346" s="4135"/>
      <c r="AJ346" s="4135"/>
      <c r="AK346" s="4135"/>
      <c r="AL346" s="4135"/>
      <c r="AM346" s="4135"/>
      <c r="AN346" s="4135"/>
      <c r="AO346" s="4149"/>
      <c r="AP346" s="4149"/>
      <c r="AQ346" s="4152"/>
    </row>
    <row r="347" spans="1:44" ht="60" customHeight="1" x14ac:dyDescent="0.2">
      <c r="A347" s="1313"/>
      <c r="B347" s="1314"/>
      <c r="C347" s="2506"/>
      <c r="D347" s="1314"/>
      <c r="E347" s="1314"/>
      <c r="F347" s="2506"/>
      <c r="G347" s="2509"/>
      <c r="H347" s="2509"/>
      <c r="I347" s="2509"/>
      <c r="J347" s="2513">
        <v>174</v>
      </c>
      <c r="K347" s="1322" t="s">
        <v>645</v>
      </c>
      <c r="L347" s="4267"/>
      <c r="M347" s="4278"/>
      <c r="N347" s="4124"/>
      <c r="O347" s="4124"/>
      <c r="P347" s="4121"/>
      <c r="Q347" s="4141"/>
      <c r="R347" s="4144"/>
      <c r="S347" s="4359"/>
      <c r="T347" s="1278" t="s">
        <v>646</v>
      </c>
      <c r="U347" s="1323" t="s">
        <v>647</v>
      </c>
      <c r="V347" s="1537">
        <v>30000000</v>
      </c>
      <c r="W347" s="2555">
        <v>20</v>
      </c>
      <c r="X347" s="2507" t="s">
        <v>61</v>
      </c>
      <c r="Y347" s="4118"/>
      <c r="Z347" s="4124"/>
      <c r="AA347" s="4136"/>
      <c r="AB347" s="4136"/>
      <c r="AC347" s="4136"/>
      <c r="AD347" s="4136"/>
      <c r="AE347" s="4136"/>
      <c r="AF347" s="4136"/>
      <c r="AG347" s="4136"/>
      <c r="AH347" s="4136"/>
      <c r="AI347" s="4136"/>
      <c r="AJ347" s="4136"/>
      <c r="AK347" s="4136"/>
      <c r="AL347" s="4136"/>
      <c r="AM347" s="4136"/>
      <c r="AN347" s="4136"/>
      <c r="AO347" s="4150"/>
      <c r="AP347" s="4150"/>
      <c r="AQ347" s="4153"/>
    </row>
    <row r="348" spans="1:44" ht="36" customHeight="1" x14ac:dyDescent="0.2">
      <c r="A348" s="1199"/>
      <c r="B348" s="1200"/>
      <c r="C348" s="1201"/>
      <c r="D348" s="1200"/>
      <c r="E348" s="1200"/>
      <c r="F348" s="1201"/>
      <c r="G348" s="1297">
        <v>54</v>
      </c>
      <c r="H348" s="1290" t="s">
        <v>648</v>
      </c>
      <c r="I348" s="1290"/>
      <c r="J348" s="1294"/>
      <c r="K348" s="1295"/>
      <c r="L348" s="1205"/>
      <c r="M348" s="1205"/>
      <c r="N348" s="1207"/>
      <c r="O348" s="1205"/>
      <c r="P348" s="1206"/>
      <c r="Q348" s="1205"/>
      <c r="R348" s="1235"/>
      <c r="S348" s="1205"/>
      <c r="T348" s="1295"/>
      <c r="U348" s="1207"/>
      <c r="V348" s="1318"/>
      <c r="W348" s="1318"/>
      <c r="X348" s="1318"/>
      <c r="Y348" s="1318"/>
      <c r="Z348" s="1207"/>
      <c r="AA348" s="1318"/>
      <c r="AB348" s="1318"/>
      <c r="AC348" s="1319"/>
      <c r="AD348" s="1318"/>
      <c r="AE348" s="1318"/>
      <c r="AF348" s="1318"/>
      <c r="AG348" s="1318"/>
      <c r="AH348" s="1312"/>
      <c r="AI348" s="1318"/>
      <c r="AJ348" s="1319"/>
      <c r="AK348" s="1318"/>
      <c r="AL348" s="1318"/>
      <c r="AM348" s="1319"/>
      <c r="AN348" s="1318"/>
      <c r="AO348" s="1205"/>
      <c r="AP348" s="1205"/>
      <c r="AQ348" s="1212"/>
    </row>
    <row r="349" spans="1:44" ht="39" customHeight="1" x14ac:dyDescent="0.2">
      <c r="A349" s="1213"/>
      <c r="B349" s="1214"/>
      <c r="C349" s="1215"/>
      <c r="D349" s="1214"/>
      <c r="E349" s="1214"/>
      <c r="F349" s="1214"/>
      <c r="G349" s="1216"/>
      <c r="H349" s="1217"/>
      <c r="I349" s="1218"/>
      <c r="J349" s="4116">
        <v>175</v>
      </c>
      <c r="K349" s="4205" t="s">
        <v>649</v>
      </c>
      <c r="L349" s="4116" t="s">
        <v>169</v>
      </c>
      <c r="M349" s="4116">
        <v>14</v>
      </c>
      <c r="N349" s="4116" t="s">
        <v>650</v>
      </c>
      <c r="O349" s="4116" t="s">
        <v>651</v>
      </c>
      <c r="P349" s="4215" t="s">
        <v>652</v>
      </c>
      <c r="Q349" s="4362">
        <f>+SUM(V349:V353)/R349</f>
        <v>1</v>
      </c>
      <c r="R349" s="4320">
        <f>SUM(V349:V353)</f>
        <v>858080000</v>
      </c>
      <c r="S349" s="4215" t="s">
        <v>653</v>
      </c>
      <c r="T349" s="4116" t="s">
        <v>654</v>
      </c>
      <c r="U349" s="1320" t="s">
        <v>655</v>
      </c>
      <c r="V349" s="1543">
        <v>10000000</v>
      </c>
      <c r="W349" s="2555">
        <v>20</v>
      </c>
      <c r="X349" s="2507" t="s">
        <v>61</v>
      </c>
      <c r="Y349" s="4129">
        <v>292684</v>
      </c>
      <c r="Z349" s="4278">
        <v>282326</v>
      </c>
      <c r="AA349" s="4361">
        <v>135912</v>
      </c>
      <c r="AB349" s="4361">
        <v>45122</v>
      </c>
      <c r="AC349" s="4361">
        <f t="shared" ref="AC349:AD349" si="3">AC338</f>
        <v>307101</v>
      </c>
      <c r="AD349" s="4361">
        <f t="shared" si="3"/>
        <v>86875</v>
      </c>
      <c r="AE349" s="4361">
        <v>2145</v>
      </c>
      <c r="AF349" s="4361">
        <v>12718</v>
      </c>
      <c r="AG349" s="4361">
        <v>26</v>
      </c>
      <c r="AH349" s="4361">
        <v>37</v>
      </c>
      <c r="AI349" s="4361" t="s">
        <v>177</v>
      </c>
      <c r="AJ349" s="4361" t="s">
        <v>177</v>
      </c>
      <c r="AK349" s="4361">
        <v>53164</v>
      </c>
      <c r="AL349" s="4361">
        <v>16982</v>
      </c>
      <c r="AM349" s="4361">
        <v>60013</v>
      </c>
      <c r="AN349" s="4165">
        <v>575010</v>
      </c>
      <c r="AO349" s="4365">
        <v>43467</v>
      </c>
      <c r="AP349" s="4365">
        <v>43830</v>
      </c>
      <c r="AQ349" s="4151" t="s">
        <v>178</v>
      </c>
    </row>
    <row r="350" spans="1:44" ht="37.5" customHeight="1" x14ac:dyDescent="0.2">
      <c r="A350" s="1213"/>
      <c r="B350" s="1214"/>
      <c r="C350" s="1215"/>
      <c r="D350" s="1214"/>
      <c r="E350" s="1214"/>
      <c r="F350" s="1214"/>
      <c r="G350" s="1222"/>
      <c r="H350" s="1214"/>
      <c r="I350" s="1215"/>
      <c r="J350" s="4117"/>
      <c r="K350" s="4206"/>
      <c r="L350" s="4117"/>
      <c r="M350" s="4117"/>
      <c r="N350" s="4117"/>
      <c r="O350" s="4117"/>
      <c r="P350" s="4216"/>
      <c r="Q350" s="4362"/>
      <c r="R350" s="4320"/>
      <c r="S350" s="4216"/>
      <c r="T350" s="4117"/>
      <c r="U350" s="1320" t="s">
        <v>656</v>
      </c>
      <c r="V350" s="1543">
        <v>8080000</v>
      </c>
      <c r="W350" s="2555">
        <v>20</v>
      </c>
      <c r="X350" s="2507" t="s">
        <v>61</v>
      </c>
      <c r="Y350" s="4129"/>
      <c r="Z350" s="4278"/>
      <c r="AA350" s="4361"/>
      <c r="AB350" s="4361"/>
      <c r="AC350" s="4361"/>
      <c r="AD350" s="4361"/>
      <c r="AE350" s="4361"/>
      <c r="AF350" s="4361"/>
      <c r="AG350" s="4361"/>
      <c r="AH350" s="4361"/>
      <c r="AI350" s="4361"/>
      <c r="AJ350" s="4361"/>
      <c r="AK350" s="4361"/>
      <c r="AL350" s="4361"/>
      <c r="AM350" s="4361"/>
      <c r="AN350" s="4166"/>
      <c r="AO350" s="4365"/>
      <c r="AP350" s="4365"/>
      <c r="AQ350" s="4152"/>
    </row>
    <row r="351" spans="1:44" ht="48" customHeight="1" x14ac:dyDescent="0.2">
      <c r="A351" s="1213"/>
      <c r="B351" s="1214"/>
      <c r="C351" s="1215"/>
      <c r="D351" s="1214"/>
      <c r="E351" s="1214"/>
      <c r="F351" s="1214"/>
      <c r="G351" s="1222"/>
      <c r="H351" s="1214"/>
      <c r="I351" s="1215"/>
      <c r="J351" s="4117"/>
      <c r="K351" s="4206"/>
      <c r="L351" s="4117"/>
      <c r="M351" s="4117"/>
      <c r="N351" s="4117"/>
      <c r="O351" s="4117"/>
      <c r="P351" s="4216"/>
      <c r="Q351" s="4362"/>
      <c r="R351" s="4320"/>
      <c r="S351" s="4216"/>
      <c r="T351" s="4117"/>
      <c r="U351" s="4363" t="s">
        <v>657</v>
      </c>
      <c r="V351" s="1522">
        <f>10000000+518000000</f>
        <v>528000000</v>
      </c>
      <c r="W351" s="2555">
        <v>20</v>
      </c>
      <c r="X351" s="2507" t="s">
        <v>61</v>
      </c>
      <c r="Y351" s="4129"/>
      <c r="Z351" s="4278"/>
      <c r="AA351" s="4361"/>
      <c r="AB351" s="4361"/>
      <c r="AC351" s="4361"/>
      <c r="AD351" s="4361"/>
      <c r="AE351" s="4361"/>
      <c r="AF351" s="4361"/>
      <c r="AG351" s="4361"/>
      <c r="AH351" s="4361"/>
      <c r="AI351" s="4361"/>
      <c r="AJ351" s="4361"/>
      <c r="AK351" s="4361"/>
      <c r="AL351" s="4361"/>
      <c r="AM351" s="4361"/>
      <c r="AN351" s="4166"/>
      <c r="AO351" s="4361"/>
      <c r="AP351" s="4361"/>
      <c r="AQ351" s="4152"/>
    </row>
    <row r="352" spans="1:44" ht="48" customHeight="1" x14ac:dyDescent="0.2">
      <c r="A352" s="1213"/>
      <c r="B352" s="1214"/>
      <c r="C352" s="1215"/>
      <c r="D352" s="1214"/>
      <c r="E352" s="1214"/>
      <c r="F352" s="1214"/>
      <c r="G352" s="1222"/>
      <c r="H352" s="1214"/>
      <c r="I352" s="1215"/>
      <c r="J352" s="2496"/>
      <c r="K352" s="2501"/>
      <c r="L352" s="2496"/>
      <c r="M352" s="2496"/>
      <c r="N352" s="4117"/>
      <c r="O352" s="4117"/>
      <c r="P352" s="4216"/>
      <c r="Q352" s="4362"/>
      <c r="R352" s="4320"/>
      <c r="S352" s="4216"/>
      <c r="T352" s="4118"/>
      <c r="U352" s="4364"/>
      <c r="V352" s="1522">
        <v>300000000</v>
      </c>
      <c r="W352" s="2555">
        <v>88</v>
      </c>
      <c r="X352" s="2507" t="s">
        <v>624</v>
      </c>
      <c r="Y352" s="4129"/>
      <c r="Z352" s="4278"/>
      <c r="AA352" s="4361"/>
      <c r="AB352" s="4361"/>
      <c r="AC352" s="4361"/>
      <c r="AD352" s="4361"/>
      <c r="AE352" s="4361"/>
      <c r="AF352" s="4361"/>
      <c r="AG352" s="4361"/>
      <c r="AH352" s="4361"/>
      <c r="AI352" s="4361"/>
      <c r="AJ352" s="4361"/>
      <c r="AK352" s="4361"/>
      <c r="AL352" s="4361"/>
      <c r="AM352" s="4361"/>
      <c r="AN352" s="4166"/>
      <c r="AO352" s="4361"/>
      <c r="AP352" s="4361"/>
      <c r="AQ352" s="4152"/>
    </row>
    <row r="353" spans="1:308" ht="66.75" customHeight="1" x14ac:dyDescent="0.2">
      <c r="A353" s="1213"/>
      <c r="B353" s="1214"/>
      <c r="C353" s="1215"/>
      <c r="D353" s="1224"/>
      <c r="E353" s="1224"/>
      <c r="F353" s="1224"/>
      <c r="G353" s="1222"/>
      <c r="H353" s="1214"/>
      <c r="I353" s="1215"/>
      <c r="J353" s="2507">
        <v>176</v>
      </c>
      <c r="K353" s="1324" t="s">
        <v>658</v>
      </c>
      <c r="L353" s="2507" t="s">
        <v>163</v>
      </c>
      <c r="M353" s="2507">
        <v>2</v>
      </c>
      <c r="N353" s="4118"/>
      <c r="O353" s="4118"/>
      <c r="P353" s="4245"/>
      <c r="Q353" s="4362"/>
      <c r="R353" s="4320"/>
      <c r="S353" s="4216"/>
      <c r="T353" s="1325" t="s">
        <v>659</v>
      </c>
      <c r="U353" s="1320" t="s">
        <v>660</v>
      </c>
      <c r="V353" s="1522">
        <v>12000000</v>
      </c>
      <c r="W353" s="2555">
        <v>20</v>
      </c>
      <c r="X353" s="2507" t="s">
        <v>61</v>
      </c>
      <c r="Y353" s="4129"/>
      <c r="Z353" s="4278"/>
      <c r="AA353" s="4361"/>
      <c r="AB353" s="4361"/>
      <c r="AC353" s="4361"/>
      <c r="AD353" s="4361"/>
      <c r="AE353" s="4361"/>
      <c r="AF353" s="4361"/>
      <c r="AG353" s="4361"/>
      <c r="AH353" s="4361"/>
      <c r="AI353" s="4361"/>
      <c r="AJ353" s="4361"/>
      <c r="AK353" s="4361"/>
      <c r="AL353" s="4361"/>
      <c r="AM353" s="4361"/>
      <c r="AN353" s="4167"/>
      <c r="AO353" s="4361"/>
      <c r="AP353" s="4361"/>
      <c r="AQ353" s="4153"/>
    </row>
    <row r="354" spans="1:308" ht="36" customHeight="1" x14ac:dyDescent="0.2">
      <c r="A354" s="1199"/>
      <c r="C354" s="1227"/>
      <c r="D354" s="1296">
        <v>15</v>
      </c>
      <c r="E354" s="1190" t="s">
        <v>661</v>
      </c>
      <c r="F354" s="1190"/>
      <c r="G354" s="1282"/>
      <c r="H354" s="1282"/>
      <c r="I354" s="1282"/>
      <c r="J354" s="1191"/>
      <c r="K354" s="1192"/>
      <c r="L354" s="1191"/>
      <c r="M354" s="1191"/>
      <c r="N354" s="1193"/>
      <c r="O354" s="1191"/>
      <c r="P354" s="1192"/>
      <c r="Q354" s="1191"/>
      <c r="R354" s="1231"/>
      <c r="S354" s="1191"/>
      <c r="T354" s="1192"/>
      <c r="U354" s="1192"/>
      <c r="V354" s="1192"/>
      <c r="W354" s="1191"/>
      <c r="X354" s="1192"/>
      <c r="Y354" s="1191"/>
      <c r="Z354" s="1231"/>
      <c r="AA354" s="1191"/>
      <c r="AB354" s="1192"/>
      <c r="AC354" s="1192"/>
      <c r="AD354" s="1326"/>
      <c r="AE354" s="1326"/>
      <c r="AF354" s="1326"/>
      <c r="AG354" s="1326"/>
      <c r="AH354" s="1328"/>
      <c r="AI354" s="1326"/>
      <c r="AJ354" s="1327"/>
      <c r="AK354" s="1326"/>
      <c r="AL354" s="1326"/>
      <c r="AM354" s="1327"/>
      <c r="AN354" s="1326"/>
      <c r="AO354" s="1191"/>
      <c r="AP354" s="1191"/>
      <c r="AQ354" s="1198"/>
    </row>
    <row r="355" spans="1:308" ht="36" customHeight="1" x14ac:dyDescent="0.2">
      <c r="A355" s="1199"/>
      <c r="B355" s="1200"/>
      <c r="C355" s="1201"/>
      <c r="D355" s="1202"/>
      <c r="E355" s="1202"/>
      <c r="F355" s="1203"/>
      <c r="G355" s="1234">
        <v>55</v>
      </c>
      <c r="H355" s="1205" t="s">
        <v>662</v>
      </c>
      <c r="I355" s="1205"/>
      <c r="J355" s="1205"/>
      <c r="K355" s="1206"/>
      <c r="L355" s="1205"/>
      <c r="M355" s="1205"/>
      <c r="N355" s="1207"/>
      <c r="O355" s="1205"/>
      <c r="P355" s="1206"/>
      <c r="Q355" s="1205"/>
      <c r="R355" s="1235"/>
      <c r="S355" s="1205"/>
      <c r="T355" s="1206"/>
      <c r="U355" s="1206"/>
      <c r="V355" s="1206"/>
      <c r="W355" s="1205"/>
      <c r="X355" s="1206"/>
      <c r="Y355" s="1205"/>
      <c r="Z355" s="1235"/>
      <c r="AA355" s="1205"/>
      <c r="AB355" s="1206"/>
      <c r="AC355" s="1206"/>
      <c r="AD355" s="1330"/>
      <c r="AE355" s="1330"/>
      <c r="AF355" s="1330"/>
      <c r="AG355" s="1330"/>
      <c r="AH355" s="1332"/>
      <c r="AI355" s="1330"/>
      <c r="AJ355" s="1331"/>
      <c r="AK355" s="1330"/>
      <c r="AL355" s="1330"/>
      <c r="AM355" s="1331"/>
      <c r="AN355" s="1330"/>
      <c r="AO355" s="1205"/>
      <c r="AP355" s="1205"/>
      <c r="AQ355" s="1212"/>
    </row>
    <row r="356" spans="1:308" s="1221" customFormat="1" ht="59.25" customHeight="1" x14ac:dyDescent="0.2">
      <c r="A356" s="1238"/>
      <c r="B356" s="1239"/>
      <c r="C356" s="1240"/>
      <c r="D356" s="1239"/>
      <c r="E356" s="1239"/>
      <c r="F356" s="1240"/>
      <c r="G356" s="1242"/>
      <c r="H356" s="1242"/>
      <c r="I356" s="1243"/>
      <c r="J356" s="2504">
        <v>177</v>
      </c>
      <c r="K356" s="2490" t="s">
        <v>663</v>
      </c>
      <c r="L356" s="2504" t="s">
        <v>169</v>
      </c>
      <c r="M356" s="2504">
        <v>2</v>
      </c>
      <c r="N356" s="4122" t="s">
        <v>664</v>
      </c>
      <c r="O356" s="4122" t="s">
        <v>665</v>
      </c>
      <c r="P356" s="4119" t="s">
        <v>666</v>
      </c>
      <c r="Q356" s="2492">
        <v>0</v>
      </c>
      <c r="R356" s="4142">
        <f>SUM(V356:V362)</f>
        <v>150000000</v>
      </c>
      <c r="S356" s="4119" t="s">
        <v>667</v>
      </c>
      <c r="T356" s="1302" t="s">
        <v>668</v>
      </c>
      <c r="U356" s="1248" t="s">
        <v>669</v>
      </c>
      <c r="V356" s="1666">
        <v>0</v>
      </c>
      <c r="W356" s="2587"/>
      <c r="X356" s="2507"/>
      <c r="Y356" s="4116">
        <v>292684</v>
      </c>
      <c r="Z356" s="4122">
        <v>282326</v>
      </c>
      <c r="AA356" s="4134">
        <v>135912</v>
      </c>
      <c r="AB356" s="4134">
        <v>45122</v>
      </c>
      <c r="AC356" s="4134">
        <f>SUM(AC349)</f>
        <v>307101</v>
      </c>
      <c r="AD356" s="4134">
        <v>86875</v>
      </c>
      <c r="AE356" s="4134">
        <v>2145</v>
      </c>
      <c r="AF356" s="4134">
        <v>12718</v>
      </c>
      <c r="AG356" s="4134">
        <v>26</v>
      </c>
      <c r="AH356" s="4134">
        <v>37</v>
      </c>
      <c r="AI356" s="4134" t="s">
        <v>177</v>
      </c>
      <c r="AJ356" s="4134" t="s">
        <v>177</v>
      </c>
      <c r="AK356" s="4134">
        <v>53164</v>
      </c>
      <c r="AL356" s="4134">
        <v>16982</v>
      </c>
      <c r="AM356" s="4134">
        <v>60013</v>
      </c>
      <c r="AN356" s="4134">
        <v>575010</v>
      </c>
      <c r="AO356" s="4148">
        <v>43467</v>
      </c>
      <c r="AP356" s="4148">
        <v>43830</v>
      </c>
      <c r="AQ356" s="4151" t="s">
        <v>178</v>
      </c>
      <c r="AR356" s="2594"/>
    </row>
    <row r="357" spans="1:308" ht="54.75" customHeight="1" x14ac:dyDescent="0.2">
      <c r="A357" s="1238"/>
      <c r="B357" s="1239"/>
      <c r="C357" s="1240"/>
      <c r="D357" s="1239"/>
      <c r="E357" s="1239"/>
      <c r="F357" s="1240"/>
      <c r="G357" s="1239"/>
      <c r="H357" s="1239"/>
      <c r="I357" s="1240"/>
      <c r="J357" s="4122">
        <v>178</v>
      </c>
      <c r="K357" s="4119" t="s">
        <v>670</v>
      </c>
      <c r="L357" s="4122" t="s">
        <v>169</v>
      </c>
      <c r="M357" s="4122">
        <v>3</v>
      </c>
      <c r="N357" s="4123"/>
      <c r="O357" s="4123"/>
      <c r="P357" s="4120"/>
      <c r="Q357" s="4372">
        <f>+SUM(V357:V359)/R356</f>
        <v>0.8</v>
      </c>
      <c r="R357" s="4143"/>
      <c r="S357" s="4120"/>
      <c r="T357" s="4204" t="s">
        <v>671</v>
      </c>
      <c r="U357" s="1333" t="s">
        <v>672</v>
      </c>
      <c r="V357" s="1523">
        <v>60000000</v>
      </c>
      <c r="W357" s="2587">
        <v>72</v>
      </c>
      <c r="X357" s="2507" t="s">
        <v>673</v>
      </c>
      <c r="Y357" s="4117"/>
      <c r="Z357" s="4123"/>
      <c r="AA357" s="4135"/>
      <c r="AB357" s="4135"/>
      <c r="AC357" s="4135"/>
      <c r="AD357" s="4135"/>
      <c r="AE357" s="4135"/>
      <c r="AF357" s="4135"/>
      <c r="AG357" s="4135"/>
      <c r="AH357" s="4135"/>
      <c r="AI357" s="4135"/>
      <c r="AJ357" s="4135"/>
      <c r="AK357" s="4135"/>
      <c r="AL357" s="4135"/>
      <c r="AM357" s="4135"/>
      <c r="AN357" s="4135"/>
      <c r="AO357" s="4149"/>
      <c r="AP357" s="4149"/>
      <c r="AQ357" s="4152"/>
    </row>
    <row r="358" spans="1:308" ht="37.5" customHeight="1" x14ac:dyDescent="0.2">
      <c r="A358" s="1238"/>
      <c r="B358" s="1239"/>
      <c r="C358" s="1240"/>
      <c r="D358" s="1239"/>
      <c r="E358" s="1239"/>
      <c r="F358" s="1240"/>
      <c r="G358" s="1239"/>
      <c r="H358" s="1239"/>
      <c r="I358" s="1240"/>
      <c r="J358" s="4123"/>
      <c r="K358" s="4120"/>
      <c r="L358" s="4123"/>
      <c r="M358" s="4123"/>
      <c r="N358" s="4123"/>
      <c r="O358" s="4123"/>
      <c r="P358" s="4120"/>
      <c r="Q358" s="4372"/>
      <c r="R358" s="4143"/>
      <c r="S358" s="4120"/>
      <c r="T358" s="4204"/>
      <c r="U358" s="1333" t="s">
        <v>674</v>
      </c>
      <c r="V358" s="1523">
        <v>40000000</v>
      </c>
      <c r="W358" s="2587">
        <v>72</v>
      </c>
      <c r="X358" s="2507" t="s">
        <v>673</v>
      </c>
      <c r="Y358" s="4117"/>
      <c r="Z358" s="4123"/>
      <c r="AA358" s="4135"/>
      <c r="AB358" s="4135"/>
      <c r="AC358" s="4135"/>
      <c r="AD358" s="4135"/>
      <c r="AE358" s="4135"/>
      <c r="AF358" s="4135"/>
      <c r="AG358" s="4135"/>
      <c r="AH358" s="4135"/>
      <c r="AI358" s="4135"/>
      <c r="AJ358" s="4135"/>
      <c r="AK358" s="4135"/>
      <c r="AL358" s="4135"/>
      <c r="AM358" s="4135"/>
      <c r="AN358" s="4135"/>
      <c r="AO358" s="4149"/>
      <c r="AP358" s="4149"/>
      <c r="AQ358" s="4152"/>
    </row>
    <row r="359" spans="1:308" ht="38.25" customHeight="1" x14ac:dyDescent="0.2">
      <c r="A359" s="1238"/>
      <c r="B359" s="1239"/>
      <c r="C359" s="1240"/>
      <c r="D359" s="1239"/>
      <c r="E359" s="1239"/>
      <c r="F359" s="1240"/>
      <c r="G359" s="1239"/>
      <c r="H359" s="1239"/>
      <c r="I359" s="1240"/>
      <c r="J359" s="4123"/>
      <c r="K359" s="4120"/>
      <c r="L359" s="4123"/>
      <c r="M359" s="4123"/>
      <c r="N359" s="4123"/>
      <c r="O359" s="4123"/>
      <c r="P359" s="4120"/>
      <c r="Q359" s="4372"/>
      <c r="R359" s="4143"/>
      <c r="S359" s="4120"/>
      <c r="T359" s="4204"/>
      <c r="U359" s="1333" t="s">
        <v>675</v>
      </c>
      <c r="V359" s="1523">
        <v>20000000</v>
      </c>
      <c r="W359" s="2587">
        <v>72</v>
      </c>
      <c r="X359" s="2507" t="s">
        <v>673</v>
      </c>
      <c r="Y359" s="4117"/>
      <c r="Z359" s="4123"/>
      <c r="AA359" s="4135"/>
      <c r="AB359" s="4135"/>
      <c r="AC359" s="4135"/>
      <c r="AD359" s="4135"/>
      <c r="AE359" s="4135"/>
      <c r="AF359" s="4135"/>
      <c r="AG359" s="4135"/>
      <c r="AH359" s="4135"/>
      <c r="AI359" s="4135"/>
      <c r="AJ359" s="4135"/>
      <c r="AK359" s="4135"/>
      <c r="AL359" s="4135"/>
      <c r="AM359" s="4135"/>
      <c r="AN359" s="4135"/>
      <c r="AO359" s="4149"/>
      <c r="AP359" s="4149"/>
      <c r="AQ359" s="4152"/>
    </row>
    <row r="360" spans="1:308" ht="37.5" customHeight="1" x14ac:dyDescent="0.2">
      <c r="A360" s="1238"/>
      <c r="B360" s="1239"/>
      <c r="C360" s="1240"/>
      <c r="D360" s="1239"/>
      <c r="E360" s="1239"/>
      <c r="F360" s="1240"/>
      <c r="G360" s="1239"/>
      <c r="H360" s="1239"/>
      <c r="I360" s="1240"/>
      <c r="J360" s="4123"/>
      <c r="K360" s="4120"/>
      <c r="L360" s="4123"/>
      <c r="M360" s="4123"/>
      <c r="N360" s="4123"/>
      <c r="O360" s="4123"/>
      <c r="P360" s="4120"/>
      <c r="Q360" s="4140">
        <f>+SUM(V360:V361)/R356</f>
        <v>0.2</v>
      </c>
      <c r="R360" s="4143"/>
      <c r="S360" s="4120"/>
      <c r="T360" s="4204" t="s">
        <v>676</v>
      </c>
      <c r="U360" s="1334" t="s">
        <v>677</v>
      </c>
      <c r="V360" s="1523">
        <v>15000000</v>
      </c>
      <c r="W360" s="2587">
        <v>72</v>
      </c>
      <c r="X360" s="2507" t="s">
        <v>673</v>
      </c>
      <c r="Y360" s="4117"/>
      <c r="Z360" s="4123"/>
      <c r="AA360" s="4135"/>
      <c r="AB360" s="4135"/>
      <c r="AC360" s="4135"/>
      <c r="AD360" s="4135"/>
      <c r="AE360" s="4135"/>
      <c r="AF360" s="4135"/>
      <c r="AG360" s="4135"/>
      <c r="AH360" s="4135"/>
      <c r="AI360" s="4135"/>
      <c r="AJ360" s="4135"/>
      <c r="AK360" s="4135"/>
      <c r="AL360" s="4135"/>
      <c r="AM360" s="4135"/>
      <c r="AN360" s="4135"/>
      <c r="AO360" s="4149"/>
      <c r="AP360" s="4149"/>
      <c r="AQ360" s="4152"/>
    </row>
    <row r="361" spans="1:308" ht="40.5" customHeight="1" x14ac:dyDescent="0.2">
      <c r="A361" s="1238"/>
      <c r="B361" s="1239"/>
      <c r="C361" s="1240"/>
      <c r="D361" s="1239"/>
      <c r="E361" s="1239"/>
      <c r="F361" s="1240"/>
      <c r="G361" s="1239"/>
      <c r="H361" s="1239"/>
      <c r="I361" s="1240"/>
      <c r="J361" s="4124"/>
      <c r="K361" s="4121"/>
      <c r="L361" s="4124"/>
      <c r="M361" s="4124"/>
      <c r="N361" s="4123"/>
      <c r="O361" s="4123"/>
      <c r="P361" s="4120"/>
      <c r="Q361" s="4141"/>
      <c r="R361" s="4143"/>
      <c r="S361" s="4120"/>
      <c r="T361" s="4204"/>
      <c r="U361" s="1334" t="s">
        <v>678</v>
      </c>
      <c r="V361" s="1523">
        <v>15000000</v>
      </c>
      <c r="W361" s="2587">
        <v>72</v>
      </c>
      <c r="X361" s="2507" t="s">
        <v>673</v>
      </c>
      <c r="Y361" s="4117"/>
      <c r="Z361" s="4123"/>
      <c r="AA361" s="4135"/>
      <c r="AB361" s="4135"/>
      <c r="AC361" s="4135"/>
      <c r="AD361" s="4135"/>
      <c r="AE361" s="4135"/>
      <c r="AF361" s="4135"/>
      <c r="AG361" s="4135"/>
      <c r="AH361" s="4135"/>
      <c r="AI361" s="4135"/>
      <c r="AJ361" s="4135"/>
      <c r="AK361" s="4135"/>
      <c r="AL361" s="4135"/>
      <c r="AM361" s="4135"/>
      <c r="AN361" s="4135"/>
      <c r="AO361" s="4149"/>
      <c r="AP361" s="4149"/>
      <c r="AQ361" s="4152"/>
    </row>
    <row r="362" spans="1:308" s="1336" customFormat="1" ht="49.5" customHeight="1" thickBot="1" x14ac:dyDescent="0.25">
      <c r="A362" s="1238"/>
      <c r="B362" s="1239"/>
      <c r="C362" s="1240"/>
      <c r="D362" s="1239"/>
      <c r="E362" s="1239"/>
      <c r="F362" s="1240"/>
      <c r="G362" s="1239"/>
      <c r="H362" s="1239"/>
      <c r="I362" s="1240"/>
      <c r="J362" s="2499">
        <v>179</v>
      </c>
      <c r="K362" s="1302" t="s">
        <v>679</v>
      </c>
      <c r="L362" s="2499" t="s">
        <v>169</v>
      </c>
      <c r="M362" s="2499">
        <v>4</v>
      </c>
      <c r="N362" s="4123"/>
      <c r="O362" s="4123"/>
      <c r="P362" s="4120"/>
      <c r="Q362" s="2491">
        <v>0</v>
      </c>
      <c r="R362" s="4143"/>
      <c r="S362" s="4120"/>
      <c r="T362" s="1302" t="s">
        <v>680</v>
      </c>
      <c r="U362" s="1335" t="s">
        <v>681</v>
      </c>
      <c r="V362" s="1544">
        <v>0</v>
      </c>
      <c r="W362" s="2587"/>
      <c r="X362" s="2507"/>
      <c r="Y362" s="4117"/>
      <c r="Z362" s="4123"/>
      <c r="AA362" s="4135"/>
      <c r="AB362" s="4135"/>
      <c r="AC362" s="4135"/>
      <c r="AD362" s="4135"/>
      <c r="AE362" s="4135"/>
      <c r="AF362" s="4135"/>
      <c r="AG362" s="4135"/>
      <c r="AH362" s="4135"/>
      <c r="AI362" s="4135"/>
      <c r="AJ362" s="4135"/>
      <c r="AK362" s="4135"/>
      <c r="AL362" s="4135"/>
      <c r="AM362" s="4135"/>
      <c r="AN362" s="4135"/>
      <c r="AO362" s="4149"/>
      <c r="AP362" s="4149"/>
      <c r="AQ362" s="4366"/>
      <c r="AR362" s="2593"/>
      <c r="AS362" s="1188"/>
      <c r="AT362" s="1188"/>
      <c r="AU362" s="1188"/>
      <c r="AV362" s="1188"/>
      <c r="AW362" s="1188"/>
      <c r="AX362" s="1188"/>
      <c r="AY362" s="1188"/>
      <c r="AZ362" s="1188"/>
      <c r="BA362" s="1188"/>
      <c r="BB362" s="1188"/>
      <c r="BC362" s="1188"/>
      <c r="BD362" s="1188"/>
      <c r="BE362" s="1188"/>
      <c r="BF362" s="1188"/>
      <c r="BG362" s="1188"/>
      <c r="BH362" s="1188"/>
      <c r="BI362" s="1188"/>
      <c r="BJ362" s="1188"/>
      <c r="BK362" s="1188"/>
      <c r="BL362" s="1188"/>
      <c r="BM362" s="1188"/>
      <c r="BN362" s="1188"/>
      <c r="BO362" s="1188"/>
      <c r="BP362" s="1188"/>
      <c r="BQ362" s="1188"/>
      <c r="BR362" s="1188"/>
      <c r="BS362" s="1188"/>
      <c r="BT362" s="1188"/>
      <c r="BU362" s="1188"/>
      <c r="BV362" s="1188"/>
      <c r="BW362" s="1188"/>
      <c r="BX362" s="1188"/>
      <c r="BY362" s="1188"/>
      <c r="BZ362" s="1188"/>
      <c r="CA362" s="1188"/>
      <c r="CB362" s="1188"/>
      <c r="CC362" s="1188"/>
      <c r="CD362" s="1188"/>
      <c r="CE362" s="1188"/>
      <c r="CF362" s="1188"/>
      <c r="CG362" s="1188"/>
      <c r="CH362" s="1188"/>
      <c r="CI362" s="1188"/>
      <c r="CJ362" s="1188"/>
      <c r="CK362" s="1188"/>
      <c r="CL362" s="1188"/>
      <c r="CM362" s="1188"/>
      <c r="CN362" s="1188"/>
      <c r="CO362" s="1188"/>
      <c r="CP362" s="1188"/>
      <c r="CQ362" s="1188"/>
      <c r="CR362" s="1188"/>
      <c r="CS362" s="1188"/>
      <c r="CT362" s="1188"/>
      <c r="CU362" s="1188"/>
      <c r="CV362" s="1188"/>
      <c r="CW362" s="1188"/>
      <c r="CX362" s="1188"/>
      <c r="CY362" s="1188"/>
      <c r="CZ362" s="1188"/>
      <c r="DA362" s="1188"/>
      <c r="DB362" s="1188"/>
      <c r="DC362" s="1188"/>
      <c r="DD362" s="1188"/>
      <c r="DE362" s="1188"/>
      <c r="DF362" s="1188"/>
      <c r="DG362" s="1188"/>
      <c r="DH362" s="1188"/>
      <c r="DI362" s="1188"/>
      <c r="DJ362" s="1188"/>
      <c r="DK362" s="1188"/>
      <c r="DL362" s="1188"/>
      <c r="DM362" s="1188"/>
      <c r="DN362" s="1188"/>
      <c r="DO362" s="1188"/>
      <c r="DP362" s="1188"/>
      <c r="DQ362" s="1188"/>
      <c r="DR362" s="1188"/>
      <c r="DS362" s="1188"/>
      <c r="DT362" s="1188"/>
      <c r="DU362" s="1188"/>
      <c r="DV362" s="1188"/>
      <c r="DW362" s="1188"/>
      <c r="DX362" s="1188"/>
      <c r="DY362" s="1188"/>
      <c r="DZ362" s="1188"/>
      <c r="EA362" s="1188"/>
      <c r="EB362" s="1188"/>
      <c r="EC362" s="1188"/>
      <c r="ED362" s="1188"/>
      <c r="EE362" s="1188"/>
      <c r="EF362" s="1188"/>
      <c r="EG362" s="1188"/>
      <c r="EH362" s="1188"/>
      <c r="EI362" s="1188"/>
      <c r="EJ362" s="1188"/>
      <c r="EK362" s="1188"/>
      <c r="EL362" s="1188"/>
      <c r="EM362" s="1188"/>
      <c r="EN362" s="1188"/>
      <c r="EO362" s="1188"/>
      <c r="EP362" s="1188"/>
      <c r="EQ362" s="1188"/>
      <c r="ER362" s="1188"/>
      <c r="ES362" s="1188"/>
      <c r="ET362" s="1188"/>
      <c r="EU362" s="1188"/>
      <c r="EV362" s="1188"/>
      <c r="EW362" s="1188"/>
      <c r="EX362" s="1188"/>
      <c r="EY362" s="1188"/>
      <c r="EZ362" s="1188"/>
      <c r="FA362" s="1188"/>
      <c r="FB362" s="1188"/>
      <c r="FC362" s="1188"/>
      <c r="FD362" s="1188"/>
      <c r="FE362" s="1188"/>
      <c r="FF362" s="1188"/>
      <c r="FG362" s="1188"/>
      <c r="FH362" s="1188"/>
      <c r="FI362" s="1188"/>
      <c r="FJ362" s="1188"/>
      <c r="FK362" s="1188"/>
      <c r="FL362" s="1188"/>
      <c r="FM362" s="1188"/>
      <c r="FN362" s="1188"/>
      <c r="FO362" s="1188"/>
      <c r="FP362" s="1188"/>
      <c r="FQ362" s="1188"/>
      <c r="FR362" s="1188"/>
      <c r="FS362" s="1188"/>
      <c r="FT362" s="1188"/>
      <c r="FU362" s="1188"/>
      <c r="FV362" s="1188"/>
      <c r="FW362" s="1188"/>
      <c r="FX362" s="1188"/>
      <c r="FY362" s="1188"/>
      <c r="FZ362" s="1188"/>
      <c r="GA362" s="1188"/>
      <c r="GB362" s="1188"/>
      <c r="GC362" s="1188"/>
      <c r="GD362" s="1188"/>
      <c r="GE362" s="1188"/>
      <c r="GF362" s="1188"/>
      <c r="GG362" s="1188"/>
      <c r="GH362" s="1188"/>
      <c r="GI362" s="1188"/>
      <c r="GJ362" s="1188"/>
      <c r="GK362" s="1188"/>
      <c r="GL362" s="1188"/>
      <c r="GM362" s="1188"/>
      <c r="GN362" s="1188"/>
      <c r="GO362" s="1188"/>
      <c r="GP362" s="1188"/>
      <c r="GQ362" s="1188"/>
      <c r="GR362" s="1188"/>
      <c r="GS362" s="1188"/>
      <c r="GT362" s="1188"/>
      <c r="GU362" s="1188"/>
      <c r="GV362" s="1188"/>
      <c r="GW362" s="1188"/>
      <c r="GX362" s="1188"/>
      <c r="GY362" s="1188"/>
      <c r="GZ362" s="1188"/>
      <c r="HA362" s="1188"/>
      <c r="HB362" s="1188"/>
      <c r="HC362" s="1188"/>
      <c r="HD362" s="1188"/>
      <c r="HE362" s="1188"/>
      <c r="HF362" s="1188"/>
      <c r="HG362" s="1188"/>
      <c r="HH362" s="1188"/>
      <c r="HI362" s="1188"/>
      <c r="HJ362" s="1188"/>
      <c r="HK362" s="1188"/>
      <c r="HL362" s="1188"/>
      <c r="HM362" s="1188"/>
      <c r="HN362" s="1188"/>
      <c r="HO362" s="1188"/>
      <c r="HP362" s="1188"/>
      <c r="HQ362" s="1188"/>
      <c r="HR362" s="1188"/>
      <c r="HS362" s="1188"/>
      <c r="HT362" s="1188"/>
      <c r="HU362" s="1188"/>
      <c r="HV362" s="1188"/>
      <c r="HW362" s="1188"/>
      <c r="HX362" s="1188"/>
      <c r="HY362" s="1188"/>
      <c r="HZ362" s="1188"/>
      <c r="IA362" s="1188"/>
      <c r="IB362" s="1188"/>
      <c r="IC362" s="1188"/>
      <c r="ID362" s="1188"/>
      <c r="IE362" s="1188"/>
      <c r="IF362" s="1188"/>
      <c r="IG362" s="1188"/>
      <c r="IH362" s="1188"/>
      <c r="II362" s="1188"/>
      <c r="IJ362" s="1188"/>
      <c r="IK362" s="1188"/>
      <c r="IL362" s="1188"/>
      <c r="IM362" s="1188"/>
      <c r="IN362" s="1188"/>
      <c r="IO362" s="1188"/>
      <c r="IP362" s="1188"/>
      <c r="IQ362" s="1188"/>
      <c r="IR362" s="1188"/>
      <c r="IS362" s="1188"/>
      <c r="IT362" s="1188"/>
      <c r="IU362" s="1188"/>
      <c r="IV362" s="1188"/>
      <c r="IW362" s="1188"/>
      <c r="IX362" s="1188"/>
      <c r="IY362" s="1188"/>
      <c r="IZ362" s="1188"/>
      <c r="JA362" s="1188"/>
      <c r="JB362" s="1188"/>
      <c r="JC362" s="1188"/>
      <c r="JD362" s="1188"/>
      <c r="JE362" s="1188"/>
      <c r="JF362" s="1188"/>
      <c r="JG362" s="1188"/>
      <c r="JH362" s="1188"/>
      <c r="JI362" s="1188"/>
      <c r="JJ362" s="1188"/>
      <c r="JK362" s="1188"/>
      <c r="JL362" s="1188"/>
      <c r="JM362" s="1188"/>
      <c r="JN362" s="1188"/>
      <c r="JO362" s="1188"/>
      <c r="JP362" s="1188"/>
      <c r="JQ362" s="1188"/>
      <c r="JR362" s="1188"/>
      <c r="JS362" s="1188"/>
      <c r="JT362" s="1188"/>
      <c r="JU362" s="1188"/>
      <c r="JV362" s="1188"/>
      <c r="JW362" s="1188"/>
      <c r="JX362" s="1188"/>
      <c r="JY362" s="1188"/>
      <c r="JZ362" s="1188"/>
      <c r="KA362" s="1188"/>
      <c r="KB362" s="1188"/>
      <c r="KC362" s="1188"/>
      <c r="KD362" s="1188"/>
      <c r="KE362" s="1188"/>
      <c r="KF362" s="1188"/>
      <c r="KG362" s="1188"/>
      <c r="KH362" s="1188"/>
      <c r="KI362" s="1188"/>
      <c r="KJ362" s="1188"/>
      <c r="KK362" s="1188"/>
      <c r="KL362" s="1188"/>
      <c r="KM362" s="1188"/>
      <c r="KN362" s="1188"/>
      <c r="KO362" s="1188"/>
      <c r="KP362" s="1188"/>
      <c r="KQ362" s="1188"/>
      <c r="KR362" s="1188"/>
      <c r="KS362" s="1188"/>
      <c r="KT362" s="1188"/>
      <c r="KU362" s="1188"/>
      <c r="KV362" s="1188"/>
    </row>
    <row r="363" spans="1:308" ht="30" customHeight="1" thickBot="1" x14ac:dyDescent="0.25">
      <c r="A363" s="4367"/>
      <c r="B363" s="4368"/>
      <c r="C363" s="4368"/>
      <c r="D363" s="4368"/>
      <c r="E363" s="4368"/>
      <c r="F363" s="4368"/>
      <c r="G363" s="4368"/>
      <c r="H363" s="4368"/>
      <c r="I363" s="4368"/>
      <c r="J363" s="4368"/>
      <c r="K363" s="4368"/>
      <c r="L363" s="4368"/>
      <c r="M363" s="4368"/>
      <c r="N363" s="4368"/>
      <c r="O363" s="4368"/>
      <c r="P363" s="4368"/>
      <c r="Q363" s="4369"/>
      <c r="R363" s="1337">
        <f>SUM(R12:R362)</f>
        <v>49076848643.690002</v>
      </c>
      <c r="S363" s="1338"/>
      <c r="T363" s="1339"/>
      <c r="U363" s="1340"/>
      <c r="V363" s="1545">
        <f>SUM(V12:V362)</f>
        <v>49076848643.689995</v>
      </c>
      <c r="W363" s="1545"/>
      <c r="X363" s="1545"/>
      <c r="Y363" s="1546"/>
      <c r="Z363" s="1341"/>
      <c r="AA363" s="1342"/>
      <c r="AB363" s="1341"/>
      <c r="AC363" s="1341"/>
      <c r="AD363" s="1341"/>
      <c r="AE363" s="1341"/>
      <c r="AF363" s="1343"/>
      <c r="AG363" s="1341"/>
      <c r="AH363" s="1342"/>
      <c r="AI363" s="1341"/>
      <c r="AJ363" s="1341"/>
      <c r="AK363" s="1342"/>
      <c r="AL363" s="1342"/>
      <c r="AM363" s="1342"/>
      <c r="AN363" s="1342"/>
      <c r="AO363" s="1344"/>
      <c r="AP363" s="1344"/>
      <c r="AQ363" s="1345"/>
    </row>
    <row r="364" spans="1:308" x14ac:dyDescent="0.2">
      <c r="V364" s="2588"/>
      <c r="W364" s="2589"/>
      <c r="X364" s="2589"/>
      <c r="Y364" s="1547"/>
    </row>
    <row r="365" spans="1:308" ht="43.5" customHeight="1" x14ac:dyDescent="0.2">
      <c r="V365" s="2590"/>
      <c r="W365" s="2589"/>
      <c r="X365" s="2589"/>
      <c r="Y365" s="1547"/>
    </row>
    <row r="366" spans="1:308" ht="43.5" customHeight="1" x14ac:dyDescent="0.2">
      <c r="R366" s="1352"/>
      <c r="V366" s="1548"/>
      <c r="W366" s="2589"/>
      <c r="X366" s="2589"/>
      <c r="Y366" s="1547"/>
    </row>
    <row r="367" spans="1:308" ht="43.5" customHeight="1" x14ac:dyDescent="0.25">
      <c r="K367" s="4370" t="s">
        <v>682</v>
      </c>
      <c r="L367" s="4370"/>
      <c r="M367" s="4370"/>
      <c r="V367" s="2591"/>
      <c r="W367" s="2589"/>
      <c r="X367" s="2589"/>
      <c r="Y367" s="1547"/>
    </row>
    <row r="368" spans="1:308" s="1347" customFormat="1" ht="43.5" customHeight="1" x14ac:dyDescent="0.2">
      <c r="A368" s="1188"/>
      <c r="B368" s="1188"/>
      <c r="C368" s="1188"/>
      <c r="D368" s="1188"/>
      <c r="E368" s="1188"/>
      <c r="F368" s="1188"/>
      <c r="G368" s="1188"/>
      <c r="H368" s="1188"/>
      <c r="I368" s="1188"/>
      <c r="J368" s="1188"/>
      <c r="K368" s="4371" t="s">
        <v>683</v>
      </c>
      <c r="L368" s="4371"/>
      <c r="M368" s="4371"/>
      <c r="N368" s="2511"/>
      <c r="O368" s="1221"/>
      <c r="P368" s="1346"/>
      <c r="R368" s="2511"/>
      <c r="S368" s="1221"/>
      <c r="T368" s="1346"/>
      <c r="U368" s="1348"/>
      <c r="V368" s="2590"/>
      <c r="W368" s="2589"/>
      <c r="X368" s="2589"/>
      <c r="Y368" s="1547"/>
      <c r="Z368" s="1349"/>
      <c r="AA368" s="1350"/>
      <c r="AB368" s="1349"/>
      <c r="AC368" s="1349"/>
      <c r="AD368" s="1349"/>
      <c r="AE368" s="1349"/>
      <c r="AF368" s="1351"/>
      <c r="AG368" s="1349"/>
      <c r="AH368" s="1350"/>
      <c r="AI368" s="1349"/>
      <c r="AJ368" s="1349"/>
      <c r="AK368" s="1350"/>
      <c r="AL368" s="1350"/>
      <c r="AM368" s="1350"/>
      <c r="AN368" s="1350"/>
      <c r="AO368" s="1188"/>
      <c r="AP368" s="1188"/>
      <c r="AQ368" s="1188"/>
      <c r="AR368" s="2593"/>
      <c r="AS368" s="1188"/>
      <c r="AT368" s="1188"/>
      <c r="AU368" s="1188"/>
      <c r="AV368" s="1188"/>
      <c r="AW368" s="1188"/>
      <c r="AX368" s="1188"/>
      <c r="AY368" s="1188"/>
      <c r="AZ368" s="1188"/>
      <c r="BA368" s="1188"/>
      <c r="BB368" s="1188"/>
      <c r="BC368" s="1188"/>
      <c r="BD368" s="1188"/>
      <c r="BE368" s="1188"/>
      <c r="BF368" s="1188"/>
      <c r="BG368" s="1188"/>
      <c r="BH368" s="1188"/>
      <c r="BI368" s="1188"/>
      <c r="BJ368" s="1188"/>
      <c r="BK368" s="1188"/>
      <c r="BL368" s="1188"/>
      <c r="BM368" s="1188"/>
      <c r="BN368" s="1188"/>
      <c r="BO368" s="1188"/>
      <c r="BP368" s="1188"/>
      <c r="BQ368" s="1188"/>
      <c r="BR368" s="1188"/>
      <c r="BS368" s="1188"/>
      <c r="BT368" s="1188"/>
      <c r="BU368" s="1188"/>
      <c r="BV368" s="1188"/>
      <c r="BW368" s="1188"/>
      <c r="BX368" s="1188"/>
      <c r="BY368" s="1188"/>
      <c r="BZ368" s="1188"/>
      <c r="CA368" s="1188"/>
      <c r="CB368" s="1188"/>
      <c r="CC368" s="1188"/>
      <c r="CD368" s="1188"/>
      <c r="CE368" s="1188"/>
      <c r="CF368" s="1188"/>
      <c r="CG368" s="1188"/>
      <c r="CH368" s="1188"/>
      <c r="CI368" s="1188"/>
      <c r="CJ368" s="1188"/>
      <c r="CK368" s="1188"/>
      <c r="CL368" s="1188"/>
      <c r="CM368" s="1188"/>
      <c r="CN368" s="1188"/>
      <c r="CO368" s="1188"/>
      <c r="CP368" s="1188"/>
      <c r="CQ368" s="1188"/>
      <c r="CR368" s="1188"/>
      <c r="CS368" s="1188"/>
      <c r="CT368" s="1188"/>
      <c r="CU368" s="1188"/>
      <c r="CV368" s="1188"/>
      <c r="CW368" s="1188"/>
      <c r="CX368" s="1188"/>
      <c r="CY368" s="1188"/>
      <c r="CZ368" s="1188"/>
      <c r="DA368" s="1188"/>
      <c r="DB368" s="1188"/>
      <c r="DC368" s="1188"/>
      <c r="DD368" s="1188"/>
      <c r="DE368" s="1188"/>
      <c r="DF368" s="1188"/>
      <c r="DG368" s="1188"/>
      <c r="DH368" s="1188"/>
      <c r="DI368" s="1188"/>
      <c r="DJ368" s="1188"/>
      <c r="DK368" s="1188"/>
      <c r="DL368" s="1188"/>
      <c r="DM368" s="1188"/>
      <c r="DN368" s="1188"/>
      <c r="DO368" s="1188"/>
      <c r="DP368" s="1188"/>
      <c r="DQ368" s="1188"/>
      <c r="DR368" s="1188"/>
      <c r="DS368" s="1188"/>
      <c r="DT368" s="1188"/>
      <c r="DU368" s="1188"/>
      <c r="DV368" s="1188"/>
      <c r="DW368" s="1188"/>
      <c r="DX368" s="1188"/>
      <c r="DY368" s="1188"/>
      <c r="DZ368" s="1188"/>
      <c r="EA368" s="1188"/>
      <c r="EB368" s="1188"/>
      <c r="EC368" s="1188"/>
      <c r="ED368" s="1188"/>
      <c r="EE368" s="1188"/>
      <c r="EF368" s="1188"/>
      <c r="EG368" s="1188"/>
      <c r="EH368" s="1188"/>
      <c r="EI368" s="1188"/>
      <c r="EJ368" s="1188"/>
      <c r="EK368" s="1188"/>
      <c r="EL368" s="1188"/>
      <c r="EM368" s="1188"/>
      <c r="EN368" s="1188"/>
      <c r="EO368" s="1188"/>
      <c r="EP368" s="1188"/>
      <c r="EQ368" s="1188"/>
      <c r="ER368" s="1188"/>
      <c r="ES368" s="1188"/>
      <c r="ET368" s="1188"/>
      <c r="EU368" s="1188"/>
      <c r="EV368" s="1188"/>
      <c r="EW368" s="1188"/>
      <c r="EX368" s="1188"/>
      <c r="EY368" s="1188"/>
      <c r="EZ368" s="1188"/>
      <c r="FA368" s="1188"/>
      <c r="FB368" s="1188"/>
      <c r="FC368" s="1188"/>
      <c r="FD368" s="1188"/>
      <c r="FE368" s="1188"/>
      <c r="FF368" s="1188"/>
      <c r="FG368" s="1188"/>
      <c r="FH368" s="1188"/>
      <c r="FI368" s="1188"/>
      <c r="FJ368" s="1188"/>
      <c r="FK368" s="1188"/>
      <c r="FL368" s="1188"/>
      <c r="FM368" s="1188"/>
      <c r="FN368" s="1188"/>
      <c r="FO368" s="1188"/>
      <c r="FP368" s="1188"/>
      <c r="FQ368" s="1188"/>
      <c r="FR368" s="1188"/>
      <c r="FS368" s="1188"/>
      <c r="FT368" s="1188"/>
      <c r="FU368" s="1188"/>
      <c r="FV368" s="1188"/>
      <c r="FW368" s="1188"/>
      <c r="FX368" s="1188"/>
      <c r="FY368" s="1188"/>
      <c r="FZ368" s="1188"/>
      <c r="GA368" s="1188"/>
      <c r="GB368" s="1188"/>
      <c r="GC368" s="1188"/>
      <c r="GD368" s="1188"/>
      <c r="GE368" s="1188"/>
      <c r="GF368" s="1188"/>
      <c r="GG368" s="1188"/>
      <c r="GH368" s="1188"/>
      <c r="GI368" s="1188"/>
      <c r="GJ368" s="1188"/>
      <c r="GK368" s="1188"/>
      <c r="GL368" s="1188"/>
      <c r="GM368" s="1188"/>
      <c r="GN368" s="1188"/>
      <c r="GO368" s="1188"/>
      <c r="GP368" s="1188"/>
      <c r="GQ368" s="1188"/>
      <c r="GR368" s="1188"/>
      <c r="GS368" s="1188"/>
      <c r="GT368" s="1188"/>
      <c r="GU368" s="1188"/>
      <c r="GV368" s="1188"/>
      <c r="GW368" s="1188"/>
      <c r="GX368" s="1188"/>
      <c r="GY368" s="1188"/>
      <c r="GZ368" s="1188"/>
      <c r="HA368" s="1188"/>
      <c r="HB368" s="1188"/>
      <c r="HC368" s="1188"/>
      <c r="HD368" s="1188"/>
      <c r="HE368" s="1188"/>
      <c r="HF368" s="1188"/>
      <c r="HG368" s="1188"/>
      <c r="HH368" s="1188"/>
      <c r="HI368" s="1188"/>
      <c r="HJ368" s="1188"/>
      <c r="HK368" s="1188"/>
      <c r="HL368" s="1188"/>
      <c r="HM368" s="1188"/>
      <c r="HN368" s="1188"/>
      <c r="HO368" s="1188"/>
      <c r="HP368" s="1188"/>
      <c r="HQ368" s="1188"/>
      <c r="HR368" s="1188"/>
      <c r="HS368" s="1188"/>
      <c r="HT368" s="1188"/>
      <c r="HU368" s="1188"/>
      <c r="HV368" s="1188"/>
      <c r="HW368" s="1188"/>
      <c r="HX368" s="1188"/>
      <c r="HY368" s="1188"/>
      <c r="HZ368" s="1188"/>
      <c r="IA368" s="1188"/>
      <c r="IB368" s="1188"/>
      <c r="IC368" s="1188"/>
      <c r="ID368" s="1188"/>
      <c r="IE368" s="1188"/>
      <c r="IF368" s="1188"/>
      <c r="IG368" s="1188"/>
      <c r="IH368" s="1188"/>
      <c r="II368" s="1188"/>
      <c r="IJ368" s="1188"/>
      <c r="IK368" s="1188"/>
      <c r="IL368" s="1188"/>
      <c r="IM368" s="1188"/>
      <c r="IN368" s="1188"/>
      <c r="IO368" s="1188"/>
      <c r="IP368" s="1188"/>
      <c r="IQ368" s="1188"/>
      <c r="IR368" s="1188"/>
      <c r="IS368" s="1188"/>
      <c r="IT368" s="1188"/>
      <c r="IU368" s="1188"/>
      <c r="IV368" s="1188"/>
      <c r="IW368" s="1188"/>
      <c r="IX368" s="1188"/>
      <c r="IY368" s="1188"/>
      <c r="IZ368" s="1188"/>
      <c r="JA368" s="1188"/>
      <c r="JB368" s="1188"/>
      <c r="JC368" s="1188"/>
      <c r="JD368" s="1188"/>
      <c r="JE368" s="1188"/>
      <c r="JF368" s="1188"/>
      <c r="JG368" s="1188"/>
      <c r="JH368" s="1188"/>
      <c r="JI368" s="1188"/>
      <c r="JJ368" s="1188"/>
      <c r="JK368" s="1188"/>
      <c r="JL368" s="1188"/>
      <c r="JM368" s="1188"/>
      <c r="JN368" s="1188"/>
      <c r="JO368" s="1188"/>
      <c r="JP368" s="1188"/>
      <c r="JQ368" s="1188"/>
      <c r="JR368" s="1188"/>
      <c r="JS368" s="1188"/>
      <c r="JT368" s="1188"/>
      <c r="JU368" s="1188"/>
      <c r="JV368" s="1188"/>
      <c r="JW368" s="1188"/>
      <c r="JX368" s="1188"/>
      <c r="JY368" s="1188"/>
      <c r="JZ368" s="1188"/>
      <c r="KA368" s="1188"/>
      <c r="KB368" s="1188"/>
      <c r="KC368" s="1188"/>
      <c r="KD368" s="1188"/>
      <c r="KE368" s="1188"/>
      <c r="KF368" s="1188"/>
      <c r="KG368" s="1188"/>
      <c r="KH368" s="1188"/>
      <c r="KI368" s="1188"/>
      <c r="KJ368" s="1188"/>
      <c r="KK368" s="1188"/>
      <c r="KL368" s="1188"/>
      <c r="KM368" s="1188"/>
      <c r="KN368" s="1188"/>
      <c r="KO368" s="1188"/>
      <c r="KP368" s="1188"/>
      <c r="KQ368" s="1188"/>
      <c r="KR368" s="1188"/>
      <c r="KS368" s="1188"/>
      <c r="KT368" s="1188"/>
      <c r="KU368" s="1188"/>
      <c r="KV368" s="1188"/>
    </row>
    <row r="369" spans="1:308" s="1347" customFormat="1" ht="43.5" customHeight="1" x14ac:dyDescent="0.2">
      <c r="A369" s="1188"/>
      <c r="B369" s="1188"/>
      <c r="C369" s="1188"/>
      <c r="D369" s="1188"/>
      <c r="E369" s="1188"/>
      <c r="F369" s="1188"/>
      <c r="G369" s="1188"/>
      <c r="H369" s="1188"/>
      <c r="I369" s="1188"/>
      <c r="J369" s="1188"/>
      <c r="K369" s="1346"/>
      <c r="L369" s="1221"/>
      <c r="M369" s="1221"/>
      <c r="N369" s="2511"/>
      <c r="O369" s="1221"/>
      <c r="P369" s="1346"/>
      <c r="R369" s="2511"/>
      <c r="S369" s="1221"/>
      <c r="T369" s="1346"/>
      <c r="U369" s="1348"/>
      <c r="V369" s="2591"/>
      <c r="W369" s="2589"/>
      <c r="X369" s="2589"/>
      <c r="Y369" s="1547"/>
      <c r="Z369" s="1349"/>
      <c r="AA369" s="1350"/>
      <c r="AB369" s="1349"/>
      <c r="AC369" s="1349"/>
      <c r="AD369" s="1349"/>
      <c r="AE369" s="1349"/>
      <c r="AF369" s="1351"/>
      <c r="AG369" s="1349"/>
      <c r="AH369" s="1350"/>
      <c r="AI369" s="1349"/>
      <c r="AJ369" s="1349"/>
      <c r="AK369" s="1350"/>
      <c r="AL369" s="1350"/>
      <c r="AM369" s="1350"/>
      <c r="AN369" s="1350"/>
      <c r="AO369" s="1188"/>
      <c r="AP369" s="1188"/>
      <c r="AQ369" s="1188"/>
      <c r="AR369" s="2593"/>
      <c r="AS369" s="1188"/>
      <c r="AT369" s="1188"/>
      <c r="AU369" s="1188"/>
      <c r="AV369" s="1188"/>
      <c r="AW369" s="1188"/>
      <c r="AX369" s="1188"/>
      <c r="AY369" s="1188"/>
      <c r="AZ369" s="1188"/>
      <c r="BA369" s="1188"/>
      <c r="BB369" s="1188"/>
      <c r="BC369" s="1188"/>
      <c r="BD369" s="1188"/>
      <c r="BE369" s="1188"/>
      <c r="BF369" s="1188"/>
      <c r="BG369" s="1188"/>
      <c r="BH369" s="1188"/>
      <c r="BI369" s="1188"/>
      <c r="BJ369" s="1188"/>
      <c r="BK369" s="1188"/>
      <c r="BL369" s="1188"/>
      <c r="BM369" s="1188"/>
      <c r="BN369" s="1188"/>
      <c r="BO369" s="1188"/>
      <c r="BP369" s="1188"/>
      <c r="BQ369" s="1188"/>
      <c r="BR369" s="1188"/>
      <c r="BS369" s="1188"/>
      <c r="BT369" s="1188"/>
      <c r="BU369" s="1188"/>
      <c r="BV369" s="1188"/>
      <c r="BW369" s="1188"/>
      <c r="BX369" s="1188"/>
      <c r="BY369" s="1188"/>
      <c r="BZ369" s="1188"/>
      <c r="CA369" s="1188"/>
      <c r="CB369" s="1188"/>
      <c r="CC369" s="1188"/>
      <c r="CD369" s="1188"/>
      <c r="CE369" s="1188"/>
      <c r="CF369" s="1188"/>
      <c r="CG369" s="1188"/>
      <c r="CH369" s="1188"/>
      <c r="CI369" s="1188"/>
      <c r="CJ369" s="1188"/>
      <c r="CK369" s="1188"/>
      <c r="CL369" s="1188"/>
      <c r="CM369" s="1188"/>
      <c r="CN369" s="1188"/>
      <c r="CO369" s="1188"/>
      <c r="CP369" s="1188"/>
      <c r="CQ369" s="1188"/>
      <c r="CR369" s="1188"/>
      <c r="CS369" s="1188"/>
      <c r="CT369" s="1188"/>
      <c r="CU369" s="1188"/>
      <c r="CV369" s="1188"/>
      <c r="CW369" s="1188"/>
      <c r="CX369" s="1188"/>
      <c r="CY369" s="1188"/>
      <c r="CZ369" s="1188"/>
      <c r="DA369" s="1188"/>
      <c r="DB369" s="1188"/>
      <c r="DC369" s="1188"/>
      <c r="DD369" s="1188"/>
      <c r="DE369" s="1188"/>
      <c r="DF369" s="1188"/>
      <c r="DG369" s="1188"/>
      <c r="DH369" s="1188"/>
      <c r="DI369" s="1188"/>
      <c r="DJ369" s="1188"/>
      <c r="DK369" s="1188"/>
      <c r="DL369" s="1188"/>
      <c r="DM369" s="1188"/>
      <c r="DN369" s="1188"/>
      <c r="DO369" s="1188"/>
      <c r="DP369" s="1188"/>
      <c r="DQ369" s="1188"/>
      <c r="DR369" s="1188"/>
      <c r="DS369" s="1188"/>
      <c r="DT369" s="1188"/>
      <c r="DU369" s="1188"/>
      <c r="DV369" s="1188"/>
      <c r="DW369" s="1188"/>
      <c r="DX369" s="1188"/>
      <c r="DY369" s="1188"/>
      <c r="DZ369" s="1188"/>
      <c r="EA369" s="1188"/>
      <c r="EB369" s="1188"/>
      <c r="EC369" s="1188"/>
      <c r="ED369" s="1188"/>
      <c r="EE369" s="1188"/>
      <c r="EF369" s="1188"/>
      <c r="EG369" s="1188"/>
      <c r="EH369" s="1188"/>
      <c r="EI369" s="1188"/>
      <c r="EJ369" s="1188"/>
      <c r="EK369" s="1188"/>
      <c r="EL369" s="1188"/>
      <c r="EM369" s="1188"/>
      <c r="EN369" s="1188"/>
      <c r="EO369" s="1188"/>
      <c r="EP369" s="1188"/>
      <c r="EQ369" s="1188"/>
      <c r="ER369" s="1188"/>
      <c r="ES369" s="1188"/>
      <c r="ET369" s="1188"/>
      <c r="EU369" s="1188"/>
      <c r="EV369" s="1188"/>
      <c r="EW369" s="1188"/>
      <c r="EX369" s="1188"/>
      <c r="EY369" s="1188"/>
      <c r="EZ369" s="1188"/>
      <c r="FA369" s="1188"/>
      <c r="FB369" s="1188"/>
      <c r="FC369" s="1188"/>
      <c r="FD369" s="1188"/>
      <c r="FE369" s="1188"/>
      <c r="FF369" s="1188"/>
      <c r="FG369" s="1188"/>
      <c r="FH369" s="1188"/>
      <c r="FI369" s="1188"/>
      <c r="FJ369" s="1188"/>
      <c r="FK369" s="1188"/>
      <c r="FL369" s="1188"/>
      <c r="FM369" s="1188"/>
      <c r="FN369" s="1188"/>
      <c r="FO369" s="1188"/>
      <c r="FP369" s="1188"/>
      <c r="FQ369" s="1188"/>
      <c r="FR369" s="1188"/>
      <c r="FS369" s="1188"/>
      <c r="FT369" s="1188"/>
      <c r="FU369" s="1188"/>
      <c r="FV369" s="1188"/>
      <c r="FW369" s="1188"/>
      <c r="FX369" s="1188"/>
      <c r="FY369" s="1188"/>
      <c r="FZ369" s="1188"/>
      <c r="GA369" s="1188"/>
      <c r="GB369" s="1188"/>
      <c r="GC369" s="1188"/>
      <c r="GD369" s="1188"/>
      <c r="GE369" s="1188"/>
      <c r="GF369" s="1188"/>
      <c r="GG369" s="1188"/>
      <c r="GH369" s="1188"/>
      <c r="GI369" s="1188"/>
      <c r="GJ369" s="1188"/>
      <c r="GK369" s="1188"/>
      <c r="GL369" s="1188"/>
      <c r="GM369" s="1188"/>
      <c r="GN369" s="1188"/>
      <c r="GO369" s="1188"/>
      <c r="GP369" s="1188"/>
      <c r="GQ369" s="1188"/>
      <c r="GR369" s="1188"/>
      <c r="GS369" s="1188"/>
      <c r="GT369" s="1188"/>
      <c r="GU369" s="1188"/>
      <c r="GV369" s="1188"/>
      <c r="GW369" s="1188"/>
      <c r="GX369" s="1188"/>
      <c r="GY369" s="1188"/>
      <c r="GZ369" s="1188"/>
      <c r="HA369" s="1188"/>
      <c r="HB369" s="1188"/>
      <c r="HC369" s="1188"/>
      <c r="HD369" s="1188"/>
      <c r="HE369" s="1188"/>
      <c r="HF369" s="1188"/>
      <c r="HG369" s="1188"/>
      <c r="HH369" s="1188"/>
      <c r="HI369" s="1188"/>
      <c r="HJ369" s="1188"/>
      <c r="HK369" s="1188"/>
      <c r="HL369" s="1188"/>
      <c r="HM369" s="1188"/>
      <c r="HN369" s="1188"/>
      <c r="HO369" s="1188"/>
      <c r="HP369" s="1188"/>
      <c r="HQ369" s="1188"/>
      <c r="HR369" s="1188"/>
      <c r="HS369" s="1188"/>
      <c r="HT369" s="1188"/>
      <c r="HU369" s="1188"/>
      <c r="HV369" s="1188"/>
      <c r="HW369" s="1188"/>
      <c r="HX369" s="1188"/>
      <c r="HY369" s="1188"/>
      <c r="HZ369" s="1188"/>
      <c r="IA369" s="1188"/>
      <c r="IB369" s="1188"/>
      <c r="IC369" s="1188"/>
      <c r="ID369" s="1188"/>
      <c r="IE369" s="1188"/>
      <c r="IF369" s="1188"/>
      <c r="IG369" s="1188"/>
      <c r="IH369" s="1188"/>
      <c r="II369" s="1188"/>
      <c r="IJ369" s="1188"/>
      <c r="IK369" s="1188"/>
      <c r="IL369" s="1188"/>
      <c r="IM369" s="1188"/>
      <c r="IN369" s="1188"/>
      <c r="IO369" s="1188"/>
      <c r="IP369" s="1188"/>
      <c r="IQ369" s="1188"/>
      <c r="IR369" s="1188"/>
      <c r="IS369" s="1188"/>
      <c r="IT369" s="1188"/>
      <c r="IU369" s="1188"/>
      <c r="IV369" s="1188"/>
      <c r="IW369" s="1188"/>
      <c r="IX369" s="1188"/>
      <c r="IY369" s="1188"/>
      <c r="IZ369" s="1188"/>
      <c r="JA369" s="1188"/>
      <c r="JB369" s="1188"/>
      <c r="JC369" s="1188"/>
      <c r="JD369" s="1188"/>
      <c r="JE369" s="1188"/>
      <c r="JF369" s="1188"/>
      <c r="JG369" s="1188"/>
      <c r="JH369" s="1188"/>
      <c r="JI369" s="1188"/>
      <c r="JJ369" s="1188"/>
      <c r="JK369" s="1188"/>
      <c r="JL369" s="1188"/>
      <c r="JM369" s="1188"/>
      <c r="JN369" s="1188"/>
      <c r="JO369" s="1188"/>
      <c r="JP369" s="1188"/>
      <c r="JQ369" s="1188"/>
      <c r="JR369" s="1188"/>
      <c r="JS369" s="1188"/>
      <c r="JT369" s="1188"/>
      <c r="JU369" s="1188"/>
      <c r="JV369" s="1188"/>
      <c r="JW369" s="1188"/>
      <c r="JX369" s="1188"/>
      <c r="JY369" s="1188"/>
      <c r="JZ369" s="1188"/>
      <c r="KA369" s="1188"/>
      <c r="KB369" s="1188"/>
      <c r="KC369" s="1188"/>
      <c r="KD369" s="1188"/>
      <c r="KE369" s="1188"/>
      <c r="KF369" s="1188"/>
      <c r="KG369" s="1188"/>
      <c r="KH369" s="1188"/>
      <c r="KI369" s="1188"/>
      <c r="KJ369" s="1188"/>
      <c r="KK369" s="1188"/>
      <c r="KL369" s="1188"/>
      <c r="KM369" s="1188"/>
      <c r="KN369" s="1188"/>
      <c r="KO369" s="1188"/>
      <c r="KP369" s="1188"/>
      <c r="KQ369" s="1188"/>
      <c r="KR369" s="1188"/>
      <c r="KS369" s="1188"/>
      <c r="KT369" s="1188"/>
      <c r="KU369" s="1188"/>
      <c r="KV369" s="1188"/>
    </row>
    <row r="370" spans="1:308" s="1347" customFormat="1" ht="43.5" customHeight="1" x14ac:dyDescent="0.2">
      <c r="A370" s="1188"/>
      <c r="B370" s="1188"/>
      <c r="C370" s="1188"/>
      <c r="D370" s="1188"/>
      <c r="E370" s="1188"/>
      <c r="F370" s="1188"/>
      <c r="G370" s="1188"/>
      <c r="H370" s="1188"/>
      <c r="I370" s="1188"/>
      <c r="J370" s="1188"/>
      <c r="K370" s="1346"/>
      <c r="L370" s="1221"/>
      <c r="M370" s="1221"/>
      <c r="N370" s="2511"/>
      <c r="O370" s="1221"/>
      <c r="P370" s="1346"/>
      <c r="R370" s="2511"/>
      <c r="S370" s="1221"/>
      <c r="T370" s="1346"/>
      <c r="U370" s="1348"/>
      <c r="V370" s="2590"/>
      <c r="W370" s="2589"/>
      <c r="X370" s="2589"/>
      <c r="Y370" s="1547"/>
      <c r="Z370" s="1349"/>
      <c r="AA370" s="1350"/>
      <c r="AB370" s="1349"/>
      <c r="AC370" s="1349"/>
      <c r="AD370" s="1349"/>
      <c r="AE370" s="1349"/>
      <c r="AF370" s="1351"/>
      <c r="AG370" s="1349"/>
      <c r="AH370" s="1350"/>
      <c r="AI370" s="1349"/>
      <c r="AJ370" s="1349"/>
      <c r="AK370" s="1350"/>
      <c r="AL370" s="1350"/>
      <c r="AM370" s="1350"/>
      <c r="AN370" s="1350"/>
      <c r="AO370" s="1188"/>
      <c r="AP370" s="1188"/>
      <c r="AQ370" s="1188"/>
      <c r="AR370" s="2593"/>
      <c r="AS370" s="1188"/>
      <c r="AT370" s="1188"/>
      <c r="AU370" s="1188"/>
      <c r="AV370" s="1188"/>
      <c r="AW370" s="1188"/>
      <c r="AX370" s="1188"/>
      <c r="AY370" s="1188"/>
      <c r="AZ370" s="1188"/>
      <c r="BA370" s="1188"/>
      <c r="BB370" s="1188"/>
      <c r="BC370" s="1188"/>
      <c r="BD370" s="1188"/>
      <c r="BE370" s="1188"/>
      <c r="BF370" s="1188"/>
      <c r="BG370" s="1188"/>
      <c r="BH370" s="1188"/>
      <c r="BI370" s="1188"/>
      <c r="BJ370" s="1188"/>
      <c r="BK370" s="1188"/>
      <c r="BL370" s="1188"/>
      <c r="BM370" s="1188"/>
      <c r="BN370" s="1188"/>
      <c r="BO370" s="1188"/>
      <c r="BP370" s="1188"/>
      <c r="BQ370" s="1188"/>
      <c r="BR370" s="1188"/>
      <c r="BS370" s="1188"/>
      <c r="BT370" s="1188"/>
      <c r="BU370" s="1188"/>
      <c r="BV370" s="1188"/>
      <c r="BW370" s="1188"/>
      <c r="BX370" s="1188"/>
      <c r="BY370" s="1188"/>
      <c r="BZ370" s="1188"/>
      <c r="CA370" s="1188"/>
      <c r="CB370" s="1188"/>
      <c r="CC370" s="1188"/>
      <c r="CD370" s="1188"/>
      <c r="CE370" s="1188"/>
      <c r="CF370" s="1188"/>
      <c r="CG370" s="1188"/>
      <c r="CH370" s="1188"/>
      <c r="CI370" s="1188"/>
      <c r="CJ370" s="1188"/>
      <c r="CK370" s="1188"/>
      <c r="CL370" s="1188"/>
      <c r="CM370" s="1188"/>
      <c r="CN370" s="1188"/>
      <c r="CO370" s="1188"/>
      <c r="CP370" s="1188"/>
      <c r="CQ370" s="1188"/>
      <c r="CR370" s="1188"/>
      <c r="CS370" s="1188"/>
      <c r="CT370" s="1188"/>
      <c r="CU370" s="1188"/>
      <c r="CV370" s="1188"/>
      <c r="CW370" s="1188"/>
      <c r="CX370" s="1188"/>
      <c r="CY370" s="1188"/>
      <c r="CZ370" s="1188"/>
      <c r="DA370" s="1188"/>
      <c r="DB370" s="1188"/>
      <c r="DC370" s="1188"/>
      <c r="DD370" s="1188"/>
      <c r="DE370" s="1188"/>
      <c r="DF370" s="1188"/>
      <c r="DG370" s="1188"/>
      <c r="DH370" s="1188"/>
      <c r="DI370" s="1188"/>
      <c r="DJ370" s="1188"/>
      <c r="DK370" s="1188"/>
      <c r="DL370" s="1188"/>
      <c r="DM370" s="1188"/>
      <c r="DN370" s="1188"/>
      <c r="DO370" s="1188"/>
      <c r="DP370" s="1188"/>
      <c r="DQ370" s="1188"/>
      <c r="DR370" s="1188"/>
      <c r="DS370" s="1188"/>
      <c r="DT370" s="1188"/>
      <c r="DU370" s="1188"/>
      <c r="DV370" s="1188"/>
      <c r="DW370" s="1188"/>
      <c r="DX370" s="1188"/>
      <c r="DY370" s="1188"/>
      <c r="DZ370" s="1188"/>
      <c r="EA370" s="1188"/>
      <c r="EB370" s="1188"/>
      <c r="EC370" s="1188"/>
      <c r="ED370" s="1188"/>
      <c r="EE370" s="1188"/>
      <c r="EF370" s="1188"/>
      <c r="EG370" s="1188"/>
      <c r="EH370" s="1188"/>
      <c r="EI370" s="1188"/>
      <c r="EJ370" s="1188"/>
      <c r="EK370" s="1188"/>
      <c r="EL370" s="1188"/>
      <c r="EM370" s="1188"/>
      <c r="EN370" s="1188"/>
      <c r="EO370" s="1188"/>
      <c r="EP370" s="1188"/>
      <c r="EQ370" s="1188"/>
      <c r="ER370" s="1188"/>
      <c r="ES370" s="1188"/>
      <c r="ET370" s="1188"/>
      <c r="EU370" s="1188"/>
      <c r="EV370" s="1188"/>
      <c r="EW370" s="1188"/>
      <c r="EX370" s="1188"/>
      <c r="EY370" s="1188"/>
      <c r="EZ370" s="1188"/>
      <c r="FA370" s="1188"/>
      <c r="FB370" s="1188"/>
      <c r="FC370" s="1188"/>
      <c r="FD370" s="1188"/>
      <c r="FE370" s="1188"/>
      <c r="FF370" s="1188"/>
      <c r="FG370" s="1188"/>
      <c r="FH370" s="1188"/>
      <c r="FI370" s="1188"/>
      <c r="FJ370" s="1188"/>
      <c r="FK370" s="1188"/>
      <c r="FL370" s="1188"/>
      <c r="FM370" s="1188"/>
      <c r="FN370" s="1188"/>
      <c r="FO370" s="1188"/>
      <c r="FP370" s="1188"/>
      <c r="FQ370" s="1188"/>
      <c r="FR370" s="1188"/>
      <c r="FS370" s="1188"/>
      <c r="FT370" s="1188"/>
      <c r="FU370" s="1188"/>
      <c r="FV370" s="1188"/>
      <c r="FW370" s="1188"/>
      <c r="FX370" s="1188"/>
      <c r="FY370" s="1188"/>
      <c r="FZ370" s="1188"/>
      <c r="GA370" s="1188"/>
      <c r="GB370" s="1188"/>
      <c r="GC370" s="1188"/>
      <c r="GD370" s="1188"/>
      <c r="GE370" s="1188"/>
      <c r="GF370" s="1188"/>
      <c r="GG370" s="1188"/>
      <c r="GH370" s="1188"/>
      <c r="GI370" s="1188"/>
      <c r="GJ370" s="1188"/>
      <c r="GK370" s="1188"/>
      <c r="GL370" s="1188"/>
      <c r="GM370" s="1188"/>
      <c r="GN370" s="1188"/>
      <c r="GO370" s="1188"/>
      <c r="GP370" s="1188"/>
      <c r="GQ370" s="1188"/>
      <c r="GR370" s="1188"/>
      <c r="GS370" s="1188"/>
      <c r="GT370" s="1188"/>
      <c r="GU370" s="1188"/>
      <c r="GV370" s="1188"/>
      <c r="GW370" s="1188"/>
      <c r="GX370" s="1188"/>
      <c r="GY370" s="1188"/>
      <c r="GZ370" s="1188"/>
      <c r="HA370" s="1188"/>
      <c r="HB370" s="1188"/>
      <c r="HC370" s="1188"/>
      <c r="HD370" s="1188"/>
      <c r="HE370" s="1188"/>
      <c r="HF370" s="1188"/>
      <c r="HG370" s="1188"/>
      <c r="HH370" s="1188"/>
      <c r="HI370" s="1188"/>
      <c r="HJ370" s="1188"/>
      <c r="HK370" s="1188"/>
      <c r="HL370" s="1188"/>
      <c r="HM370" s="1188"/>
      <c r="HN370" s="1188"/>
      <c r="HO370" s="1188"/>
      <c r="HP370" s="1188"/>
      <c r="HQ370" s="1188"/>
      <c r="HR370" s="1188"/>
      <c r="HS370" s="1188"/>
      <c r="HT370" s="1188"/>
      <c r="HU370" s="1188"/>
      <c r="HV370" s="1188"/>
      <c r="HW370" s="1188"/>
      <c r="HX370" s="1188"/>
      <c r="HY370" s="1188"/>
      <c r="HZ370" s="1188"/>
      <c r="IA370" s="1188"/>
      <c r="IB370" s="1188"/>
      <c r="IC370" s="1188"/>
      <c r="ID370" s="1188"/>
      <c r="IE370" s="1188"/>
      <c r="IF370" s="1188"/>
      <c r="IG370" s="1188"/>
      <c r="IH370" s="1188"/>
      <c r="II370" s="1188"/>
      <c r="IJ370" s="1188"/>
      <c r="IK370" s="1188"/>
      <c r="IL370" s="1188"/>
      <c r="IM370" s="1188"/>
      <c r="IN370" s="1188"/>
      <c r="IO370" s="1188"/>
      <c r="IP370" s="1188"/>
      <c r="IQ370" s="1188"/>
      <c r="IR370" s="1188"/>
      <c r="IS370" s="1188"/>
      <c r="IT370" s="1188"/>
      <c r="IU370" s="1188"/>
      <c r="IV370" s="1188"/>
      <c r="IW370" s="1188"/>
      <c r="IX370" s="1188"/>
      <c r="IY370" s="1188"/>
      <c r="IZ370" s="1188"/>
      <c r="JA370" s="1188"/>
      <c r="JB370" s="1188"/>
      <c r="JC370" s="1188"/>
      <c r="JD370" s="1188"/>
      <c r="JE370" s="1188"/>
      <c r="JF370" s="1188"/>
      <c r="JG370" s="1188"/>
      <c r="JH370" s="1188"/>
      <c r="JI370" s="1188"/>
      <c r="JJ370" s="1188"/>
      <c r="JK370" s="1188"/>
      <c r="JL370" s="1188"/>
      <c r="JM370" s="1188"/>
      <c r="JN370" s="1188"/>
      <c r="JO370" s="1188"/>
      <c r="JP370" s="1188"/>
      <c r="JQ370" s="1188"/>
      <c r="JR370" s="1188"/>
      <c r="JS370" s="1188"/>
      <c r="JT370" s="1188"/>
      <c r="JU370" s="1188"/>
      <c r="JV370" s="1188"/>
      <c r="JW370" s="1188"/>
      <c r="JX370" s="1188"/>
      <c r="JY370" s="1188"/>
      <c r="JZ370" s="1188"/>
      <c r="KA370" s="1188"/>
      <c r="KB370" s="1188"/>
      <c r="KC370" s="1188"/>
      <c r="KD370" s="1188"/>
      <c r="KE370" s="1188"/>
      <c r="KF370" s="1188"/>
      <c r="KG370" s="1188"/>
      <c r="KH370" s="1188"/>
      <c r="KI370" s="1188"/>
      <c r="KJ370" s="1188"/>
      <c r="KK370" s="1188"/>
      <c r="KL370" s="1188"/>
      <c r="KM370" s="1188"/>
      <c r="KN370" s="1188"/>
      <c r="KO370" s="1188"/>
      <c r="KP370" s="1188"/>
      <c r="KQ370" s="1188"/>
      <c r="KR370" s="1188"/>
      <c r="KS370" s="1188"/>
      <c r="KT370" s="1188"/>
      <c r="KU370" s="1188"/>
      <c r="KV370" s="1188"/>
    </row>
    <row r="371" spans="1:308" x14ac:dyDescent="0.2">
      <c r="V371" s="2590"/>
      <c r="W371" s="2589"/>
      <c r="X371" s="2589"/>
      <c r="Y371" s="1547"/>
    </row>
    <row r="372" spans="1:308" x14ac:dyDescent="0.2">
      <c r="V372" s="2590"/>
      <c r="W372" s="2589"/>
      <c r="X372" s="2589"/>
      <c r="Y372" s="1547"/>
    </row>
    <row r="373" spans="1:308" x14ac:dyDescent="0.2">
      <c r="V373" s="2590"/>
      <c r="W373" s="2589"/>
      <c r="X373" s="2589"/>
      <c r="Y373" s="1547"/>
    </row>
  </sheetData>
  <sheetProtection password="A60F" sheet="1" objects="1" scenarios="1"/>
  <mergeCells count="960">
    <mergeCell ref="A363:Q363"/>
    <mergeCell ref="K367:M367"/>
    <mergeCell ref="K368:M368"/>
    <mergeCell ref="J357:J361"/>
    <mergeCell ref="K357:K361"/>
    <mergeCell ref="L357:L361"/>
    <mergeCell ref="M357:M361"/>
    <mergeCell ref="Q357:Q359"/>
    <mergeCell ref="T357:T359"/>
    <mergeCell ref="Q360:Q361"/>
    <mergeCell ref="T360:T361"/>
    <mergeCell ref="AL356:AL362"/>
    <mergeCell ref="AM356:AM362"/>
    <mergeCell ref="AN356:AN362"/>
    <mergeCell ref="AO356:AO362"/>
    <mergeCell ref="AP356:AP362"/>
    <mergeCell ref="AQ356:AQ362"/>
    <mergeCell ref="AF356:AF362"/>
    <mergeCell ref="AG356:AG362"/>
    <mergeCell ref="AH356:AH362"/>
    <mergeCell ref="AI356:AI362"/>
    <mergeCell ref="AJ356:AJ362"/>
    <mergeCell ref="AK356:AK362"/>
    <mergeCell ref="Z356:Z362"/>
    <mergeCell ref="AA356:AA362"/>
    <mergeCell ref="AB356:AB362"/>
    <mergeCell ref="AC356:AC362"/>
    <mergeCell ref="AD356:AD362"/>
    <mergeCell ref="AE356:AE362"/>
    <mergeCell ref="N356:N362"/>
    <mergeCell ref="O356:O362"/>
    <mergeCell ref="P356:P362"/>
    <mergeCell ref="R356:R362"/>
    <mergeCell ref="S356:S362"/>
    <mergeCell ref="Y356:Y362"/>
    <mergeCell ref="AL349:AL353"/>
    <mergeCell ref="AM349:AM353"/>
    <mergeCell ref="AN349:AN353"/>
    <mergeCell ref="AO349:AO353"/>
    <mergeCell ref="AP349:AP353"/>
    <mergeCell ref="AQ349:AQ353"/>
    <mergeCell ref="AF349:AF353"/>
    <mergeCell ref="AG349:AG353"/>
    <mergeCell ref="AH349:AH353"/>
    <mergeCell ref="AI349:AI353"/>
    <mergeCell ref="AJ349:AJ353"/>
    <mergeCell ref="AK349:AK353"/>
    <mergeCell ref="Z349:Z353"/>
    <mergeCell ref="AA349:AA353"/>
    <mergeCell ref="AB349:AB353"/>
    <mergeCell ref="AC349:AC353"/>
    <mergeCell ref="AD349:AD353"/>
    <mergeCell ref="AE349:AE353"/>
    <mergeCell ref="P349:P353"/>
    <mergeCell ref="Q349:Q353"/>
    <mergeCell ref="R349:R353"/>
    <mergeCell ref="S349:S353"/>
    <mergeCell ref="T349:T352"/>
    <mergeCell ref="Y349:Y353"/>
    <mergeCell ref="U351:U352"/>
    <mergeCell ref="L344:L347"/>
    <mergeCell ref="M344:M347"/>
    <mergeCell ref="Q344:Q347"/>
    <mergeCell ref="T344:T346"/>
    <mergeCell ref="J349:J351"/>
    <mergeCell ref="K349:K351"/>
    <mergeCell ref="L349:L351"/>
    <mergeCell ref="M349:M351"/>
    <mergeCell ref="N349:N353"/>
    <mergeCell ref="O349:O353"/>
    <mergeCell ref="J338:J346"/>
    <mergeCell ref="K338:K346"/>
    <mergeCell ref="L338:L343"/>
    <mergeCell ref="M338:M343"/>
    <mergeCell ref="N338:N347"/>
    <mergeCell ref="O338:O347"/>
    <mergeCell ref="P338:P347"/>
    <mergeCell ref="Q338:Q341"/>
    <mergeCell ref="R338:R347"/>
    <mergeCell ref="S338:S347"/>
    <mergeCell ref="T338:T341"/>
    <mergeCell ref="Q342:Q343"/>
    <mergeCell ref="T342:T343"/>
    <mergeCell ref="AM338:AM347"/>
    <mergeCell ref="AN338:AN347"/>
    <mergeCell ref="AO338:AO347"/>
    <mergeCell ref="AP338:AP347"/>
    <mergeCell ref="AQ338:AQ347"/>
    <mergeCell ref="U340:U341"/>
    <mergeCell ref="U342:U343"/>
    <mergeCell ref="AG338:AG347"/>
    <mergeCell ref="AH338:AH347"/>
    <mergeCell ref="AI338:AI347"/>
    <mergeCell ref="AJ338:AJ347"/>
    <mergeCell ref="AK338:AK347"/>
    <mergeCell ref="AL338:AL347"/>
    <mergeCell ref="AA338:AA347"/>
    <mergeCell ref="AB338:AB347"/>
    <mergeCell ref="AC338:AC347"/>
    <mergeCell ref="AD338:AD347"/>
    <mergeCell ref="AE338:AE347"/>
    <mergeCell ref="AF338:AF347"/>
    <mergeCell ref="Y338:Y347"/>
    <mergeCell ref="Z338:Z347"/>
    <mergeCell ref="AQ328:AQ336"/>
    <mergeCell ref="U331:U332"/>
    <mergeCell ref="U335:U336"/>
    <mergeCell ref="AK328:AK336"/>
    <mergeCell ref="AL328:AL336"/>
    <mergeCell ref="AM328:AM336"/>
    <mergeCell ref="AN328:AN336"/>
    <mergeCell ref="AO328:AO336"/>
    <mergeCell ref="AP328:AP336"/>
    <mergeCell ref="AE328:AE336"/>
    <mergeCell ref="AF328:AF336"/>
    <mergeCell ref="AG328:AG336"/>
    <mergeCell ref="AH328:AH336"/>
    <mergeCell ref="AI328:AI336"/>
    <mergeCell ref="AJ328:AJ336"/>
    <mergeCell ref="Y328:Y336"/>
    <mergeCell ref="J328:J336"/>
    <mergeCell ref="K328:K336"/>
    <mergeCell ref="L328:L336"/>
    <mergeCell ref="M328:M336"/>
    <mergeCell ref="N328:N336"/>
    <mergeCell ref="O328:O336"/>
    <mergeCell ref="AM323:AM327"/>
    <mergeCell ref="AN323:AN327"/>
    <mergeCell ref="AO323:AO327"/>
    <mergeCell ref="Z328:Z336"/>
    <mergeCell ref="AA328:AA336"/>
    <mergeCell ref="AB328:AB336"/>
    <mergeCell ref="AC328:AC336"/>
    <mergeCell ref="AD328:AD336"/>
    <mergeCell ref="P328:P336"/>
    <mergeCell ref="Q328:Q336"/>
    <mergeCell ref="R328:R336"/>
    <mergeCell ref="S328:S336"/>
    <mergeCell ref="T328:T334"/>
    <mergeCell ref="U328:U329"/>
    <mergeCell ref="AP323:AP327"/>
    <mergeCell ref="AQ323:AQ327"/>
    <mergeCell ref="J326:J327"/>
    <mergeCell ref="K326:K327"/>
    <mergeCell ref="Q326:Q327"/>
    <mergeCell ref="T326:T327"/>
    <mergeCell ref="AG323:AG327"/>
    <mergeCell ref="AH323:AH327"/>
    <mergeCell ref="AI323:AI327"/>
    <mergeCell ref="AJ323:AJ327"/>
    <mergeCell ref="AK323:AK327"/>
    <mergeCell ref="AL323:AL327"/>
    <mergeCell ref="AA323:AA327"/>
    <mergeCell ref="AB323:AB327"/>
    <mergeCell ref="AC323:AC327"/>
    <mergeCell ref="AD323:AD327"/>
    <mergeCell ref="AE323:AE327"/>
    <mergeCell ref="AF323:AF327"/>
    <mergeCell ref="Q323:Q325"/>
    <mergeCell ref="R323:R327"/>
    <mergeCell ref="S323:S327"/>
    <mergeCell ref="T323:T325"/>
    <mergeCell ref="Y323:Y327"/>
    <mergeCell ref="Z323:Z327"/>
    <mergeCell ref="AP319:AP321"/>
    <mergeCell ref="AQ319:AQ321"/>
    <mergeCell ref="AA322:AM322"/>
    <mergeCell ref="J323:J325"/>
    <mergeCell ref="K323:K325"/>
    <mergeCell ref="L323:L326"/>
    <mergeCell ref="M323:M326"/>
    <mergeCell ref="N323:N327"/>
    <mergeCell ref="O323:O327"/>
    <mergeCell ref="P323:P327"/>
    <mergeCell ref="AJ319:AJ321"/>
    <mergeCell ref="AK319:AK321"/>
    <mergeCell ref="AL319:AL321"/>
    <mergeCell ref="AM319:AM321"/>
    <mergeCell ref="AN319:AN321"/>
    <mergeCell ref="AO319:AO321"/>
    <mergeCell ref="AD319:AD321"/>
    <mergeCell ref="AE319:AE321"/>
    <mergeCell ref="AF319:AF321"/>
    <mergeCell ref="AG319:AG321"/>
    <mergeCell ref="AH319:AH321"/>
    <mergeCell ref="AI319:AI321"/>
    <mergeCell ref="S319:S321"/>
    <mergeCell ref="Y319:Y321"/>
    <mergeCell ref="Z319:Z321"/>
    <mergeCell ref="AA319:AA321"/>
    <mergeCell ref="AB319:AB321"/>
    <mergeCell ref="AC319:AC321"/>
    <mergeCell ref="AA318:AM318"/>
    <mergeCell ref="J319:J321"/>
    <mergeCell ref="K319:K321"/>
    <mergeCell ref="L319:L321"/>
    <mergeCell ref="M319:M321"/>
    <mergeCell ref="N319:N321"/>
    <mergeCell ref="O319:O321"/>
    <mergeCell ref="P319:P321"/>
    <mergeCell ref="Q319:Q321"/>
    <mergeCell ref="R319:R321"/>
    <mergeCell ref="J316:J317"/>
    <mergeCell ref="K316:K317"/>
    <mergeCell ref="L316:L317"/>
    <mergeCell ref="M316:M317"/>
    <mergeCell ref="Q316:Q317"/>
    <mergeCell ref="T316:T317"/>
    <mergeCell ref="J303:J315"/>
    <mergeCell ref="K303:K315"/>
    <mergeCell ref="L303:L315"/>
    <mergeCell ref="M303:M315"/>
    <mergeCell ref="Q303:Q315"/>
    <mergeCell ref="T303:T315"/>
    <mergeCell ref="AL302:AL317"/>
    <mergeCell ref="AM302:AM317"/>
    <mergeCell ref="AN302:AN317"/>
    <mergeCell ref="AO302:AO317"/>
    <mergeCell ref="AP302:AP317"/>
    <mergeCell ref="AQ302:AQ317"/>
    <mergeCell ref="AF302:AF317"/>
    <mergeCell ref="AG302:AG317"/>
    <mergeCell ref="AH302:AH317"/>
    <mergeCell ref="AI302:AI317"/>
    <mergeCell ref="AJ302:AJ317"/>
    <mergeCell ref="AK302:AK317"/>
    <mergeCell ref="Z302:Z317"/>
    <mergeCell ref="AA302:AA317"/>
    <mergeCell ref="AB302:AB317"/>
    <mergeCell ref="AC302:AC317"/>
    <mergeCell ref="AD302:AD317"/>
    <mergeCell ref="AE302:AE317"/>
    <mergeCell ref="N302:N317"/>
    <mergeCell ref="O302:O317"/>
    <mergeCell ref="P302:P317"/>
    <mergeCell ref="R302:R317"/>
    <mergeCell ref="S302:S317"/>
    <mergeCell ref="Y302:Y317"/>
    <mergeCell ref="U303:U315"/>
    <mergeCell ref="AP288:AP299"/>
    <mergeCell ref="AQ288:AQ299"/>
    <mergeCell ref="G291:I294"/>
    <mergeCell ref="J291:J294"/>
    <mergeCell ref="K291:K294"/>
    <mergeCell ref="L291:L294"/>
    <mergeCell ref="M291:M294"/>
    <mergeCell ref="N291:N294"/>
    <mergeCell ref="Q291:Q294"/>
    <mergeCell ref="T291:T294"/>
    <mergeCell ref="AJ288:AJ299"/>
    <mergeCell ref="AK288:AK299"/>
    <mergeCell ref="AL288:AL299"/>
    <mergeCell ref="AM288:AM299"/>
    <mergeCell ref="AN288:AN299"/>
    <mergeCell ref="AO288:AO299"/>
    <mergeCell ref="AD288:AD299"/>
    <mergeCell ref="AE288:AE299"/>
    <mergeCell ref="AF288:AF299"/>
    <mergeCell ref="AG288:AG299"/>
    <mergeCell ref="AH288:AH299"/>
    <mergeCell ref="AI288:AI299"/>
    <mergeCell ref="T288:T289"/>
    <mergeCell ref="Y288:Y299"/>
    <mergeCell ref="Z288:Z299"/>
    <mergeCell ref="AA288:AA299"/>
    <mergeCell ref="AB288:AB299"/>
    <mergeCell ref="AC288:AC299"/>
    <mergeCell ref="U291:U294"/>
    <mergeCell ref="T296:T299"/>
    <mergeCell ref="U296:U297"/>
    <mergeCell ref="U298:U299"/>
    <mergeCell ref="N288:N289"/>
    <mergeCell ref="O288:O299"/>
    <mergeCell ref="P288:P299"/>
    <mergeCell ref="Q288:Q289"/>
    <mergeCell ref="R288:R299"/>
    <mergeCell ref="S288:S299"/>
    <mergeCell ref="N296:N299"/>
    <mergeCell ref="Q296:Q299"/>
    <mergeCell ref="D287:F299"/>
    <mergeCell ref="G288:I289"/>
    <mergeCell ref="J288:J289"/>
    <mergeCell ref="K288:K289"/>
    <mergeCell ref="L288:L289"/>
    <mergeCell ref="M288:M289"/>
    <mergeCell ref="G296:I299"/>
    <mergeCell ref="J296:J299"/>
    <mergeCell ref="K296:K299"/>
    <mergeCell ref="L296:L299"/>
    <mergeCell ref="M296:M299"/>
    <mergeCell ref="AO274:AO285"/>
    <mergeCell ref="AP274:AP285"/>
    <mergeCell ref="AQ274:AQ285"/>
    <mergeCell ref="U275:U276"/>
    <mergeCell ref="U277:U278"/>
    <mergeCell ref="J280:J285"/>
    <mergeCell ref="K280:K285"/>
    <mergeCell ref="L280:L285"/>
    <mergeCell ref="M280:M285"/>
    <mergeCell ref="Q280:Q285"/>
    <mergeCell ref="AI274:AI285"/>
    <mergeCell ref="AJ274:AJ285"/>
    <mergeCell ref="AK274:AK285"/>
    <mergeCell ref="AL274:AL285"/>
    <mergeCell ref="AM274:AM285"/>
    <mergeCell ref="AN274:AN285"/>
    <mergeCell ref="AC274:AC285"/>
    <mergeCell ref="AD274:AD285"/>
    <mergeCell ref="AE274:AE285"/>
    <mergeCell ref="AF274:AF285"/>
    <mergeCell ref="AG274:AG285"/>
    <mergeCell ref="AH274:AH285"/>
    <mergeCell ref="S274:S285"/>
    <mergeCell ref="T274:T279"/>
    <mergeCell ref="Y274:Y285"/>
    <mergeCell ref="Z274:Z285"/>
    <mergeCell ref="AA274:AA285"/>
    <mergeCell ref="AB274:AB285"/>
    <mergeCell ref="T280:T285"/>
    <mergeCell ref="U282:U283"/>
    <mergeCell ref="U271:U272"/>
    <mergeCell ref="J274:J279"/>
    <mergeCell ref="K274:K279"/>
    <mergeCell ref="L274:L279"/>
    <mergeCell ref="M274:M279"/>
    <mergeCell ref="N274:N285"/>
    <mergeCell ref="O274:O285"/>
    <mergeCell ref="P274:P285"/>
    <mergeCell ref="Q274:Q279"/>
    <mergeCell ref="R274:R285"/>
    <mergeCell ref="Z258:Z273"/>
    <mergeCell ref="AA258:AA273"/>
    <mergeCell ref="AB258:AB273"/>
    <mergeCell ref="AL258:AL273"/>
    <mergeCell ref="AM258:AM273"/>
    <mergeCell ref="AN258:AN273"/>
    <mergeCell ref="AO258:AO273"/>
    <mergeCell ref="AP258:AP273"/>
    <mergeCell ref="AQ258:AQ273"/>
    <mergeCell ref="AF258:AF273"/>
    <mergeCell ref="AG258:AG273"/>
    <mergeCell ref="AH258:AH273"/>
    <mergeCell ref="AI258:AI273"/>
    <mergeCell ref="AJ258:AJ273"/>
    <mergeCell ref="AK258:AK273"/>
    <mergeCell ref="AC258:AC273"/>
    <mergeCell ref="AD258:AD273"/>
    <mergeCell ref="AE258:AE273"/>
    <mergeCell ref="Q258:Q273"/>
    <mergeCell ref="R258:R273"/>
    <mergeCell ref="S258:S273"/>
    <mergeCell ref="T258:T263"/>
    <mergeCell ref="U258:U261"/>
    <mergeCell ref="Y258:Y273"/>
    <mergeCell ref="U262:U263"/>
    <mergeCell ref="T264:T270"/>
    <mergeCell ref="U267:U270"/>
    <mergeCell ref="T271:T273"/>
    <mergeCell ref="AQ249:AQ256"/>
    <mergeCell ref="U251:U252"/>
    <mergeCell ref="U254:U255"/>
    <mergeCell ref="J258:J273"/>
    <mergeCell ref="K258:K273"/>
    <mergeCell ref="L258:L273"/>
    <mergeCell ref="M258:M273"/>
    <mergeCell ref="N258:N273"/>
    <mergeCell ref="O258:O273"/>
    <mergeCell ref="P258:P273"/>
    <mergeCell ref="AK249:AK256"/>
    <mergeCell ref="AL249:AL256"/>
    <mergeCell ref="AM249:AM256"/>
    <mergeCell ref="AN249:AN256"/>
    <mergeCell ref="AO249:AO256"/>
    <mergeCell ref="AP249:AP256"/>
    <mergeCell ref="AE249:AE256"/>
    <mergeCell ref="AF249:AF256"/>
    <mergeCell ref="AG249:AG256"/>
    <mergeCell ref="AH249:AH256"/>
    <mergeCell ref="AI249:AI256"/>
    <mergeCell ref="AJ249:AJ256"/>
    <mergeCell ref="Y249:Y256"/>
    <mergeCell ref="Z249:Z256"/>
    <mergeCell ref="AA249:AA256"/>
    <mergeCell ref="AB249:AB256"/>
    <mergeCell ref="AC249:AC256"/>
    <mergeCell ref="AD249:AD256"/>
    <mergeCell ref="P249:P256"/>
    <mergeCell ref="Q249:Q255"/>
    <mergeCell ref="R249:R256"/>
    <mergeCell ref="S249:S256"/>
    <mergeCell ref="T249:T255"/>
    <mergeCell ref="U249:U250"/>
    <mergeCell ref="J249:J255"/>
    <mergeCell ref="K249:K255"/>
    <mergeCell ref="L249:L253"/>
    <mergeCell ref="M249:M255"/>
    <mergeCell ref="N249:N256"/>
    <mergeCell ref="O249:O256"/>
    <mergeCell ref="U236:U237"/>
    <mergeCell ref="J240:J247"/>
    <mergeCell ref="K240:K247"/>
    <mergeCell ref="L240:L247"/>
    <mergeCell ref="M240:M247"/>
    <mergeCell ref="Q240:Q247"/>
    <mergeCell ref="T240:T247"/>
    <mergeCell ref="J233:J239"/>
    <mergeCell ref="K233:K239"/>
    <mergeCell ref="L233:L239"/>
    <mergeCell ref="M233:M239"/>
    <mergeCell ref="Q233:Q239"/>
    <mergeCell ref="T233:T239"/>
    <mergeCell ref="AL217:AL247"/>
    <mergeCell ref="AM217:AM247"/>
    <mergeCell ref="AN217:AN247"/>
    <mergeCell ref="AO217:AO247"/>
    <mergeCell ref="AP217:AP247"/>
    <mergeCell ref="AQ217:AQ247"/>
    <mergeCell ref="AF217:AF247"/>
    <mergeCell ref="AG217:AG247"/>
    <mergeCell ref="AH217:AH247"/>
    <mergeCell ref="AI217:AI247"/>
    <mergeCell ref="AJ217:AJ247"/>
    <mergeCell ref="AK217:AK247"/>
    <mergeCell ref="Z217:Z247"/>
    <mergeCell ref="AA217:AA247"/>
    <mergeCell ref="AB217:AB247"/>
    <mergeCell ref="AC217:AC247"/>
    <mergeCell ref="AD217:AD247"/>
    <mergeCell ref="AE217:AE247"/>
    <mergeCell ref="P217:P247"/>
    <mergeCell ref="Q217:Q223"/>
    <mergeCell ref="R217:R247"/>
    <mergeCell ref="S217:S247"/>
    <mergeCell ref="T217:T223"/>
    <mergeCell ref="Y217:Y247"/>
    <mergeCell ref="U222:U223"/>
    <mergeCell ref="Q224:Q232"/>
    <mergeCell ref="T224:T232"/>
    <mergeCell ref="U226:U227"/>
    <mergeCell ref="J217:J223"/>
    <mergeCell ref="K217:K223"/>
    <mergeCell ref="L217:L223"/>
    <mergeCell ref="M217:M223"/>
    <mergeCell ref="N217:N247"/>
    <mergeCell ref="O217:O247"/>
    <mergeCell ref="J224:J232"/>
    <mergeCell ref="K224:K232"/>
    <mergeCell ref="L224:L232"/>
    <mergeCell ref="M224:M232"/>
    <mergeCell ref="J208:J215"/>
    <mergeCell ref="K208:K215"/>
    <mergeCell ref="L208:L215"/>
    <mergeCell ref="M208:M215"/>
    <mergeCell ref="Q208:Q215"/>
    <mergeCell ref="U209:U210"/>
    <mergeCell ref="AM201:AM215"/>
    <mergeCell ref="AN201:AN215"/>
    <mergeCell ref="AO201:AO215"/>
    <mergeCell ref="Q201:Q205"/>
    <mergeCell ref="R201:R215"/>
    <mergeCell ref="S201:S215"/>
    <mergeCell ref="T201:T205"/>
    <mergeCell ref="Q206:Q207"/>
    <mergeCell ref="T206:T215"/>
    <mergeCell ref="J201:J205"/>
    <mergeCell ref="K201:K205"/>
    <mergeCell ref="L201:L205"/>
    <mergeCell ref="M201:M205"/>
    <mergeCell ref="O201:O215"/>
    <mergeCell ref="P201:P215"/>
    <mergeCell ref="J206:J207"/>
    <mergeCell ref="K206:K207"/>
    <mergeCell ref="L206:L207"/>
    <mergeCell ref="AP201:AP215"/>
    <mergeCell ref="AQ201:AQ215"/>
    <mergeCell ref="U202:U204"/>
    <mergeCell ref="U206:U207"/>
    <mergeCell ref="AG201:AG215"/>
    <mergeCell ref="AH201:AH215"/>
    <mergeCell ref="AI201:AI215"/>
    <mergeCell ref="AJ201:AJ215"/>
    <mergeCell ref="AK201:AK215"/>
    <mergeCell ref="AL201:AL215"/>
    <mergeCell ref="AA201:AA215"/>
    <mergeCell ref="AB201:AB215"/>
    <mergeCell ref="AC201:AC215"/>
    <mergeCell ref="AD201:AD215"/>
    <mergeCell ref="AE201:AE215"/>
    <mergeCell ref="AF201:AF215"/>
    <mergeCell ref="Y201:Y215"/>
    <mergeCell ref="Z201:Z215"/>
    <mergeCell ref="M206:M207"/>
    <mergeCell ref="AL189:AL199"/>
    <mergeCell ref="AM189:AM199"/>
    <mergeCell ref="AN189:AN199"/>
    <mergeCell ref="AO189:AO199"/>
    <mergeCell ref="AP189:AP199"/>
    <mergeCell ref="AQ189:AQ199"/>
    <mergeCell ref="AF189:AF199"/>
    <mergeCell ref="AG189:AG199"/>
    <mergeCell ref="AH189:AH199"/>
    <mergeCell ref="AI189:AI199"/>
    <mergeCell ref="AJ189:AJ199"/>
    <mergeCell ref="AK189:AK199"/>
    <mergeCell ref="Z189:Z199"/>
    <mergeCell ref="AA189:AA199"/>
    <mergeCell ref="AB189:AB199"/>
    <mergeCell ref="AC189:AC199"/>
    <mergeCell ref="AD189:AD199"/>
    <mergeCell ref="AE189:AE199"/>
    <mergeCell ref="P189:P199"/>
    <mergeCell ref="Q189:Q194"/>
    <mergeCell ref="R189:R199"/>
    <mergeCell ref="S189:S199"/>
    <mergeCell ref="T189:T194"/>
    <mergeCell ref="Y189:Y199"/>
    <mergeCell ref="Q195:Q199"/>
    <mergeCell ref="T195:T199"/>
    <mergeCell ref="J189:J194"/>
    <mergeCell ref="K189:K194"/>
    <mergeCell ref="L189:L194"/>
    <mergeCell ref="M189:M194"/>
    <mergeCell ref="N189:N199"/>
    <mergeCell ref="O189:O199"/>
    <mergeCell ref="J195:J199"/>
    <mergeCell ref="K195:K199"/>
    <mergeCell ref="L195:L199"/>
    <mergeCell ref="M195:M199"/>
    <mergeCell ref="AN179:AN187"/>
    <mergeCell ref="AO179:AO187"/>
    <mergeCell ref="AP179:AP187"/>
    <mergeCell ref="AQ179:AQ187"/>
    <mergeCell ref="J183:J187"/>
    <mergeCell ref="K183:K187"/>
    <mergeCell ref="L183:L187"/>
    <mergeCell ref="M183:M187"/>
    <mergeCell ref="Q183:Q187"/>
    <mergeCell ref="T183:T187"/>
    <mergeCell ref="AH179:AH187"/>
    <mergeCell ref="AI179:AI187"/>
    <mergeCell ref="AJ179:AJ187"/>
    <mergeCell ref="AK179:AK187"/>
    <mergeCell ref="AL179:AL187"/>
    <mergeCell ref="AM179:AM187"/>
    <mergeCell ref="AB179:AB187"/>
    <mergeCell ref="AC179:AC187"/>
    <mergeCell ref="AD179:AD187"/>
    <mergeCell ref="AE179:AE187"/>
    <mergeCell ref="AF179:AF187"/>
    <mergeCell ref="AG179:AG187"/>
    <mergeCell ref="S179:S187"/>
    <mergeCell ref="T179:T182"/>
    <mergeCell ref="U179:U180"/>
    <mergeCell ref="Y179:Y187"/>
    <mergeCell ref="Z179:Z187"/>
    <mergeCell ref="AA179:AA187"/>
    <mergeCell ref="U183:U184"/>
    <mergeCell ref="V178:X178"/>
    <mergeCell ref="J179:J182"/>
    <mergeCell ref="K179:K182"/>
    <mergeCell ref="L179:L182"/>
    <mergeCell ref="M179:M182"/>
    <mergeCell ref="N179:N187"/>
    <mergeCell ref="O179:O187"/>
    <mergeCell ref="P179:P187"/>
    <mergeCell ref="Q179:Q182"/>
    <mergeCell ref="R179:R187"/>
    <mergeCell ref="AO154:AO177"/>
    <mergeCell ref="AP154:AP177"/>
    <mergeCell ref="AQ154:AQ177"/>
    <mergeCell ref="U157:U160"/>
    <mergeCell ref="U162:U164"/>
    <mergeCell ref="T165:T170"/>
    <mergeCell ref="U165:U167"/>
    <mergeCell ref="U168:U170"/>
    <mergeCell ref="T171:T177"/>
    <mergeCell ref="U172:U174"/>
    <mergeCell ref="AI154:AI177"/>
    <mergeCell ref="AJ154:AJ177"/>
    <mergeCell ref="AK154:AK177"/>
    <mergeCell ref="AL154:AL177"/>
    <mergeCell ref="AM154:AM177"/>
    <mergeCell ref="AN154:AN177"/>
    <mergeCell ref="AC154:AC177"/>
    <mergeCell ref="AD154:AD177"/>
    <mergeCell ref="AE154:AE177"/>
    <mergeCell ref="AF154:AF177"/>
    <mergeCell ref="AG154:AG177"/>
    <mergeCell ref="AH154:AH177"/>
    <mergeCell ref="T154:T164"/>
    <mergeCell ref="U154:U156"/>
    <mergeCell ref="Y154:Y177"/>
    <mergeCell ref="Z154:Z177"/>
    <mergeCell ref="AA154:AA177"/>
    <mergeCell ref="AB154:AB177"/>
    <mergeCell ref="U175:U177"/>
    <mergeCell ref="U152:U153"/>
    <mergeCell ref="J154:J177"/>
    <mergeCell ref="K154:K177"/>
    <mergeCell ref="L154:L177"/>
    <mergeCell ref="M154:M177"/>
    <mergeCell ref="O154:O177"/>
    <mergeCell ref="P154:P177"/>
    <mergeCell ref="Q154:Q177"/>
    <mergeCell ref="R154:R177"/>
    <mergeCell ref="S154:S177"/>
    <mergeCell ref="AA130:AA153"/>
    <mergeCell ref="AB130:AB153"/>
    <mergeCell ref="J130:J145"/>
    <mergeCell ref="K130:K145"/>
    <mergeCell ref="L130:L145"/>
    <mergeCell ref="M130:M145"/>
    <mergeCell ref="N130:N153"/>
    <mergeCell ref="O130:O153"/>
    <mergeCell ref="J146:J153"/>
    <mergeCell ref="AQ130:AQ153"/>
    <mergeCell ref="U134:U136"/>
    <mergeCell ref="V135:V136"/>
    <mergeCell ref="W135:W136"/>
    <mergeCell ref="X135:X136"/>
    <mergeCell ref="U137:U139"/>
    <mergeCell ref="U140:U141"/>
    <mergeCell ref="U142:U143"/>
    <mergeCell ref="U144:U145"/>
    <mergeCell ref="U146:U147"/>
    <mergeCell ref="AK130:AK153"/>
    <mergeCell ref="AL130:AL153"/>
    <mergeCell ref="AM130:AM153"/>
    <mergeCell ref="AN130:AN153"/>
    <mergeCell ref="AO130:AO153"/>
    <mergeCell ref="AP130:AP153"/>
    <mergeCell ref="AE130:AE153"/>
    <mergeCell ref="AF130:AF153"/>
    <mergeCell ref="AG130:AG153"/>
    <mergeCell ref="AH130:AH153"/>
    <mergeCell ref="AI130:AI153"/>
    <mergeCell ref="AJ130:AJ153"/>
    <mergeCell ref="Y130:Y153"/>
    <mergeCell ref="Z130:Z153"/>
    <mergeCell ref="AC130:AC153"/>
    <mergeCell ref="AD130:AD153"/>
    <mergeCell ref="P130:P153"/>
    <mergeCell ref="Q130:Q145"/>
    <mergeCell ref="R130:R153"/>
    <mergeCell ref="S130:S153"/>
    <mergeCell ref="T130:T145"/>
    <mergeCell ref="U130:U133"/>
    <mergeCell ref="Q146:Q153"/>
    <mergeCell ref="T146:T153"/>
    <mergeCell ref="U148:U149"/>
    <mergeCell ref="U150:U151"/>
    <mergeCell ref="K146:K153"/>
    <mergeCell ref="L146:L153"/>
    <mergeCell ref="M146:M153"/>
    <mergeCell ref="AL120:AL129"/>
    <mergeCell ref="AM120:AM129"/>
    <mergeCell ref="AN120:AN129"/>
    <mergeCell ref="AO120:AO129"/>
    <mergeCell ref="AP120:AP129"/>
    <mergeCell ref="AQ120:AQ129"/>
    <mergeCell ref="AF120:AF129"/>
    <mergeCell ref="AG120:AG129"/>
    <mergeCell ref="AH120:AH129"/>
    <mergeCell ref="AI120:AI129"/>
    <mergeCell ref="AJ120:AJ129"/>
    <mergeCell ref="AK120:AK129"/>
    <mergeCell ref="Z120:Z129"/>
    <mergeCell ref="AA120:AA129"/>
    <mergeCell ref="AB120:AB129"/>
    <mergeCell ref="AC120:AC129"/>
    <mergeCell ref="AD120:AD129"/>
    <mergeCell ref="AE120:AE129"/>
    <mergeCell ref="P120:P129"/>
    <mergeCell ref="Q120:Q124"/>
    <mergeCell ref="R120:R129"/>
    <mergeCell ref="S120:S129"/>
    <mergeCell ref="T120:T124"/>
    <mergeCell ref="Y120:Y129"/>
    <mergeCell ref="U123:U124"/>
    <mergeCell ref="Q125:Q129"/>
    <mergeCell ref="T125:T129"/>
    <mergeCell ref="U125:U126"/>
    <mergeCell ref="J120:J124"/>
    <mergeCell ref="K120:K124"/>
    <mergeCell ref="L120:L124"/>
    <mergeCell ref="M120:M124"/>
    <mergeCell ref="N120:N129"/>
    <mergeCell ref="O120:O129"/>
    <mergeCell ref="J125:J129"/>
    <mergeCell ref="K125:K129"/>
    <mergeCell ref="L125:L129"/>
    <mergeCell ref="M125:M129"/>
    <mergeCell ref="AL106:AL118"/>
    <mergeCell ref="AM106:AM118"/>
    <mergeCell ref="AN106:AN118"/>
    <mergeCell ref="AO106:AO118"/>
    <mergeCell ref="AP106:AP118"/>
    <mergeCell ref="AQ106:AQ118"/>
    <mergeCell ref="AF106:AF118"/>
    <mergeCell ref="AG106:AG118"/>
    <mergeCell ref="AH106:AH118"/>
    <mergeCell ref="AI106:AI118"/>
    <mergeCell ref="AJ106:AJ118"/>
    <mergeCell ref="AK106:AK118"/>
    <mergeCell ref="AC106:AC118"/>
    <mergeCell ref="AD106:AD118"/>
    <mergeCell ref="AE106:AE118"/>
    <mergeCell ref="P106:P118"/>
    <mergeCell ref="Q106:Q110"/>
    <mergeCell ref="R106:R118"/>
    <mergeCell ref="S106:S118"/>
    <mergeCell ref="T106:T110"/>
    <mergeCell ref="Y106:Y118"/>
    <mergeCell ref="U107:U108"/>
    <mergeCell ref="U117:U118"/>
    <mergeCell ref="Q115:Q118"/>
    <mergeCell ref="T115:T118"/>
    <mergeCell ref="Q111:Q114"/>
    <mergeCell ref="T111:T114"/>
    <mergeCell ref="J106:J110"/>
    <mergeCell ref="K106:K110"/>
    <mergeCell ref="L106:L110"/>
    <mergeCell ref="M106:M110"/>
    <mergeCell ref="N106:N118"/>
    <mergeCell ref="O106:O118"/>
    <mergeCell ref="Z106:Z118"/>
    <mergeCell ref="AA106:AA118"/>
    <mergeCell ref="AB106:AB118"/>
    <mergeCell ref="J115:J118"/>
    <mergeCell ref="K115:K118"/>
    <mergeCell ref="L115:L118"/>
    <mergeCell ref="M115:M118"/>
    <mergeCell ref="J111:J114"/>
    <mergeCell ref="K111:K114"/>
    <mergeCell ref="L111:L114"/>
    <mergeCell ref="M111:M114"/>
    <mergeCell ref="AC84:AC104"/>
    <mergeCell ref="AD84:AD104"/>
    <mergeCell ref="Q84:Q94"/>
    <mergeCell ref="R84:R104"/>
    <mergeCell ref="S84:S104"/>
    <mergeCell ref="T84:T94"/>
    <mergeCell ref="U84:U85"/>
    <mergeCell ref="X84:X104"/>
    <mergeCell ref="AQ84:AQ104"/>
    <mergeCell ref="U86:U87"/>
    <mergeCell ref="Q95:Q99"/>
    <mergeCell ref="T95:T99"/>
    <mergeCell ref="AK84:AK104"/>
    <mergeCell ref="AL84:AL104"/>
    <mergeCell ref="AM84:AM104"/>
    <mergeCell ref="AN84:AN104"/>
    <mergeCell ref="AO84:AO104"/>
    <mergeCell ref="AP84:AP104"/>
    <mergeCell ref="AE84:AE104"/>
    <mergeCell ref="AF84:AF104"/>
    <mergeCell ref="AG84:AG104"/>
    <mergeCell ref="AH84:AH104"/>
    <mergeCell ref="AI84:AI104"/>
    <mergeCell ref="AJ84:AJ104"/>
    <mergeCell ref="J84:J94"/>
    <mergeCell ref="K84:K94"/>
    <mergeCell ref="L84:L94"/>
    <mergeCell ref="M84:M94"/>
    <mergeCell ref="N84:N104"/>
    <mergeCell ref="O84:O104"/>
    <mergeCell ref="P84:P104"/>
    <mergeCell ref="AA84:AA104"/>
    <mergeCell ref="AB84:AB104"/>
    <mergeCell ref="J95:J99"/>
    <mergeCell ref="K95:K99"/>
    <mergeCell ref="L95:L99"/>
    <mergeCell ref="M95:M99"/>
    <mergeCell ref="J100:J104"/>
    <mergeCell ref="K100:K104"/>
    <mergeCell ref="Y84:Y104"/>
    <mergeCell ref="Z84:Z104"/>
    <mergeCell ref="L100:L104"/>
    <mergeCell ref="M100:M104"/>
    <mergeCell ref="Q100:Q104"/>
    <mergeCell ref="T100:T104"/>
    <mergeCell ref="AP55:AP82"/>
    <mergeCell ref="AQ55:AQ82"/>
    <mergeCell ref="U57:U58"/>
    <mergeCell ref="J61:J65"/>
    <mergeCell ref="K61:K65"/>
    <mergeCell ref="L61:L65"/>
    <mergeCell ref="M61:M65"/>
    <mergeCell ref="Q61:Q65"/>
    <mergeCell ref="J66:J77"/>
    <mergeCell ref="K66:K77"/>
    <mergeCell ref="AJ55:AJ82"/>
    <mergeCell ref="AK55:AK82"/>
    <mergeCell ref="AL55:AL82"/>
    <mergeCell ref="AM55:AM82"/>
    <mergeCell ref="AN55:AN82"/>
    <mergeCell ref="AO55:AO82"/>
    <mergeCell ref="AD55:AD82"/>
    <mergeCell ref="AE55:AE82"/>
    <mergeCell ref="AF55:AF82"/>
    <mergeCell ref="AG55:AG82"/>
    <mergeCell ref="AH55:AH82"/>
    <mergeCell ref="AI55:AI82"/>
    <mergeCell ref="X55:X82"/>
    <mergeCell ref="Y55:Y82"/>
    <mergeCell ref="Z55:Z82"/>
    <mergeCell ref="AA55:AA82"/>
    <mergeCell ref="AB55:AB82"/>
    <mergeCell ref="AC55:AC82"/>
    <mergeCell ref="P55:P82"/>
    <mergeCell ref="Q55:Q60"/>
    <mergeCell ref="R55:R82"/>
    <mergeCell ref="S55:S82"/>
    <mergeCell ref="T55:T65"/>
    <mergeCell ref="U55:U56"/>
    <mergeCell ref="Q66:Q77"/>
    <mergeCell ref="T66:T82"/>
    <mergeCell ref="Q78:Q82"/>
    <mergeCell ref="J55:J60"/>
    <mergeCell ref="K55:K60"/>
    <mergeCell ref="L55:L60"/>
    <mergeCell ref="M55:M60"/>
    <mergeCell ref="N55:N82"/>
    <mergeCell ref="O55:O82"/>
    <mergeCell ref="L66:L77"/>
    <mergeCell ref="M66:M77"/>
    <mergeCell ref="J78:J82"/>
    <mergeCell ref="K78:K82"/>
    <mergeCell ref="L78:L82"/>
    <mergeCell ref="M78:M82"/>
    <mergeCell ref="AP48:AP53"/>
    <mergeCell ref="AQ48:AQ53"/>
    <mergeCell ref="J50:J53"/>
    <mergeCell ref="K50:K53"/>
    <mergeCell ref="L50:L53"/>
    <mergeCell ref="M50:M53"/>
    <mergeCell ref="Q50:Q53"/>
    <mergeCell ref="T50:T53"/>
    <mergeCell ref="U51:U52"/>
    <mergeCell ref="AJ48:AJ53"/>
    <mergeCell ref="AK48:AK53"/>
    <mergeCell ref="AL48:AL53"/>
    <mergeCell ref="AM48:AM53"/>
    <mergeCell ref="AN48:AN53"/>
    <mergeCell ref="AO48:AO53"/>
    <mergeCell ref="AD48:AD53"/>
    <mergeCell ref="AE48:AE53"/>
    <mergeCell ref="AF48:AF53"/>
    <mergeCell ref="AG48:AG53"/>
    <mergeCell ref="AH48:AH53"/>
    <mergeCell ref="AI48:AI53"/>
    <mergeCell ref="X48:X53"/>
    <mergeCell ref="Y48:Y53"/>
    <mergeCell ref="Z48:Z53"/>
    <mergeCell ref="J48:J49"/>
    <mergeCell ref="K48:K49"/>
    <mergeCell ref="L48:L49"/>
    <mergeCell ref="M48:M49"/>
    <mergeCell ref="N48:N53"/>
    <mergeCell ref="O48:O53"/>
    <mergeCell ref="AA48:AA53"/>
    <mergeCell ref="AB48:AB53"/>
    <mergeCell ref="AC48:AC53"/>
    <mergeCell ref="P48:P53"/>
    <mergeCell ref="Q48:Q49"/>
    <mergeCell ref="R48:R53"/>
    <mergeCell ref="S48:S53"/>
    <mergeCell ref="T48:T49"/>
    <mergeCell ref="U48:U49"/>
    <mergeCell ref="AO12:AO45"/>
    <mergeCell ref="AP12:AP45"/>
    <mergeCell ref="AQ12:AQ45"/>
    <mergeCell ref="U15:U16"/>
    <mergeCell ref="U17:U18"/>
    <mergeCell ref="J22:J31"/>
    <mergeCell ref="K22:K31"/>
    <mergeCell ref="L22:L31"/>
    <mergeCell ref="M22:M31"/>
    <mergeCell ref="Q22:Q31"/>
    <mergeCell ref="AI12:AI45"/>
    <mergeCell ref="AJ12:AJ45"/>
    <mergeCell ref="AK12:AK45"/>
    <mergeCell ref="AL12:AL45"/>
    <mergeCell ref="AM12:AM45"/>
    <mergeCell ref="AN12:AN45"/>
    <mergeCell ref="AC12:AC45"/>
    <mergeCell ref="AD12:AD45"/>
    <mergeCell ref="AE12:AE45"/>
    <mergeCell ref="AF12:AF45"/>
    <mergeCell ref="AG12:AG45"/>
    <mergeCell ref="AH12:AH45"/>
    <mergeCell ref="U12:U13"/>
    <mergeCell ref="X12:X45"/>
    <mergeCell ref="AA12:AA45"/>
    <mergeCell ref="AB12:AB45"/>
    <mergeCell ref="U22:U23"/>
    <mergeCell ref="U24:U25"/>
    <mergeCell ref="U26:U27"/>
    <mergeCell ref="U28:U29"/>
    <mergeCell ref="O12:O45"/>
    <mergeCell ref="P12:P45"/>
    <mergeCell ref="Q12:Q21"/>
    <mergeCell ref="R12:R45"/>
    <mergeCell ref="S12:S45"/>
    <mergeCell ref="T12:T21"/>
    <mergeCell ref="T22:T31"/>
    <mergeCell ref="U30:U31"/>
    <mergeCell ref="Q32:Q45"/>
    <mergeCell ref="T32:T45"/>
    <mergeCell ref="U32:U33"/>
    <mergeCell ref="U34:U35"/>
    <mergeCell ref="U36:U37"/>
    <mergeCell ref="U38:U39"/>
    <mergeCell ref="U40:U41"/>
    <mergeCell ref="U42:U43"/>
    <mergeCell ref="U44:U45"/>
    <mergeCell ref="A10:C10"/>
    <mergeCell ref="J12:J21"/>
    <mergeCell ref="K12:K21"/>
    <mergeCell ref="L12:L21"/>
    <mergeCell ref="M12:M21"/>
    <mergeCell ref="N12:N45"/>
    <mergeCell ref="W7:W8"/>
    <mergeCell ref="X7:X8"/>
    <mergeCell ref="Y7:Z7"/>
    <mergeCell ref="Q7:Q8"/>
    <mergeCell ref="R7:R8"/>
    <mergeCell ref="S7:S8"/>
    <mergeCell ref="T7:T8"/>
    <mergeCell ref="U7:U8"/>
    <mergeCell ref="V7:V8"/>
    <mergeCell ref="K7:K8"/>
    <mergeCell ref="L7:L8"/>
    <mergeCell ref="Y12:Y45"/>
    <mergeCell ref="Z12:Z45"/>
    <mergeCell ref="J32:J45"/>
    <mergeCell ref="K32:K45"/>
    <mergeCell ref="L32:L45"/>
    <mergeCell ref="M32:M45"/>
    <mergeCell ref="M7:M8"/>
    <mergeCell ref="N7:N8"/>
    <mergeCell ref="O7:O8"/>
    <mergeCell ref="P7:P8"/>
    <mergeCell ref="A1:AO4"/>
    <mergeCell ref="A5:O6"/>
    <mergeCell ref="P5:AQ6"/>
    <mergeCell ref="A7:A8"/>
    <mergeCell ref="B7:C8"/>
    <mergeCell ref="D7:D8"/>
    <mergeCell ref="E7:F8"/>
    <mergeCell ref="G7:G8"/>
    <mergeCell ref="H7:I8"/>
    <mergeCell ref="J7:J8"/>
    <mergeCell ref="AN7:AN8"/>
    <mergeCell ref="AO7:AO8"/>
    <mergeCell ref="AP7:AP8"/>
    <mergeCell ref="AQ7:AQ8"/>
    <mergeCell ref="AA7:AD7"/>
    <mergeCell ref="AE7:AJ7"/>
    <mergeCell ref="AK7:AM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2"/>
  <sheetViews>
    <sheetView showGridLines="0" zoomScale="70" zoomScaleNormal="70" workbookViewId="0">
      <selection activeCell="A7" sqref="A7:A12"/>
    </sheetView>
  </sheetViews>
  <sheetFormatPr baseColWidth="10" defaultColWidth="11.42578125" defaultRowHeight="15" x14ac:dyDescent="0.2"/>
  <cols>
    <col min="1" max="9" width="12.42578125" style="25" customWidth="1"/>
    <col min="10" max="10" width="12.42578125" style="122" customWidth="1"/>
    <col min="11" max="11" width="29" style="122" customWidth="1"/>
    <col min="12" max="12" width="19.42578125" style="122" customWidth="1"/>
    <col min="13" max="13" width="18.42578125" style="122" customWidth="1"/>
    <col min="14" max="14" width="33" style="122" customWidth="1"/>
    <col min="15" max="15" width="20.42578125" style="122" customWidth="1"/>
    <col min="16" max="16" width="27.28515625" style="122" customWidth="1"/>
    <col min="17" max="17" width="13.28515625" style="123" customWidth="1"/>
    <col min="18" max="18" width="22.7109375" style="122" customWidth="1"/>
    <col min="19" max="19" width="35.5703125" style="122" customWidth="1"/>
    <col min="20" max="20" width="36.5703125" style="122" customWidth="1"/>
    <col min="21" max="21" width="30.5703125" style="122" customWidth="1"/>
    <col min="22" max="22" width="22" style="25" customWidth="1"/>
    <col min="23" max="23" width="11.7109375" style="25" customWidth="1"/>
    <col min="24" max="24" width="34.7109375" style="25" bestFit="1" customWidth="1"/>
    <col min="25" max="26" width="11" style="25" bestFit="1" customWidth="1"/>
    <col min="27" max="27" width="9.5703125" style="25" bestFit="1" customWidth="1"/>
    <col min="28" max="28" width="8.7109375" style="25" bestFit="1" customWidth="1"/>
    <col min="29" max="29" width="9.5703125" style="25" customWidth="1"/>
    <col min="30" max="30" width="9" style="25" bestFit="1" customWidth="1"/>
    <col min="31" max="31" width="7.28515625" style="25" bestFit="1" customWidth="1"/>
    <col min="32" max="32" width="8.28515625" style="25" bestFit="1" customWidth="1"/>
    <col min="33" max="36" width="6.42578125" style="25" customWidth="1"/>
    <col min="37" max="37" width="8.7109375" style="25" bestFit="1" customWidth="1"/>
    <col min="38" max="39" width="9" style="25" bestFit="1" customWidth="1"/>
    <col min="40" max="40" width="13.5703125" style="25" customWidth="1"/>
    <col min="41" max="41" width="18.42578125" style="25" customWidth="1"/>
    <col min="42" max="42" width="18.85546875" style="25" customWidth="1"/>
    <col min="43" max="43" width="28" style="25" customWidth="1"/>
    <col min="44" max="44" width="22.5703125" style="25" customWidth="1"/>
    <col min="45" max="16384" width="11.42578125" style="25"/>
  </cols>
  <sheetData>
    <row r="1" spans="1:44" ht="29.25" customHeight="1" x14ac:dyDescent="0.2">
      <c r="A1" s="2742" t="s">
        <v>2566</v>
      </c>
      <c r="B1" s="2742"/>
      <c r="C1" s="2742"/>
      <c r="D1" s="2742"/>
      <c r="E1" s="2742"/>
      <c r="F1" s="2742"/>
      <c r="G1" s="2742"/>
      <c r="H1" s="2742"/>
      <c r="I1" s="2742"/>
      <c r="J1" s="2742"/>
      <c r="K1" s="2742"/>
      <c r="L1" s="2742"/>
      <c r="M1" s="2742"/>
      <c r="N1" s="2742"/>
      <c r="O1" s="2742"/>
      <c r="P1" s="2742"/>
      <c r="Q1" s="2742"/>
      <c r="R1" s="2742"/>
      <c r="S1" s="2742"/>
      <c r="T1" s="2742"/>
      <c r="U1" s="2742"/>
      <c r="V1" s="2742"/>
      <c r="W1" s="2742"/>
      <c r="X1" s="2742"/>
      <c r="Y1" s="2742"/>
      <c r="Z1" s="2742"/>
      <c r="AA1" s="2742"/>
      <c r="AB1" s="2742"/>
      <c r="AC1" s="2742"/>
      <c r="AD1" s="2742"/>
      <c r="AE1" s="2742"/>
      <c r="AF1" s="2742"/>
      <c r="AG1" s="2742"/>
      <c r="AH1" s="2742"/>
      <c r="AI1" s="2742"/>
      <c r="AJ1" s="2742"/>
      <c r="AK1" s="2742"/>
      <c r="AL1" s="2742"/>
      <c r="AM1" s="2742"/>
      <c r="AN1" s="2742"/>
      <c r="AO1" s="2742"/>
      <c r="AP1" s="24" t="s">
        <v>0</v>
      </c>
      <c r="AQ1" s="24" t="s">
        <v>1</v>
      </c>
    </row>
    <row r="2" spans="1:44" ht="29.25" customHeight="1" x14ac:dyDescent="0.2">
      <c r="A2" s="2742"/>
      <c r="B2" s="2742"/>
      <c r="C2" s="2742"/>
      <c r="D2" s="2742"/>
      <c r="E2" s="2742"/>
      <c r="F2" s="2742"/>
      <c r="G2" s="2742"/>
      <c r="H2" s="2742"/>
      <c r="I2" s="2742"/>
      <c r="J2" s="2742"/>
      <c r="K2" s="2742"/>
      <c r="L2" s="2742"/>
      <c r="M2" s="2742"/>
      <c r="N2" s="2742"/>
      <c r="O2" s="2742"/>
      <c r="P2" s="2742"/>
      <c r="Q2" s="2742"/>
      <c r="R2" s="2742"/>
      <c r="S2" s="2742"/>
      <c r="T2" s="2742"/>
      <c r="U2" s="2742"/>
      <c r="V2" s="2742"/>
      <c r="W2" s="2742"/>
      <c r="X2" s="2742"/>
      <c r="Y2" s="2742"/>
      <c r="Z2" s="2742"/>
      <c r="AA2" s="2742"/>
      <c r="AB2" s="2742"/>
      <c r="AC2" s="2742"/>
      <c r="AD2" s="2742"/>
      <c r="AE2" s="2742"/>
      <c r="AF2" s="2742"/>
      <c r="AG2" s="2742"/>
      <c r="AH2" s="2742"/>
      <c r="AI2" s="2742"/>
      <c r="AJ2" s="2742"/>
      <c r="AK2" s="2742"/>
      <c r="AL2" s="2742"/>
      <c r="AM2" s="2742"/>
      <c r="AN2" s="2742"/>
      <c r="AO2" s="2742"/>
      <c r="AP2" s="26" t="s">
        <v>2</v>
      </c>
      <c r="AQ2" s="27" t="s">
        <v>3</v>
      </c>
    </row>
    <row r="3" spans="1:44" ht="29.25" customHeight="1" x14ac:dyDescent="0.2">
      <c r="A3" s="2742"/>
      <c r="B3" s="2742"/>
      <c r="C3" s="2742"/>
      <c r="D3" s="2742"/>
      <c r="E3" s="2742"/>
      <c r="F3" s="2742"/>
      <c r="G3" s="2742"/>
      <c r="H3" s="2742"/>
      <c r="I3" s="2742"/>
      <c r="J3" s="2742"/>
      <c r="K3" s="2742"/>
      <c r="L3" s="2742"/>
      <c r="M3" s="2742"/>
      <c r="N3" s="2742"/>
      <c r="O3" s="2742"/>
      <c r="P3" s="2742"/>
      <c r="Q3" s="2742"/>
      <c r="R3" s="2742"/>
      <c r="S3" s="2742"/>
      <c r="T3" s="2742"/>
      <c r="U3" s="2742"/>
      <c r="V3" s="2742"/>
      <c r="W3" s="2742"/>
      <c r="X3" s="2742"/>
      <c r="Y3" s="2742"/>
      <c r="Z3" s="2742"/>
      <c r="AA3" s="2742"/>
      <c r="AB3" s="2742"/>
      <c r="AC3" s="2742"/>
      <c r="AD3" s="2742"/>
      <c r="AE3" s="2742"/>
      <c r="AF3" s="2742"/>
      <c r="AG3" s="2742"/>
      <c r="AH3" s="2742"/>
      <c r="AI3" s="2742"/>
      <c r="AJ3" s="2742"/>
      <c r="AK3" s="2742"/>
      <c r="AL3" s="2742"/>
      <c r="AM3" s="2742"/>
      <c r="AN3" s="2742"/>
      <c r="AO3" s="2742"/>
      <c r="AP3" s="24" t="s">
        <v>4</v>
      </c>
      <c r="AQ3" s="28" t="s">
        <v>5</v>
      </c>
    </row>
    <row r="4" spans="1:44" ht="29.25" customHeight="1" x14ac:dyDescent="0.2">
      <c r="A4" s="2743"/>
      <c r="B4" s="2743"/>
      <c r="C4" s="2743"/>
      <c r="D4" s="2743"/>
      <c r="E4" s="2743"/>
      <c r="F4" s="2743"/>
      <c r="G4" s="2743"/>
      <c r="H4" s="2743"/>
      <c r="I4" s="2743"/>
      <c r="J4" s="2743"/>
      <c r="K4" s="2743"/>
      <c r="L4" s="2743"/>
      <c r="M4" s="2743"/>
      <c r="N4" s="2743"/>
      <c r="O4" s="2743"/>
      <c r="P4" s="2743"/>
      <c r="Q4" s="2743"/>
      <c r="R4" s="2743"/>
      <c r="S4" s="2743"/>
      <c r="T4" s="2743"/>
      <c r="U4" s="2743"/>
      <c r="V4" s="2743"/>
      <c r="W4" s="2743"/>
      <c r="X4" s="2743"/>
      <c r="Y4" s="2743"/>
      <c r="Z4" s="2743"/>
      <c r="AA4" s="2743"/>
      <c r="AB4" s="2743"/>
      <c r="AC4" s="2743"/>
      <c r="AD4" s="2743"/>
      <c r="AE4" s="2743"/>
      <c r="AF4" s="2743"/>
      <c r="AG4" s="2743"/>
      <c r="AH4" s="2743"/>
      <c r="AI4" s="2743"/>
      <c r="AJ4" s="2743"/>
      <c r="AK4" s="2743"/>
      <c r="AL4" s="2743"/>
      <c r="AM4" s="2743"/>
      <c r="AN4" s="2743"/>
      <c r="AO4" s="2743"/>
      <c r="AP4" s="24" t="s">
        <v>6</v>
      </c>
      <c r="AQ4" s="29" t="s">
        <v>7</v>
      </c>
    </row>
    <row r="5" spans="1:44" ht="29.25" customHeight="1" x14ac:dyDescent="0.2">
      <c r="A5" s="2744" t="s">
        <v>8</v>
      </c>
      <c r="B5" s="2744"/>
      <c r="C5" s="2744"/>
      <c r="D5" s="2744"/>
      <c r="E5" s="2744"/>
      <c r="F5" s="2744"/>
      <c r="G5" s="2744"/>
      <c r="H5" s="2744"/>
      <c r="I5" s="2744"/>
      <c r="J5" s="2744"/>
      <c r="K5" s="2744"/>
      <c r="L5" s="2744"/>
      <c r="M5" s="2744"/>
      <c r="N5" s="2746" t="s">
        <v>9</v>
      </c>
      <c r="O5" s="2746"/>
      <c r="P5" s="2746"/>
      <c r="Q5" s="2746"/>
      <c r="R5" s="2746"/>
      <c r="S5" s="2746"/>
      <c r="T5" s="2746"/>
      <c r="U5" s="2746"/>
      <c r="V5" s="2746"/>
      <c r="W5" s="2746"/>
      <c r="X5" s="2746"/>
      <c r="Y5" s="2746"/>
      <c r="Z5" s="2746"/>
      <c r="AA5" s="2746"/>
      <c r="AB5" s="2746"/>
      <c r="AC5" s="2746"/>
      <c r="AD5" s="2746"/>
      <c r="AE5" s="2746"/>
      <c r="AF5" s="2746"/>
      <c r="AG5" s="2746"/>
      <c r="AH5" s="2746"/>
      <c r="AI5" s="2746"/>
      <c r="AJ5" s="2746"/>
      <c r="AK5" s="2746"/>
      <c r="AL5" s="2746"/>
      <c r="AM5" s="2746"/>
      <c r="AN5" s="2746"/>
      <c r="AO5" s="2746"/>
      <c r="AP5" s="2746"/>
      <c r="AQ5" s="2746"/>
    </row>
    <row r="6" spans="1:44" ht="29.25" customHeight="1" x14ac:dyDescent="0.2">
      <c r="A6" s="2745"/>
      <c r="B6" s="2745"/>
      <c r="C6" s="2745"/>
      <c r="D6" s="2745"/>
      <c r="E6" s="2745"/>
      <c r="F6" s="2745"/>
      <c r="G6" s="2745"/>
      <c r="H6" s="2745"/>
      <c r="I6" s="2745"/>
      <c r="J6" s="2745"/>
      <c r="K6" s="2745"/>
      <c r="L6" s="2745"/>
      <c r="M6" s="2745"/>
      <c r="N6" s="30"/>
      <c r="O6" s="31"/>
      <c r="P6" s="31"/>
      <c r="Q6" s="32"/>
      <c r="R6" s="31"/>
      <c r="S6" s="31"/>
      <c r="T6" s="31"/>
      <c r="U6" s="31"/>
      <c r="V6" s="33"/>
      <c r="W6" s="33"/>
      <c r="X6" s="33"/>
      <c r="Y6" s="2747" t="s">
        <v>10</v>
      </c>
      <c r="Z6" s="2745"/>
      <c r="AA6" s="2745"/>
      <c r="AB6" s="2745"/>
      <c r="AC6" s="2745"/>
      <c r="AD6" s="2745"/>
      <c r="AE6" s="2745"/>
      <c r="AF6" s="2745"/>
      <c r="AG6" s="2745"/>
      <c r="AH6" s="2745"/>
      <c r="AI6" s="2745"/>
      <c r="AJ6" s="2745"/>
      <c r="AK6" s="2745"/>
      <c r="AL6" s="2745"/>
      <c r="AM6" s="2748"/>
      <c r="AN6" s="1748"/>
      <c r="AO6" s="33"/>
      <c r="AP6" s="33"/>
      <c r="AQ6" s="34"/>
    </row>
    <row r="7" spans="1:44" ht="29.25" customHeight="1" x14ac:dyDescent="0.2">
      <c r="A7" s="2727" t="s">
        <v>11</v>
      </c>
      <c r="B7" s="2720" t="s">
        <v>12</v>
      </c>
      <c r="C7" s="2740"/>
      <c r="D7" s="2740" t="s">
        <v>11</v>
      </c>
      <c r="E7" s="2720" t="s">
        <v>13</v>
      </c>
      <c r="F7" s="2740"/>
      <c r="G7" s="2740" t="s">
        <v>11</v>
      </c>
      <c r="H7" s="2720" t="s">
        <v>14</v>
      </c>
      <c r="I7" s="2740"/>
      <c r="J7" s="2740" t="s">
        <v>11</v>
      </c>
      <c r="K7" s="2720" t="s">
        <v>15</v>
      </c>
      <c r="L7" s="2738" t="s">
        <v>16</v>
      </c>
      <c r="M7" s="2738" t="s">
        <v>17</v>
      </c>
      <c r="N7" s="2738" t="s">
        <v>18</v>
      </c>
      <c r="O7" s="2738" t="s">
        <v>19</v>
      </c>
      <c r="P7" s="2738" t="s">
        <v>9</v>
      </c>
      <c r="Q7" s="2734" t="s">
        <v>20</v>
      </c>
      <c r="R7" s="2736" t="s">
        <v>21</v>
      </c>
      <c r="S7" s="2738" t="s">
        <v>22</v>
      </c>
      <c r="T7" s="2738" t="s">
        <v>23</v>
      </c>
      <c r="U7" s="2738" t="s">
        <v>24</v>
      </c>
      <c r="V7" s="2738" t="s">
        <v>21</v>
      </c>
      <c r="W7" s="35"/>
      <c r="X7" s="2738" t="s">
        <v>25</v>
      </c>
      <c r="Y7" s="2716" t="s">
        <v>26</v>
      </c>
      <c r="Z7" s="2717"/>
      <c r="AA7" s="2718" t="s">
        <v>27</v>
      </c>
      <c r="AB7" s="2719"/>
      <c r="AC7" s="2719"/>
      <c r="AD7" s="2719"/>
      <c r="AE7" s="2722" t="s">
        <v>28</v>
      </c>
      <c r="AF7" s="2723"/>
      <c r="AG7" s="2723"/>
      <c r="AH7" s="2723"/>
      <c r="AI7" s="2723"/>
      <c r="AJ7" s="2723"/>
      <c r="AK7" s="2718" t="s">
        <v>29</v>
      </c>
      <c r="AL7" s="2719"/>
      <c r="AM7" s="2719"/>
      <c r="AN7" s="2749" t="s">
        <v>30</v>
      </c>
      <c r="AO7" s="2752" t="s">
        <v>31</v>
      </c>
      <c r="AP7" s="2752" t="s">
        <v>32</v>
      </c>
      <c r="AQ7" s="2755" t="s">
        <v>33</v>
      </c>
    </row>
    <row r="8" spans="1:44" ht="30" customHeight="1" x14ac:dyDescent="0.2">
      <c r="A8" s="2728"/>
      <c r="B8" s="2721"/>
      <c r="C8" s="2741"/>
      <c r="D8" s="2741"/>
      <c r="E8" s="2721"/>
      <c r="F8" s="2741"/>
      <c r="G8" s="2741"/>
      <c r="H8" s="2721"/>
      <c r="I8" s="2741"/>
      <c r="J8" s="2741"/>
      <c r="K8" s="2721"/>
      <c r="L8" s="2739"/>
      <c r="M8" s="2739"/>
      <c r="N8" s="2739"/>
      <c r="O8" s="2739"/>
      <c r="P8" s="2739"/>
      <c r="Q8" s="2735"/>
      <c r="R8" s="2737"/>
      <c r="S8" s="2739"/>
      <c r="T8" s="2739"/>
      <c r="U8" s="2739"/>
      <c r="V8" s="2739"/>
      <c r="W8" s="4373" t="s">
        <v>11</v>
      </c>
      <c r="X8" s="2739"/>
      <c r="Y8" s="2724" t="s">
        <v>34</v>
      </c>
      <c r="Z8" s="2757" t="s">
        <v>35</v>
      </c>
      <c r="AA8" s="2724" t="s">
        <v>36</v>
      </c>
      <c r="AB8" s="2724" t="s">
        <v>37</v>
      </c>
      <c r="AC8" s="2724" t="s">
        <v>38</v>
      </c>
      <c r="AD8" s="2724" t="s">
        <v>39</v>
      </c>
      <c r="AE8" s="2724" t="s">
        <v>40</v>
      </c>
      <c r="AF8" s="2724" t="s">
        <v>41</v>
      </c>
      <c r="AG8" s="2724" t="s">
        <v>42</v>
      </c>
      <c r="AH8" s="2724" t="s">
        <v>43</v>
      </c>
      <c r="AI8" s="2724" t="s">
        <v>44</v>
      </c>
      <c r="AJ8" s="2724" t="s">
        <v>45</v>
      </c>
      <c r="AK8" s="2724" t="s">
        <v>46</v>
      </c>
      <c r="AL8" s="2724" t="s">
        <v>47</v>
      </c>
      <c r="AM8" s="2724" t="s">
        <v>48</v>
      </c>
      <c r="AN8" s="2750"/>
      <c r="AO8" s="2753"/>
      <c r="AP8" s="2753"/>
      <c r="AQ8" s="2756"/>
    </row>
    <row r="9" spans="1:44" ht="30" customHeight="1" x14ac:dyDescent="0.2">
      <c r="A9" s="2728"/>
      <c r="B9" s="2721"/>
      <c r="C9" s="2741"/>
      <c r="D9" s="2741"/>
      <c r="E9" s="2721"/>
      <c r="F9" s="2741"/>
      <c r="G9" s="2741"/>
      <c r="H9" s="2721"/>
      <c r="I9" s="2741"/>
      <c r="J9" s="2741"/>
      <c r="K9" s="2721"/>
      <c r="L9" s="2739"/>
      <c r="M9" s="2739"/>
      <c r="N9" s="2739"/>
      <c r="O9" s="2739"/>
      <c r="P9" s="2739"/>
      <c r="Q9" s="2735"/>
      <c r="R9" s="2737"/>
      <c r="S9" s="2739"/>
      <c r="T9" s="2739"/>
      <c r="U9" s="2739"/>
      <c r="V9" s="2739"/>
      <c r="W9" s="4373"/>
      <c r="X9" s="2739"/>
      <c r="Y9" s="2725"/>
      <c r="Z9" s="2758"/>
      <c r="AA9" s="2725"/>
      <c r="AB9" s="2725"/>
      <c r="AC9" s="2725"/>
      <c r="AD9" s="2725"/>
      <c r="AE9" s="2725"/>
      <c r="AF9" s="2725"/>
      <c r="AG9" s="2725"/>
      <c r="AH9" s="2725"/>
      <c r="AI9" s="2725"/>
      <c r="AJ9" s="2725"/>
      <c r="AK9" s="2725"/>
      <c r="AL9" s="2725"/>
      <c r="AM9" s="2725"/>
      <c r="AN9" s="2750"/>
      <c r="AO9" s="2753"/>
      <c r="AP9" s="2753"/>
      <c r="AQ9" s="2756"/>
    </row>
    <row r="10" spans="1:44" ht="30" customHeight="1" x14ac:dyDescent="0.2">
      <c r="A10" s="2728"/>
      <c r="B10" s="2721"/>
      <c r="C10" s="2741"/>
      <c r="D10" s="2741"/>
      <c r="E10" s="2721"/>
      <c r="F10" s="2741"/>
      <c r="G10" s="2741"/>
      <c r="H10" s="2721"/>
      <c r="I10" s="2741"/>
      <c r="J10" s="2741"/>
      <c r="K10" s="2721"/>
      <c r="L10" s="2739"/>
      <c r="M10" s="2739"/>
      <c r="N10" s="2739"/>
      <c r="O10" s="2739"/>
      <c r="P10" s="2739"/>
      <c r="Q10" s="2735"/>
      <c r="R10" s="2737"/>
      <c r="S10" s="2739"/>
      <c r="T10" s="2739"/>
      <c r="U10" s="2739"/>
      <c r="V10" s="2739"/>
      <c r="W10" s="4373"/>
      <c r="X10" s="2739"/>
      <c r="Y10" s="2725"/>
      <c r="Z10" s="2758"/>
      <c r="AA10" s="2725"/>
      <c r="AB10" s="2725"/>
      <c r="AC10" s="2725"/>
      <c r="AD10" s="2725"/>
      <c r="AE10" s="2725"/>
      <c r="AF10" s="2725"/>
      <c r="AG10" s="2725"/>
      <c r="AH10" s="2725"/>
      <c r="AI10" s="2725"/>
      <c r="AJ10" s="2725"/>
      <c r="AK10" s="2725"/>
      <c r="AL10" s="2725"/>
      <c r="AM10" s="2725"/>
      <c r="AN10" s="2750"/>
      <c r="AO10" s="2753"/>
      <c r="AP10" s="2753"/>
      <c r="AQ10" s="2756"/>
    </row>
    <row r="11" spans="1:44" ht="30" customHeight="1" x14ac:dyDescent="0.2">
      <c r="A11" s="2728"/>
      <c r="B11" s="2721"/>
      <c r="C11" s="2741"/>
      <c r="D11" s="2741"/>
      <c r="E11" s="2721"/>
      <c r="F11" s="2741"/>
      <c r="G11" s="2741"/>
      <c r="H11" s="2721"/>
      <c r="I11" s="2741"/>
      <c r="J11" s="2741"/>
      <c r="K11" s="2721"/>
      <c r="L11" s="2739"/>
      <c r="M11" s="2739"/>
      <c r="N11" s="2739"/>
      <c r="O11" s="2739"/>
      <c r="P11" s="2739"/>
      <c r="Q11" s="2735"/>
      <c r="R11" s="2737"/>
      <c r="S11" s="2739"/>
      <c r="T11" s="2739"/>
      <c r="U11" s="2739"/>
      <c r="V11" s="2739"/>
      <c r="W11" s="4373"/>
      <c r="X11" s="2739"/>
      <c r="Y11" s="2725"/>
      <c r="Z11" s="2758"/>
      <c r="AA11" s="2725"/>
      <c r="AB11" s="2725"/>
      <c r="AC11" s="2725"/>
      <c r="AD11" s="2725"/>
      <c r="AE11" s="2725"/>
      <c r="AF11" s="2725"/>
      <c r="AG11" s="2725"/>
      <c r="AH11" s="2725"/>
      <c r="AI11" s="2725"/>
      <c r="AJ11" s="2725"/>
      <c r="AK11" s="2725"/>
      <c r="AL11" s="2725"/>
      <c r="AM11" s="2725"/>
      <c r="AN11" s="2750"/>
      <c r="AO11" s="2753"/>
      <c r="AP11" s="2753"/>
      <c r="AQ11" s="2756"/>
    </row>
    <row r="12" spans="1:44" ht="30" customHeight="1" x14ac:dyDescent="0.2">
      <c r="A12" s="2728"/>
      <c r="B12" s="2721"/>
      <c r="C12" s="2741"/>
      <c r="D12" s="2741"/>
      <c r="E12" s="2721"/>
      <c r="F12" s="2741"/>
      <c r="G12" s="2741"/>
      <c r="H12" s="2721"/>
      <c r="I12" s="2741"/>
      <c r="J12" s="2741"/>
      <c r="K12" s="2721"/>
      <c r="L12" s="2739"/>
      <c r="M12" s="2739"/>
      <c r="N12" s="2739"/>
      <c r="O12" s="2739"/>
      <c r="P12" s="2739"/>
      <c r="Q12" s="2735"/>
      <c r="R12" s="2737"/>
      <c r="S12" s="2739"/>
      <c r="T12" s="2739"/>
      <c r="U12" s="2739"/>
      <c r="V12" s="2739"/>
      <c r="W12" s="4373"/>
      <c r="X12" s="2739"/>
      <c r="Y12" s="2726"/>
      <c r="Z12" s="2759"/>
      <c r="AA12" s="2726"/>
      <c r="AB12" s="2726"/>
      <c r="AC12" s="2726"/>
      <c r="AD12" s="2726"/>
      <c r="AE12" s="2726"/>
      <c r="AF12" s="2726"/>
      <c r="AG12" s="2726"/>
      <c r="AH12" s="2726"/>
      <c r="AI12" s="2726"/>
      <c r="AJ12" s="2726"/>
      <c r="AK12" s="2726"/>
      <c r="AL12" s="2726"/>
      <c r="AM12" s="2726"/>
      <c r="AN12" s="2751"/>
      <c r="AO12" s="2754"/>
      <c r="AP12" s="2754"/>
      <c r="AQ12" s="2756"/>
    </row>
    <row r="13" spans="1:44" ht="15.75" x14ac:dyDescent="0.2">
      <c r="A13" s="36">
        <v>5</v>
      </c>
      <c r="B13" s="37" t="s">
        <v>49</v>
      </c>
      <c r="C13" s="37"/>
      <c r="D13" s="37"/>
      <c r="E13" s="37"/>
      <c r="F13" s="37"/>
      <c r="G13" s="37"/>
      <c r="H13" s="37"/>
      <c r="I13" s="37"/>
      <c r="J13" s="38"/>
      <c r="K13" s="38"/>
      <c r="L13" s="43"/>
      <c r="M13" s="38"/>
      <c r="N13" s="38"/>
      <c r="O13" s="38"/>
      <c r="P13" s="38"/>
      <c r="Q13" s="39"/>
      <c r="R13" s="40"/>
      <c r="S13" s="38"/>
      <c r="T13" s="38"/>
      <c r="U13" s="38"/>
      <c r="V13" s="41"/>
      <c r="W13" s="42"/>
      <c r="X13" s="43"/>
      <c r="Y13" s="37"/>
      <c r="Z13" s="37"/>
      <c r="AA13" s="37"/>
      <c r="AB13" s="37"/>
      <c r="AC13" s="37"/>
      <c r="AD13" s="37"/>
      <c r="AE13" s="37"/>
      <c r="AF13" s="37"/>
      <c r="AG13" s="37"/>
      <c r="AH13" s="37"/>
      <c r="AI13" s="37"/>
      <c r="AJ13" s="37"/>
      <c r="AK13" s="37"/>
      <c r="AL13" s="37"/>
      <c r="AM13" s="37"/>
      <c r="AN13" s="37"/>
      <c r="AO13" s="44"/>
      <c r="AP13" s="44"/>
      <c r="AQ13" s="45"/>
    </row>
    <row r="14" spans="1:44" ht="15.75" x14ac:dyDescent="0.2">
      <c r="A14" s="46"/>
      <c r="B14" s="47"/>
      <c r="C14" s="48"/>
      <c r="D14" s="49">
        <v>28</v>
      </c>
      <c r="E14" s="50" t="s">
        <v>50</v>
      </c>
      <c r="F14" s="50"/>
      <c r="G14" s="50"/>
      <c r="H14" s="50"/>
      <c r="I14" s="50"/>
      <c r="J14" s="51"/>
      <c r="K14" s="51"/>
      <c r="L14" s="51"/>
      <c r="M14" s="51"/>
      <c r="N14" s="51"/>
      <c r="O14" s="51"/>
      <c r="P14" s="51"/>
      <c r="Q14" s="52"/>
      <c r="R14" s="53"/>
      <c r="S14" s="51"/>
      <c r="T14" s="51"/>
      <c r="U14" s="51"/>
      <c r="V14" s="54"/>
      <c r="W14" s="55"/>
      <c r="X14" s="56"/>
      <c r="Y14" s="50"/>
      <c r="Z14" s="50"/>
      <c r="AA14" s="50"/>
      <c r="AB14" s="50"/>
      <c r="AC14" s="50"/>
      <c r="AD14" s="50"/>
      <c r="AE14" s="50"/>
      <c r="AF14" s="50"/>
      <c r="AG14" s="50"/>
      <c r="AH14" s="50"/>
      <c r="AI14" s="50"/>
      <c r="AJ14" s="50"/>
      <c r="AK14" s="50"/>
      <c r="AL14" s="50"/>
      <c r="AM14" s="50"/>
      <c r="AN14" s="50"/>
      <c r="AO14" s="57"/>
      <c r="AP14" s="57"/>
      <c r="AQ14" s="58"/>
    </row>
    <row r="15" spans="1:44" ht="15.75" x14ac:dyDescent="0.2">
      <c r="A15" s="59"/>
      <c r="B15" s="60"/>
      <c r="C15" s="61"/>
      <c r="D15" s="62"/>
      <c r="E15" s="63"/>
      <c r="F15" s="64"/>
      <c r="G15" s="65">
        <v>89</v>
      </c>
      <c r="H15" s="66" t="s">
        <v>51</v>
      </c>
      <c r="I15" s="66"/>
      <c r="J15" s="67"/>
      <c r="K15" s="67"/>
      <c r="L15" s="67"/>
      <c r="M15" s="67"/>
      <c r="N15" s="67"/>
      <c r="O15" s="67"/>
      <c r="P15" s="67"/>
      <c r="Q15" s="68"/>
      <c r="R15" s="69"/>
      <c r="S15" s="67"/>
      <c r="T15" s="67"/>
      <c r="U15" s="67"/>
      <c r="V15" s="70"/>
      <c r="W15" s="71"/>
      <c r="X15" s="72"/>
      <c r="Y15" s="66"/>
      <c r="Z15" s="66"/>
      <c r="AA15" s="66"/>
      <c r="AB15" s="66"/>
      <c r="AC15" s="66"/>
      <c r="AD15" s="66"/>
      <c r="AE15" s="66"/>
      <c r="AF15" s="66"/>
      <c r="AG15" s="66"/>
      <c r="AH15" s="66"/>
      <c r="AI15" s="66"/>
      <c r="AJ15" s="66"/>
      <c r="AK15" s="66"/>
      <c r="AL15" s="66"/>
      <c r="AM15" s="66"/>
      <c r="AN15" s="66"/>
      <c r="AO15" s="73"/>
      <c r="AP15" s="73"/>
      <c r="AQ15" s="74"/>
    </row>
    <row r="16" spans="1:44" ht="51.75" customHeight="1" x14ac:dyDescent="0.2">
      <c r="A16" s="629"/>
      <c r="B16" s="630"/>
      <c r="C16" s="631"/>
      <c r="D16" s="632"/>
      <c r="E16" s="633"/>
      <c r="F16" s="634"/>
      <c r="G16" s="635"/>
      <c r="H16" s="636"/>
      <c r="I16" s="637"/>
      <c r="J16" s="4380">
        <v>282</v>
      </c>
      <c r="K16" s="3030" t="s">
        <v>52</v>
      </c>
      <c r="L16" s="3030" t="s">
        <v>53</v>
      </c>
      <c r="M16" s="4380">
        <v>2</v>
      </c>
      <c r="N16" s="4380" t="s">
        <v>2331</v>
      </c>
      <c r="O16" s="4389" t="s">
        <v>55</v>
      </c>
      <c r="P16" s="2691" t="s">
        <v>56</v>
      </c>
      <c r="Q16" s="4381" t="s">
        <v>2533</v>
      </c>
      <c r="R16" s="4383">
        <f>V16+V17</f>
        <v>0</v>
      </c>
      <c r="S16" s="4385" t="s">
        <v>57</v>
      </c>
      <c r="T16" s="4385" t="s">
        <v>58</v>
      </c>
      <c r="U16" s="1572" t="s">
        <v>59</v>
      </c>
      <c r="V16" s="1573">
        <f>396200-396200</f>
        <v>0</v>
      </c>
      <c r="W16" s="1574" t="s">
        <v>60</v>
      </c>
      <c r="X16" s="1420" t="s">
        <v>61</v>
      </c>
      <c r="Y16" s="2698">
        <v>292684</v>
      </c>
      <c r="Z16" s="2698">
        <v>282326</v>
      </c>
      <c r="AA16" s="2698">
        <v>135912</v>
      </c>
      <c r="AB16" s="2698">
        <v>45122</v>
      </c>
      <c r="AC16" s="2698">
        <v>307101</v>
      </c>
      <c r="AD16" s="2698">
        <v>86875</v>
      </c>
      <c r="AE16" s="2698">
        <v>2145</v>
      </c>
      <c r="AF16" s="2698">
        <v>12718</v>
      </c>
      <c r="AG16" s="2698">
        <v>26</v>
      </c>
      <c r="AH16" s="2698">
        <v>37</v>
      </c>
      <c r="AI16" s="2698">
        <v>0</v>
      </c>
      <c r="AJ16" s="2698">
        <v>0</v>
      </c>
      <c r="AK16" s="2698">
        <v>53164</v>
      </c>
      <c r="AL16" s="2698">
        <v>16982</v>
      </c>
      <c r="AM16" s="2698">
        <v>60013</v>
      </c>
      <c r="AN16" s="2698">
        <v>575010</v>
      </c>
      <c r="AO16" s="4374">
        <v>43467</v>
      </c>
      <c r="AP16" s="4374">
        <v>43830</v>
      </c>
      <c r="AQ16" s="4376" t="s">
        <v>2332</v>
      </c>
      <c r="AR16" s="326"/>
    </row>
    <row r="17" spans="1:44" ht="52.5" customHeight="1" x14ac:dyDescent="0.2">
      <c r="A17" s="629"/>
      <c r="B17" s="630"/>
      <c r="C17" s="631"/>
      <c r="D17" s="632"/>
      <c r="E17" s="633"/>
      <c r="F17" s="634"/>
      <c r="G17" s="638"/>
      <c r="H17" s="639"/>
      <c r="I17" s="640"/>
      <c r="J17" s="4387"/>
      <c r="K17" s="4388"/>
      <c r="L17" s="4388"/>
      <c r="M17" s="4387"/>
      <c r="N17" s="4387"/>
      <c r="O17" s="4390"/>
      <c r="P17" s="2692"/>
      <c r="Q17" s="4382"/>
      <c r="R17" s="4384"/>
      <c r="S17" s="4386"/>
      <c r="T17" s="4386"/>
      <c r="U17" s="1572" t="s">
        <v>2333</v>
      </c>
      <c r="V17" s="1573">
        <v>0</v>
      </c>
      <c r="W17" s="1575"/>
      <c r="X17" s="1420"/>
      <c r="Y17" s="4378"/>
      <c r="Z17" s="4378"/>
      <c r="AA17" s="4378"/>
      <c r="AB17" s="4378"/>
      <c r="AC17" s="4378"/>
      <c r="AD17" s="4378"/>
      <c r="AE17" s="4378"/>
      <c r="AF17" s="4378"/>
      <c r="AG17" s="4378"/>
      <c r="AH17" s="4378"/>
      <c r="AI17" s="4378"/>
      <c r="AJ17" s="4378"/>
      <c r="AK17" s="4378"/>
      <c r="AL17" s="4378"/>
      <c r="AM17" s="4378"/>
      <c r="AN17" s="4378"/>
      <c r="AO17" s="4375"/>
      <c r="AP17" s="4375"/>
      <c r="AQ17" s="4377"/>
    </row>
    <row r="18" spans="1:44" ht="48.75" customHeight="1" x14ac:dyDescent="0.2">
      <c r="A18" s="59"/>
      <c r="B18" s="60"/>
      <c r="C18" s="61"/>
      <c r="D18" s="75"/>
      <c r="E18" s="76"/>
      <c r="F18" s="77"/>
      <c r="G18" s="78"/>
      <c r="H18" s="79"/>
      <c r="I18" s="80"/>
      <c r="J18" s="2690">
        <v>284</v>
      </c>
      <c r="K18" s="4379" t="s">
        <v>2334</v>
      </c>
      <c r="L18" s="2693" t="s">
        <v>2335</v>
      </c>
      <c r="M18" s="2730">
        <v>1</v>
      </c>
      <c r="N18" s="2693" t="s">
        <v>2336</v>
      </c>
      <c r="O18" s="2730" t="s">
        <v>2337</v>
      </c>
      <c r="P18" s="2693" t="s">
        <v>2338</v>
      </c>
      <c r="Q18" s="4391">
        <f>SUM(V18:V22)/R18</f>
        <v>1</v>
      </c>
      <c r="R18" s="4393">
        <f>SUM(V18:V22)</f>
        <v>420151534</v>
      </c>
      <c r="S18" s="2693" t="s">
        <v>2339</v>
      </c>
      <c r="T18" s="4400" t="s">
        <v>57</v>
      </c>
      <c r="U18" s="4395" t="s">
        <v>2340</v>
      </c>
      <c r="V18" s="1576">
        <f>92500000-4025889-2348466</f>
        <v>86125645</v>
      </c>
      <c r="W18" s="1419">
        <v>20</v>
      </c>
      <c r="X18" s="1420" t="s">
        <v>61</v>
      </c>
      <c r="Y18" s="2715">
        <v>292684</v>
      </c>
      <c r="Z18" s="2713">
        <v>282326</v>
      </c>
      <c r="AA18" s="2713">
        <v>135912</v>
      </c>
      <c r="AB18" s="2713">
        <v>45122</v>
      </c>
      <c r="AC18" s="2713">
        <v>307101</v>
      </c>
      <c r="AD18" s="2713">
        <v>86875</v>
      </c>
      <c r="AE18" s="2713">
        <v>2145</v>
      </c>
      <c r="AF18" s="2713">
        <v>12718</v>
      </c>
      <c r="AG18" s="2713">
        <v>26</v>
      </c>
      <c r="AH18" s="2713">
        <v>37</v>
      </c>
      <c r="AI18" s="2713">
        <v>0</v>
      </c>
      <c r="AJ18" s="2713">
        <v>0</v>
      </c>
      <c r="AK18" s="2713">
        <v>53164</v>
      </c>
      <c r="AL18" s="2713">
        <v>16982</v>
      </c>
      <c r="AM18" s="2713">
        <v>60013</v>
      </c>
      <c r="AN18" s="2713">
        <v>575010</v>
      </c>
      <c r="AO18" s="4374">
        <v>43467</v>
      </c>
      <c r="AP18" s="4374">
        <v>43830</v>
      </c>
      <c r="AQ18" s="2709" t="s">
        <v>2341</v>
      </c>
      <c r="AR18" s="326"/>
    </row>
    <row r="19" spans="1:44" ht="48.75" customHeight="1" x14ac:dyDescent="0.2">
      <c r="A19" s="59"/>
      <c r="B19" s="60"/>
      <c r="C19" s="61"/>
      <c r="D19" s="75"/>
      <c r="E19" s="76"/>
      <c r="F19" s="77"/>
      <c r="G19" s="78"/>
      <c r="H19" s="79"/>
      <c r="I19" s="80"/>
      <c r="J19" s="3122"/>
      <c r="K19" s="2691"/>
      <c r="L19" s="3030"/>
      <c r="M19" s="4380"/>
      <c r="N19" s="3030"/>
      <c r="O19" s="4380"/>
      <c r="P19" s="3030"/>
      <c r="Q19" s="4392"/>
      <c r="R19" s="4394"/>
      <c r="S19" s="3030"/>
      <c r="T19" s="4401"/>
      <c r="U19" s="4396"/>
      <c r="V19" s="1577">
        <f>0+20000000</f>
        <v>20000000</v>
      </c>
      <c r="W19" s="1421">
        <v>88</v>
      </c>
      <c r="X19" s="1422" t="s">
        <v>135</v>
      </c>
      <c r="Y19" s="4399"/>
      <c r="Z19" s="2698"/>
      <c r="AA19" s="2698"/>
      <c r="AB19" s="2698"/>
      <c r="AC19" s="2698"/>
      <c r="AD19" s="2698"/>
      <c r="AE19" s="2698"/>
      <c r="AF19" s="2698"/>
      <c r="AG19" s="2698"/>
      <c r="AH19" s="2698"/>
      <c r="AI19" s="2698"/>
      <c r="AJ19" s="2698"/>
      <c r="AK19" s="2698"/>
      <c r="AL19" s="2698"/>
      <c r="AM19" s="2698"/>
      <c r="AN19" s="2698"/>
      <c r="AO19" s="4403"/>
      <c r="AP19" s="4403"/>
      <c r="AQ19" s="4398"/>
      <c r="AR19" s="326"/>
    </row>
    <row r="20" spans="1:44" ht="52.5" customHeight="1" x14ac:dyDescent="0.2">
      <c r="A20" s="59"/>
      <c r="B20" s="60"/>
      <c r="C20" s="61"/>
      <c r="D20" s="75"/>
      <c r="E20" s="76"/>
      <c r="F20" s="77"/>
      <c r="G20" s="78"/>
      <c r="H20" s="79"/>
      <c r="I20" s="80"/>
      <c r="J20" s="3122"/>
      <c r="K20" s="2691"/>
      <c r="L20" s="3030"/>
      <c r="M20" s="4380"/>
      <c r="N20" s="3030"/>
      <c r="O20" s="4380"/>
      <c r="P20" s="3030"/>
      <c r="Q20" s="4392"/>
      <c r="R20" s="4394"/>
      <c r="S20" s="3030"/>
      <c r="T20" s="4402"/>
      <c r="U20" s="4397" t="s">
        <v>2342</v>
      </c>
      <c r="V20" s="1581">
        <f>0+8342140</f>
        <v>8342140</v>
      </c>
      <c r="W20" s="1582">
        <v>20</v>
      </c>
      <c r="X20" s="1420" t="s">
        <v>61</v>
      </c>
      <c r="Y20" s="4399"/>
      <c r="Z20" s="2698"/>
      <c r="AA20" s="2698"/>
      <c r="AB20" s="2698"/>
      <c r="AC20" s="2698"/>
      <c r="AD20" s="2698"/>
      <c r="AE20" s="2698"/>
      <c r="AF20" s="2698"/>
      <c r="AG20" s="2698"/>
      <c r="AH20" s="2698"/>
      <c r="AI20" s="2698"/>
      <c r="AJ20" s="2698"/>
      <c r="AK20" s="2698"/>
      <c r="AL20" s="2698"/>
      <c r="AM20" s="2698"/>
      <c r="AN20" s="2698"/>
      <c r="AO20" s="4403"/>
      <c r="AP20" s="4403"/>
      <c r="AQ20" s="4398"/>
      <c r="AR20" s="326"/>
    </row>
    <row r="21" spans="1:44" ht="52.5" customHeight="1" x14ac:dyDescent="0.2">
      <c r="A21" s="59"/>
      <c r="B21" s="60"/>
      <c r="C21" s="61"/>
      <c r="D21" s="75"/>
      <c r="E21" s="76"/>
      <c r="F21" s="77"/>
      <c r="G21" s="78"/>
      <c r="H21" s="79"/>
      <c r="I21" s="80"/>
      <c r="J21" s="3122"/>
      <c r="K21" s="2691"/>
      <c r="L21" s="3030"/>
      <c r="M21" s="4380"/>
      <c r="N21" s="3030"/>
      <c r="O21" s="4380"/>
      <c r="P21" s="3030"/>
      <c r="Q21" s="4392"/>
      <c r="R21" s="4394"/>
      <c r="S21" s="3030"/>
      <c r="T21" s="4402"/>
      <c r="U21" s="4397"/>
      <c r="V21" s="1581">
        <f>0+300000000</f>
        <v>300000000</v>
      </c>
      <c r="W21" s="1583">
        <v>88</v>
      </c>
      <c r="X21" s="1422" t="s">
        <v>135</v>
      </c>
      <c r="Y21" s="4399"/>
      <c r="Z21" s="2698"/>
      <c r="AA21" s="2698"/>
      <c r="AB21" s="2698"/>
      <c r="AC21" s="2698"/>
      <c r="AD21" s="2698"/>
      <c r="AE21" s="2698"/>
      <c r="AF21" s="2698"/>
      <c r="AG21" s="2698"/>
      <c r="AH21" s="2698"/>
      <c r="AI21" s="2698"/>
      <c r="AJ21" s="2698"/>
      <c r="AK21" s="2698"/>
      <c r="AL21" s="2698"/>
      <c r="AM21" s="2698"/>
      <c r="AN21" s="2698"/>
      <c r="AO21" s="4403"/>
      <c r="AP21" s="4403"/>
      <c r="AQ21" s="4398"/>
      <c r="AR21" s="1418" t="s">
        <v>2343</v>
      </c>
    </row>
    <row r="22" spans="1:44" ht="88.5" customHeight="1" x14ac:dyDescent="0.2">
      <c r="A22" s="59"/>
      <c r="B22" s="60"/>
      <c r="C22" s="61"/>
      <c r="D22" s="75"/>
      <c r="E22" s="76"/>
      <c r="F22" s="77"/>
      <c r="G22" s="78"/>
      <c r="H22" s="79"/>
      <c r="I22" s="80"/>
      <c r="J22" s="3122"/>
      <c r="K22" s="2691"/>
      <c r="L22" s="3030"/>
      <c r="M22" s="4380"/>
      <c r="N22" s="3030"/>
      <c r="O22" s="4380"/>
      <c r="P22" s="3030"/>
      <c r="Q22" s="4392"/>
      <c r="R22" s="4394"/>
      <c r="S22" s="3030"/>
      <c r="T22" s="1846" t="s">
        <v>2344</v>
      </c>
      <c r="U22" s="1578" t="s">
        <v>2345</v>
      </c>
      <c r="V22" s="1584">
        <f>10000000-4316251</f>
        <v>5683749</v>
      </c>
      <c r="W22" s="1421">
        <v>20</v>
      </c>
      <c r="X22" s="1422" t="s">
        <v>61</v>
      </c>
      <c r="Y22" s="4399"/>
      <c r="Z22" s="2698"/>
      <c r="AA22" s="2698"/>
      <c r="AB22" s="2698"/>
      <c r="AC22" s="2698"/>
      <c r="AD22" s="2698"/>
      <c r="AE22" s="2698"/>
      <c r="AF22" s="2698"/>
      <c r="AG22" s="2698"/>
      <c r="AH22" s="2698"/>
      <c r="AI22" s="2698"/>
      <c r="AJ22" s="2698"/>
      <c r="AK22" s="2698"/>
      <c r="AL22" s="2698"/>
      <c r="AM22" s="2698"/>
      <c r="AN22" s="2698"/>
      <c r="AO22" s="4403"/>
      <c r="AP22" s="4403"/>
      <c r="AQ22" s="4398"/>
    </row>
    <row r="23" spans="1:44" ht="63" customHeight="1" x14ac:dyDescent="0.2">
      <c r="A23" s="59"/>
      <c r="B23" s="60"/>
      <c r="C23" s="61"/>
      <c r="D23" s="75"/>
      <c r="E23" s="76"/>
      <c r="F23" s="1354"/>
      <c r="G23" s="1357"/>
      <c r="H23" s="79"/>
      <c r="I23" s="1355"/>
      <c r="J23" s="4407">
        <v>285</v>
      </c>
      <c r="K23" s="4407" t="s">
        <v>76</v>
      </c>
      <c r="L23" s="4408" t="s">
        <v>77</v>
      </c>
      <c r="M23" s="4408">
        <v>1</v>
      </c>
      <c r="N23" s="4408" t="s">
        <v>2346</v>
      </c>
      <c r="O23" s="4408" t="s">
        <v>79</v>
      </c>
      <c r="P23" s="4408" t="s">
        <v>80</v>
      </c>
      <c r="Q23" s="4409">
        <f>SUM(V23:V24)/R23</f>
        <v>1</v>
      </c>
      <c r="R23" s="4410">
        <f>SUM(V23:V24)</f>
        <v>93739999</v>
      </c>
      <c r="S23" s="4407" t="s">
        <v>81</v>
      </c>
      <c r="T23" s="4407" t="s">
        <v>82</v>
      </c>
      <c r="U23" s="4411" t="s">
        <v>83</v>
      </c>
      <c r="V23" s="1454">
        <f>10995333+2744666</f>
        <v>13739999</v>
      </c>
      <c r="W23" s="1579">
        <v>20</v>
      </c>
      <c r="X23" s="1580" t="s">
        <v>61</v>
      </c>
      <c r="Y23" s="4404">
        <v>292684</v>
      </c>
      <c r="Z23" s="4404">
        <v>282326</v>
      </c>
      <c r="AA23" s="4404">
        <v>135912</v>
      </c>
      <c r="AB23" s="4404">
        <v>45122</v>
      </c>
      <c r="AC23" s="4404">
        <v>307101</v>
      </c>
      <c r="AD23" s="4404">
        <v>86875</v>
      </c>
      <c r="AE23" s="4404">
        <v>2145</v>
      </c>
      <c r="AF23" s="4404">
        <v>12718</v>
      </c>
      <c r="AG23" s="4404">
        <v>26</v>
      </c>
      <c r="AH23" s="4404">
        <v>37</v>
      </c>
      <c r="AI23" s="4404">
        <v>0</v>
      </c>
      <c r="AJ23" s="4404">
        <v>0</v>
      </c>
      <c r="AK23" s="4404">
        <v>53164</v>
      </c>
      <c r="AL23" s="4404">
        <v>16982</v>
      </c>
      <c r="AM23" s="4404">
        <v>60013</v>
      </c>
      <c r="AN23" s="4404">
        <v>575010</v>
      </c>
      <c r="AO23" s="4405">
        <v>43467</v>
      </c>
      <c r="AP23" s="4405">
        <v>43830</v>
      </c>
      <c r="AQ23" s="4406" t="s">
        <v>2341</v>
      </c>
      <c r="AR23" s="326"/>
    </row>
    <row r="24" spans="1:44" ht="56.25" customHeight="1" thickBot="1" x14ac:dyDescent="0.25">
      <c r="A24" s="1353"/>
      <c r="B24" s="60"/>
      <c r="C24" s="1353"/>
      <c r="D24" s="1354"/>
      <c r="E24" s="76"/>
      <c r="F24" s="1354"/>
      <c r="G24" s="1357"/>
      <c r="H24" s="79"/>
      <c r="I24" s="1355"/>
      <c r="J24" s="4407"/>
      <c r="K24" s="4407"/>
      <c r="L24" s="4408"/>
      <c r="M24" s="4408"/>
      <c r="N24" s="4408"/>
      <c r="O24" s="4408"/>
      <c r="P24" s="4408"/>
      <c r="Q24" s="4409"/>
      <c r="R24" s="4410"/>
      <c r="S24" s="4407"/>
      <c r="T24" s="4407"/>
      <c r="U24" s="4411"/>
      <c r="V24" s="1454">
        <v>80000000</v>
      </c>
      <c r="W24" s="1579">
        <v>88</v>
      </c>
      <c r="X24" s="1580" t="s">
        <v>135</v>
      </c>
      <c r="Y24" s="4404"/>
      <c r="Z24" s="4404"/>
      <c r="AA24" s="4404"/>
      <c r="AB24" s="4404"/>
      <c r="AC24" s="4404"/>
      <c r="AD24" s="4404"/>
      <c r="AE24" s="4404"/>
      <c r="AF24" s="4404"/>
      <c r="AG24" s="4404"/>
      <c r="AH24" s="4404"/>
      <c r="AI24" s="4404"/>
      <c r="AJ24" s="4404"/>
      <c r="AK24" s="4404"/>
      <c r="AL24" s="4404"/>
      <c r="AM24" s="4404"/>
      <c r="AN24" s="4404"/>
      <c r="AO24" s="4405"/>
      <c r="AP24" s="4405"/>
      <c r="AQ24" s="4406"/>
      <c r="AR24" s="1356" t="s">
        <v>2347</v>
      </c>
    </row>
    <row r="25" spans="1:44" ht="21.75" customHeight="1" thickBot="1" x14ac:dyDescent="0.3">
      <c r="A25" s="1053" t="s">
        <v>115</v>
      </c>
      <c r="B25" s="97"/>
      <c r="C25" s="97"/>
      <c r="D25" s="97"/>
      <c r="E25" s="97"/>
      <c r="F25" s="97"/>
      <c r="G25" s="97"/>
      <c r="H25" s="97"/>
      <c r="I25" s="97"/>
      <c r="J25" s="1358"/>
      <c r="K25" s="1359"/>
      <c r="L25" s="1360"/>
      <c r="M25" s="1361"/>
      <c r="N25" s="1359"/>
      <c r="O25" s="1360"/>
      <c r="P25" s="1360"/>
      <c r="Q25" s="1362"/>
      <c r="R25" s="1363">
        <f>SUM(R16:R24)</f>
        <v>513891533</v>
      </c>
      <c r="S25" s="1364"/>
      <c r="T25" s="1359"/>
      <c r="U25" s="1365"/>
      <c r="V25" s="1366">
        <f>SUM(V16:V24)</f>
        <v>513891533</v>
      </c>
      <c r="W25" s="1367"/>
      <c r="X25" s="1368"/>
      <c r="Y25" s="1369"/>
      <c r="Z25" s="1369"/>
      <c r="AA25" s="1369"/>
      <c r="AB25" s="1369"/>
      <c r="AC25" s="1369"/>
      <c r="AD25" s="1369"/>
      <c r="AE25" s="1368"/>
      <c r="AF25" s="1368"/>
      <c r="AG25" s="1368"/>
      <c r="AH25" s="1368"/>
      <c r="AI25" s="1368"/>
      <c r="AJ25" s="1368"/>
      <c r="AK25" s="1368"/>
      <c r="AL25" s="1368"/>
      <c r="AM25" s="1368"/>
      <c r="AN25" s="1368"/>
      <c r="AO25" s="1370"/>
      <c r="AP25" s="1370"/>
      <c r="AQ25" s="1371"/>
    </row>
    <row r="31" spans="1:44" ht="15.75" x14ac:dyDescent="0.25">
      <c r="K31" s="121" t="s">
        <v>2348</v>
      </c>
    </row>
    <row r="32" spans="1:44" x14ac:dyDescent="0.2">
      <c r="K32" s="25" t="s">
        <v>2349</v>
      </c>
    </row>
  </sheetData>
  <sheetProtection password="A60F" sheet="1" objects="1" scenarios="1"/>
  <mergeCells count="141">
    <mergeCell ref="J23:J24"/>
    <mergeCell ref="K23:K24"/>
    <mergeCell ref="L23:L24"/>
    <mergeCell ref="M23:M24"/>
    <mergeCell ref="AI23:AI24"/>
    <mergeCell ref="AJ23:AJ24"/>
    <mergeCell ref="AK23:AK24"/>
    <mergeCell ref="AL23:AL24"/>
    <mergeCell ref="AM23:AM24"/>
    <mergeCell ref="N23:N24"/>
    <mergeCell ref="O23:O24"/>
    <mergeCell ref="P23:P24"/>
    <mergeCell ref="Q23:Q24"/>
    <mergeCell ref="R23:R24"/>
    <mergeCell ref="S23:S24"/>
    <mergeCell ref="T23:T24"/>
    <mergeCell ref="U23:U24"/>
    <mergeCell ref="Y23:Y24"/>
    <mergeCell ref="AN23:AN24"/>
    <mergeCell ref="AO23:AO24"/>
    <mergeCell ref="AP23:AP24"/>
    <mergeCell ref="AQ23:AQ24"/>
    <mergeCell ref="Z23:Z24"/>
    <mergeCell ref="AA23:AA24"/>
    <mergeCell ref="AB23:AB24"/>
    <mergeCell ref="AC23:AC24"/>
    <mergeCell ref="AD23:AD24"/>
    <mergeCell ref="AE23:AE24"/>
    <mergeCell ref="AF23:AF24"/>
    <mergeCell ref="AG23:AG24"/>
    <mergeCell ref="AH23:AH24"/>
    <mergeCell ref="AQ18:AQ22"/>
    <mergeCell ref="AF18:AF22"/>
    <mergeCell ref="AG18:AG22"/>
    <mergeCell ref="AH18:AH22"/>
    <mergeCell ref="AI18:AI22"/>
    <mergeCell ref="AJ18:AJ22"/>
    <mergeCell ref="AK18:AK22"/>
    <mergeCell ref="Y18:Y22"/>
    <mergeCell ref="T18:T21"/>
    <mergeCell ref="AL18:AL22"/>
    <mergeCell ref="AA18:AA22"/>
    <mergeCell ref="AB18:AB22"/>
    <mergeCell ref="AC18:AC22"/>
    <mergeCell ref="AD18:AD22"/>
    <mergeCell ref="AE18:AE22"/>
    <mergeCell ref="AN18:AN22"/>
    <mergeCell ref="AO18:AO22"/>
    <mergeCell ref="AP18:AP22"/>
    <mergeCell ref="Z16:Z17"/>
    <mergeCell ref="AM18:AM22"/>
    <mergeCell ref="AA16:AA17"/>
    <mergeCell ref="AB16:AB17"/>
    <mergeCell ref="AC16:AC17"/>
    <mergeCell ref="AD16:AD17"/>
    <mergeCell ref="AE16:AE17"/>
    <mergeCell ref="T16:T17"/>
    <mergeCell ref="Y16:Y17"/>
    <mergeCell ref="Z18:Z22"/>
    <mergeCell ref="U18:U19"/>
    <mergeCell ref="U20:U21"/>
    <mergeCell ref="J18:J22"/>
    <mergeCell ref="K18:K22"/>
    <mergeCell ref="L18:L22"/>
    <mergeCell ref="M18:M22"/>
    <mergeCell ref="N18:N22"/>
    <mergeCell ref="P16:P17"/>
    <mergeCell ref="Q16:Q17"/>
    <mergeCell ref="R16:R17"/>
    <mergeCell ref="S16:S17"/>
    <mergeCell ref="J16:J17"/>
    <mergeCell ref="K16:K17"/>
    <mergeCell ref="L16:L17"/>
    <mergeCell ref="M16:M17"/>
    <mergeCell ref="N16:N17"/>
    <mergeCell ref="O16:O17"/>
    <mergeCell ref="O18:O22"/>
    <mergeCell ref="P18:P22"/>
    <mergeCell ref="Q18:Q22"/>
    <mergeCell ref="R18:R22"/>
    <mergeCell ref="S18:S22"/>
    <mergeCell ref="AO7:AO12"/>
    <mergeCell ref="AP7:AP12"/>
    <mergeCell ref="AP16:AP17"/>
    <mergeCell ref="AQ16:AQ17"/>
    <mergeCell ref="AF16:AF17"/>
    <mergeCell ref="AG16:AG17"/>
    <mergeCell ref="AH16:AH17"/>
    <mergeCell ref="AI16:AI17"/>
    <mergeCell ref="AJ16:AJ17"/>
    <mergeCell ref="AK16:AK17"/>
    <mergeCell ref="AL16:AL17"/>
    <mergeCell ref="AM16:AM17"/>
    <mergeCell ref="AN16:AN17"/>
    <mergeCell ref="AO16:AO17"/>
    <mergeCell ref="AE7:AJ7"/>
    <mergeCell ref="AK7:AM7"/>
    <mergeCell ref="AM8:AM12"/>
    <mergeCell ref="AE8:AE12"/>
    <mergeCell ref="AF8:AF12"/>
    <mergeCell ref="AG8:AG12"/>
    <mergeCell ref="AH8:AH12"/>
    <mergeCell ref="AI8:AI12"/>
    <mergeCell ref="AJ8:AJ12"/>
    <mergeCell ref="AK8:AK12"/>
    <mergeCell ref="AL8:AL12"/>
    <mergeCell ref="AN7:AN12"/>
    <mergeCell ref="Y8:Y12"/>
    <mergeCell ref="Z8:Z12"/>
    <mergeCell ref="AA8:AA12"/>
    <mergeCell ref="AB8:AB12"/>
    <mergeCell ref="AC8:AC12"/>
    <mergeCell ref="V7:V12"/>
    <mergeCell ref="X7:X12"/>
    <mergeCell ref="Y7:Z7"/>
    <mergeCell ref="AA7:AD7"/>
    <mergeCell ref="AD8:AD12"/>
    <mergeCell ref="A1:AO4"/>
    <mergeCell ref="A5:M6"/>
    <mergeCell ref="N5:AQ5"/>
    <mergeCell ref="Y6:AM6"/>
    <mergeCell ref="A7:A12"/>
    <mergeCell ref="B7:C12"/>
    <mergeCell ref="D7:D12"/>
    <mergeCell ref="E7:F12"/>
    <mergeCell ref="G7:G12"/>
    <mergeCell ref="H7:I12"/>
    <mergeCell ref="P7:P12"/>
    <mergeCell ref="Q7:Q12"/>
    <mergeCell ref="R7:R12"/>
    <mergeCell ref="S7:S12"/>
    <mergeCell ref="T7:T12"/>
    <mergeCell ref="U7:U12"/>
    <mergeCell ref="J7:J12"/>
    <mergeCell ref="K7:K12"/>
    <mergeCell ref="L7:L12"/>
    <mergeCell ref="M7:M12"/>
    <mergeCell ref="N7:N12"/>
    <mergeCell ref="O7:O12"/>
    <mergeCell ref="AQ7:AQ12"/>
    <mergeCell ref="W8:W12"/>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7"/>
  <sheetViews>
    <sheetView showGridLines="0" zoomScale="60" zoomScaleNormal="60" workbookViewId="0">
      <selection sqref="A1:AO4"/>
    </sheetView>
  </sheetViews>
  <sheetFormatPr baseColWidth="10" defaultColWidth="11.42578125" defaultRowHeight="27" customHeight="1" x14ac:dyDescent="0.2"/>
  <cols>
    <col min="1" max="1" width="14.5703125" style="389" customWidth="1"/>
    <col min="2" max="2" width="15.85546875" style="362" customWidth="1"/>
    <col min="3" max="3" width="10.42578125" style="362" customWidth="1"/>
    <col min="4" max="4" width="22.5703125" style="362" customWidth="1"/>
    <col min="5" max="5" width="20.7109375" style="362" customWidth="1"/>
    <col min="6" max="6" width="20.42578125" style="362" customWidth="1"/>
    <col min="7" max="7" width="16" style="362" customWidth="1"/>
    <col min="8" max="8" width="13.5703125" style="362" customWidth="1"/>
    <col min="9" max="9" width="15.28515625" style="362" customWidth="1"/>
    <col min="10" max="10" width="20.140625" style="362" customWidth="1"/>
    <col min="11" max="11" width="35.140625" style="390" customWidth="1"/>
    <col min="12" max="12" width="25.7109375" style="369" customWidth="1"/>
    <col min="13" max="13" width="33.28515625" style="391" customWidth="1"/>
    <col min="14" max="14" width="22.140625" style="369" customWidth="1"/>
    <col min="15" max="15" width="28.7109375" style="391" customWidth="1"/>
    <col min="16" max="16" width="32.85546875" style="390" customWidth="1"/>
    <col min="17" max="17" width="17.85546875" style="392" customWidth="1"/>
    <col min="18" max="18" width="26.7109375" style="2687" customWidth="1"/>
    <col min="19" max="19" width="34.5703125" style="390" customWidth="1"/>
    <col min="20" max="20" width="33.42578125" style="390" customWidth="1"/>
    <col min="21" max="21" width="41.7109375" style="390" customWidth="1"/>
    <col min="22" max="22" width="32" style="1654" customWidth="1"/>
    <col min="23" max="23" width="19.140625" style="393" customWidth="1"/>
    <col min="24" max="24" width="32.28515625" style="2611" customWidth="1"/>
    <col min="25" max="25" width="10.5703125" style="362" customWidth="1"/>
    <col min="26" max="26" width="10.85546875" style="362" customWidth="1"/>
    <col min="27" max="27" width="11.28515625" style="362" customWidth="1"/>
    <col min="28" max="28" width="9" style="362" customWidth="1"/>
    <col min="29" max="29" width="8.42578125" style="362" customWidth="1"/>
    <col min="30" max="30" width="9.5703125" style="362" customWidth="1"/>
    <col min="31" max="31" width="6.28515625" style="362" customWidth="1"/>
    <col min="32" max="32" width="5.85546875" style="362" customWidth="1"/>
    <col min="33" max="34" width="4.42578125" style="362" customWidth="1"/>
    <col min="35" max="35" width="5" style="362" customWidth="1"/>
    <col min="36" max="36" width="5.85546875" style="362" customWidth="1"/>
    <col min="37" max="37" width="6.140625" style="362" customWidth="1"/>
    <col min="38" max="38" width="6.28515625" style="362" customWidth="1"/>
    <col min="39" max="39" width="4.85546875" style="362" customWidth="1"/>
    <col min="40" max="40" width="10.85546875" style="362" customWidth="1"/>
    <col min="41" max="41" width="22.140625" style="690" customWidth="1"/>
    <col min="42" max="42" width="24" style="395" customWidth="1"/>
    <col min="43" max="43" width="31.140625" style="819" customWidth="1"/>
    <col min="44" max="16384" width="11.42578125" style="362"/>
  </cols>
  <sheetData>
    <row r="1" spans="1:62" ht="24.75" customHeight="1" x14ac:dyDescent="0.2">
      <c r="A1" s="2976" t="s">
        <v>2567</v>
      </c>
      <c r="B1" s="4478"/>
      <c r="C1" s="4478"/>
      <c r="D1" s="4478"/>
      <c r="E1" s="4478"/>
      <c r="F1" s="4478"/>
      <c r="G1" s="4478"/>
      <c r="H1" s="4478"/>
      <c r="I1" s="4478"/>
      <c r="J1" s="4478"/>
      <c r="K1" s="4478"/>
      <c r="L1" s="4478"/>
      <c r="M1" s="4478"/>
      <c r="N1" s="4478"/>
      <c r="O1" s="4478"/>
      <c r="P1" s="4478"/>
      <c r="Q1" s="4478"/>
      <c r="R1" s="4478"/>
      <c r="S1" s="4478"/>
      <c r="T1" s="4478"/>
      <c r="U1" s="4478"/>
      <c r="V1" s="4478"/>
      <c r="W1" s="4478"/>
      <c r="X1" s="4478"/>
      <c r="Y1" s="4478"/>
      <c r="Z1" s="4478"/>
      <c r="AA1" s="4478"/>
      <c r="AB1" s="4478"/>
      <c r="AC1" s="4478"/>
      <c r="AD1" s="4478"/>
      <c r="AE1" s="4478"/>
      <c r="AF1" s="4478"/>
      <c r="AG1" s="4478"/>
      <c r="AH1" s="4478"/>
      <c r="AI1" s="4478"/>
      <c r="AJ1" s="4478"/>
      <c r="AK1" s="4478"/>
      <c r="AL1" s="4478"/>
      <c r="AM1" s="4478"/>
      <c r="AN1" s="4478"/>
      <c r="AO1" s="4479"/>
      <c r="AP1" s="974" t="s">
        <v>0</v>
      </c>
      <c r="AQ1" s="975" t="s">
        <v>118</v>
      </c>
      <c r="AR1" s="369"/>
      <c r="AS1" s="369"/>
      <c r="AT1" s="369"/>
      <c r="AU1" s="369"/>
      <c r="AV1" s="369"/>
      <c r="AW1" s="369"/>
      <c r="AX1" s="369"/>
      <c r="AY1" s="369"/>
      <c r="AZ1" s="369"/>
      <c r="BA1" s="369"/>
      <c r="BB1" s="369"/>
      <c r="BC1" s="369"/>
      <c r="BD1" s="369"/>
      <c r="BE1" s="369"/>
      <c r="BF1" s="369"/>
      <c r="BG1" s="369"/>
      <c r="BH1" s="369"/>
      <c r="BI1" s="369"/>
      <c r="BJ1" s="369"/>
    </row>
    <row r="2" spans="1:62" ht="24.75" customHeight="1" x14ac:dyDescent="0.2">
      <c r="A2" s="4480"/>
      <c r="B2" s="3641"/>
      <c r="C2" s="3641"/>
      <c r="D2" s="3641"/>
      <c r="E2" s="3641"/>
      <c r="F2" s="3641"/>
      <c r="G2" s="3641"/>
      <c r="H2" s="3641"/>
      <c r="I2" s="3641"/>
      <c r="J2" s="3641"/>
      <c r="K2" s="3641"/>
      <c r="L2" s="3641"/>
      <c r="M2" s="3641"/>
      <c r="N2" s="3641"/>
      <c r="O2" s="3641"/>
      <c r="P2" s="3641"/>
      <c r="Q2" s="3641"/>
      <c r="R2" s="3641"/>
      <c r="S2" s="3641"/>
      <c r="T2" s="3641"/>
      <c r="U2" s="3641"/>
      <c r="V2" s="3641"/>
      <c r="W2" s="3641"/>
      <c r="X2" s="3641"/>
      <c r="Y2" s="3641"/>
      <c r="Z2" s="3641"/>
      <c r="AA2" s="3641"/>
      <c r="AB2" s="3641"/>
      <c r="AC2" s="3641"/>
      <c r="AD2" s="3641"/>
      <c r="AE2" s="3641"/>
      <c r="AF2" s="3641"/>
      <c r="AG2" s="3641"/>
      <c r="AH2" s="3641"/>
      <c r="AI2" s="3641"/>
      <c r="AJ2" s="3641"/>
      <c r="AK2" s="3641"/>
      <c r="AL2" s="3641"/>
      <c r="AM2" s="3641"/>
      <c r="AN2" s="3641"/>
      <c r="AO2" s="3642"/>
      <c r="AP2" s="619" t="s">
        <v>2</v>
      </c>
      <c r="AQ2" s="976" t="s">
        <v>119</v>
      </c>
      <c r="AR2" s="369"/>
      <c r="AS2" s="369"/>
      <c r="AT2" s="369"/>
      <c r="AU2" s="369"/>
      <c r="AV2" s="369"/>
      <c r="AW2" s="369"/>
      <c r="AX2" s="369"/>
      <c r="AY2" s="369"/>
      <c r="AZ2" s="369"/>
      <c r="BA2" s="369"/>
      <c r="BB2" s="369"/>
      <c r="BC2" s="369"/>
      <c r="BD2" s="369"/>
      <c r="BE2" s="369"/>
      <c r="BF2" s="369"/>
      <c r="BG2" s="369"/>
      <c r="BH2" s="369"/>
      <c r="BI2" s="369"/>
      <c r="BJ2" s="369"/>
    </row>
    <row r="3" spans="1:62" ht="24.75" customHeight="1" x14ac:dyDescent="0.2">
      <c r="A3" s="4480"/>
      <c r="B3" s="3641"/>
      <c r="C3" s="3641"/>
      <c r="D3" s="3641"/>
      <c r="E3" s="3641"/>
      <c r="F3" s="3641"/>
      <c r="G3" s="3641"/>
      <c r="H3" s="3641"/>
      <c r="I3" s="3641"/>
      <c r="J3" s="3641"/>
      <c r="K3" s="3641"/>
      <c r="L3" s="3641"/>
      <c r="M3" s="3641"/>
      <c r="N3" s="3641"/>
      <c r="O3" s="3641"/>
      <c r="P3" s="3641"/>
      <c r="Q3" s="3641"/>
      <c r="R3" s="3641"/>
      <c r="S3" s="3641"/>
      <c r="T3" s="3641"/>
      <c r="U3" s="3641"/>
      <c r="V3" s="3641"/>
      <c r="W3" s="3641"/>
      <c r="X3" s="3641"/>
      <c r="Y3" s="3641"/>
      <c r="Z3" s="3641"/>
      <c r="AA3" s="3641"/>
      <c r="AB3" s="3641"/>
      <c r="AC3" s="3641"/>
      <c r="AD3" s="3641"/>
      <c r="AE3" s="3641"/>
      <c r="AF3" s="3641"/>
      <c r="AG3" s="3641"/>
      <c r="AH3" s="3641"/>
      <c r="AI3" s="3641"/>
      <c r="AJ3" s="3641"/>
      <c r="AK3" s="3641"/>
      <c r="AL3" s="3641"/>
      <c r="AM3" s="3641"/>
      <c r="AN3" s="3641"/>
      <c r="AO3" s="3642"/>
      <c r="AP3" s="616" t="s">
        <v>4</v>
      </c>
      <c r="AQ3" s="976" t="s">
        <v>5</v>
      </c>
      <c r="AR3" s="369"/>
      <c r="AS3" s="369"/>
      <c r="AT3" s="369"/>
      <c r="AU3" s="369"/>
      <c r="AV3" s="369"/>
      <c r="AW3" s="369"/>
      <c r="AX3" s="369"/>
      <c r="AY3" s="369"/>
      <c r="AZ3" s="369"/>
      <c r="BA3" s="369"/>
      <c r="BB3" s="369"/>
      <c r="BC3" s="369"/>
      <c r="BD3" s="369"/>
      <c r="BE3" s="369"/>
      <c r="BF3" s="369"/>
      <c r="BG3" s="369"/>
      <c r="BH3" s="369"/>
      <c r="BI3" s="369"/>
      <c r="BJ3" s="369"/>
    </row>
    <row r="4" spans="1:62" ht="24.75" customHeight="1" x14ac:dyDescent="0.2">
      <c r="A4" s="4481"/>
      <c r="B4" s="3643"/>
      <c r="C4" s="3643"/>
      <c r="D4" s="3643"/>
      <c r="E4" s="3643"/>
      <c r="F4" s="3643"/>
      <c r="G4" s="3643"/>
      <c r="H4" s="3643"/>
      <c r="I4" s="3643"/>
      <c r="J4" s="3643"/>
      <c r="K4" s="3643"/>
      <c r="L4" s="3643"/>
      <c r="M4" s="3643"/>
      <c r="N4" s="3643"/>
      <c r="O4" s="3643"/>
      <c r="P4" s="3643"/>
      <c r="Q4" s="3643"/>
      <c r="R4" s="3643"/>
      <c r="S4" s="3643"/>
      <c r="T4" s="3643"/>
      <c r="U4" s="3643"/>
      <c r="V4" s="3643"/>
      <c r="W4" s="3643"/>
      <c r="X4" s="3643"/>
      <c r="Y4" s="3643"/>
      <c r="Z4" s="3643"/>
      <c r="AA4" s="3643"/>
      <c r="AB4" s="3643"/>
      <c r="AC4" s="3643"/>
      <c r="AD4" s="3643"/>
      <c r="AE4" s="3643"/>
      <c r="AF4" s="3643"/>
      <c r="AG4" s="3643"/>
      <c r="AH4" s="3643"/>
      <c r="AI4" s="3643"/>
      <c r="AJ4" s="3643"/>
      <c r="AK4" s="3643"/>
      <c r="AL4" s="3643"/>
      <c r="AM4" s="3643"/>
      <c r="AN4" s="3643"/>
      <c r="AO4" s="3644"/>
      <c r="AP4" s="616" t="s">
        <v>6</v>
      </c>
      <c r="AQ4" s="977" t="s">
        <v>7</v>
      </c>
      <c r="AR4" s="369"/>
      <c r="AS4" s="369"/>
      <c r="AT4" s="369"/>
      <c r="AU4" s="369"/>
      <c r="AV4" s="369"/>
      <c r="AW4" s="369"/>
      <c r="AX4" s="369"/>
      <c r="AY4" s="369"/>
      <c r="AZ4" s="369"/>
      <c r="BA4" s="369"/>
      <c r="BB4" s="369"/>
      <c r="BC4" s="369"/>
      <c r="BD4" s="369"/>
      <c r="BE4" s="369"/>
      <c r="BF4" s="369"/>
      <c r="BG4" s="369"/>
      <c r="BH4" s="369"/>
      <c r="BI4" s="369"/>
      <c r="BJ4" s="369"/>
    </row>
    <row r="5" spans="1:62" ht="30" customHeight="1" x14ac:dyDescent="0.2">
      <c r="A5" s="3085" t="s">
        <v>8</v>
      </c>
      <c r="B5" s="3086"/>
      <c r="C5" s="3086"/>
      <c r="D5" s="3086"/>
      <c r="E5" s="3086"/>
      <c r="F5" s="3086"/>
      <c r="G5" s="3086"/>
      <c r="H5" s="3086"/>
      <c r="I5" s="3086"/>
      <c r="J5" s="3086"/>
      <c r="K5" s="3086"/>
      <c r="L5" s="3086"/>
      <c r="M5" s="3086"/>
      <c r="N5" s="3088" t="s">
        <v>9</v>
      </c>
      <c r="O5" s="3088"/>
      <c r="P5" s="3088"/>
      <c r="Q5" s="3088"/>
      <c r="R5" s="3088"/>
      <c r="S5" s="3088"/>
      <c r="T5" s="3088"/>
      <c r="U5" s="3088"/>
      <c r="V5" s="3088"/>
      <c r="W5" s="3088"/>
      <c r="X5" s="3088"/>
      <c r="Y5" s="3088"/>
      <c r="Z5" s="3088"/>
      <c r="AA5" s="3088"/>
      <c r="AB5" s="3088"/>
      <c r="AC5" s="3088"/>
      <c r="AD5" s="3088"/>
      <c r="AE5" s="3088"/>
      <c r="AF5" s="3088"/>
      <c r="AG5" s="3088"/>
      <c r="AH5" s="3088"/>
      <c r="AI5" s="3088"/>
      <c r="AJ5" s="3088"/>
      <c r="AK5" s="3088"/>
      <c r="AL5" s="3088"/>
      <c r="AM5" s="3088"/>
      <c r="AN5" s="3088"/>
      <c r="AO5" s="3088"/>
      <c r="AP5" s="3088"/>
      <c r="AQ5" s="3089"/>
      <c r="AR5" s="369"/>
      <c r="AS5" s="369"/>
      <c r="AT5" s="369"/>
      <c r="AU5" s="369"/>
      <c r="AV5" s="369"/>
      <c r="AW5" s="369"/>
      <c r="AX5" s="369"/>
      <c r="AY5" s="369"/>
      <c r="AZ5" s="369"/>
      <c r="BA5" s="369"/>
      <c r="BB5" s="369"/>
      <c r="BC5" s="369"/>
      <c r="BD5" s="369"/>
      <c r="BE5" s="369"/>
      <c r="BF5" s="369"/>
      <c r="BG5" s="369"/>
      <c r="BH5" s="369"/>
      <c r="BI5" s="369"/>
      <c r="BJ5" s="369"/>
    </row>
    <row r="6" spans="1:62" ht="42.75" customHeight="1" x14ac:dyDescent="0.2">
      <c r="A6" s="3087"/>
      <c r="B6" s="3070"/>
      <c r="C6" s="3070"/>
      <c r="D6" s="3070"/>
      <c r="E6" s="3070"/>
      <c r="F6" s="3070"/>
      <c r="G6" s="3070"/>
      <c r="H6" s="3070"/>
      <c r="I6" s="3070"/>
      <c r="J6" s="3070"/>
      <c r="K6" s="3070"/>
      <c r="L6" s="3070"/>
      <c r="M6" s="3070"/>
      <c r="N6" s="644"/>
      <c r="O6" s="645"/>
      <c r="P6" s="645"/>
      <c r="Q6" s="645"/>
      <c r="R6" s="2684"/>
      <c r="S6" s="645"/>
      <c r="T6" s="645"/>
      <c r="U6" s="645"/>
      <c r="V6" s="1659"/>
      <c r="W6" s="645"/>
      <c r="X6" s="645"/>
      <c r="Y6" s="3069" t="s">
        <v>10</v>
      </c>
      <c r="Z6" s="3070"/>
      <c r="AA6" s="3070"/>
      <c r="AB6" s="3070"/>
      <c r="AC6" s="3070"/>
      <c r="AD6" s="3070"/>
      <c r="AE6" s="3070"/>
      <c r="AF6" s="3070"/>
      <c r="AG6" s="3070"/>
      <c r="AH6" s="3070"/>
      <c r="AI6" s="3070"/>
      <c r="AJ6" s="3070"/>
      <c r="AK6" s="3070"/>
      <c r="AL6" s="3070"/>
      <c r="AM6" s="3071"/>
      <c r="AN6" s="2606"/>
      <c r="AO6" s="645"/>
      <c r="AP6" s="645"/>
      <c r="AQ6" s="978"/>
      <c r="AR6" s="369"/>
      <c r="AS6" s="369"/>
      <c r="AT6" s="369"/>
      <c r="AU6" s="369"/>
      <c r="AV6" s="369"/>
      <c r="AW6" s="369"/>
      <c r="AX6" s="369"/>
      <c r="AY6" s="369"/>
      <c r="AZ6" s="369"/>
      <c r="BA6" s="369"/>
      <c r="BB6" s="369"/>
      <c r="BC6" s="369"/>
      <c r="BD6" s="369"/>
      <c r="BE6" s="369"/>
      <c r="BF6" s="369"/>
      <c r="BG6" s="369"/>
      <c r="BH6" s="369"/>
      <c r="BI6" s="369"/>
      <c r="BJ6" s="369"/>
    </row>
    <row r="7" spans="1:62" ht="36.75" customHeight="1" x14ac:dyDescent="0.2">
      <c r="A7" s="3090" t="s">
        <v>11</v>
      </c>
      <c r="B7" s="3092" t="s">
        <v>12</v>
      </c>
      <c r="C7" s="3093"/>
      <c r="D7" s="3093" t="s">
        <v>11</v>
      </c>
      <c r="E7" s="3092" t="s">
        <v>13</v>
      </c>
      <c r="F7" s="3093"/>
      <c r="G7" s="3093" t="s">
        <v>11</v>
      </c>
      <c r="H7" s="3092" t="s">
        <v>14</v>
      </c>
      <c r="I7" s="3093"/>
      <c r="J7" s="3093" t="s">
        <v>11</v>
      </c>
      <c r="K7" s="3627" t="s">
        <v>15</v>
      </c>
      <c r="L7" s="3062" t="s">
        <v>16</v>
      </c>
      <c r="M7" s="3062" t="s">
        <v>17</v>
      </c>
      <c r="N7" s="3062" t="s">
        <v>18</v>
      </c>
      <c r="O7" s="3062" t="s">
        <v>19</v>
      </c>
      <c r="P7" s="3062" t="s">
        <v>9</v>
      </c>
      <c r="Q7" s="3096" t="s">
        <v>20</v>
      </c>
      <c r="R7" s="4476" t="s">
        <v>21</v>
      </c>
      <c r="S7" s="3092" t="s">
        <v>22</v>
      </c>
      <c r="T7" s="3092" t="s">
        <v>23</v>
      </c>
      <c r="U7" s="3062" t="s">
        <v>24</v>
      </c>
      <c r="V7" s="4474" t="s">
        <v>21</v>
      </c>
      <c r="W7" s="3066" t="s">
        <v>11</v>
      </c>
      <c r="X7" s="3062" t="s">
        <v>25</v>
      </c>
      <c r="Y7" s="3056" t="s">
        <v>26</v>
      </c>
      <c r="Z7" s="3056"/>
      <c r="AA7" s="3072" t="s">
        <v>27</v>
      </c>
      <c r="AB7" s="3072"/>
      <c r="AC7" s="3072"/>
      <c r="AD7" s="3072"/>
      <c r="AE7" s="3075" t="s">
        <v>28</v>
      </c>
      <c r="AF7" s="3076"/>
      <c r="AG7" s="3076"/>
      <c r="AH7" s="3076"/>
      <c r="AI7" s="3076"/>
      <c r="AJ7" s="3077"/>
      <c r="AK7" s="3072" t="s">
        <v>29</v>
      </c>
      <c r="AL7" s="3072"/>
      <c r="AM7" s="3072"/>
      <c r="AN7" s="2607" t="s">
        <v>30</v>
      </c>
      <c r="AO7" s="3078" t="s">
        <v>31</v>
      </c>
      <c r="AP7" s="3078" t="s">
        <v>32</v>
      </c>
      <c r="AQ7" s="3100" t="s">
        <v>33</v>
      </c>
      <c r="AR7" s="369"/>
      <c r="AS7" s="369"/>
      <c r="AT7" s="369"/>
      <c r="AU7" s="369"/>
      <c r="AV7" s="369"/>
      <c r="AW7" s="369"/>
      <c r="AX7" s="369"/>
      <c r="AY7" s="369"/>
      <c r="AZ7" s="369"/>
      <c r="BA7" s="369"/>
      <c r="BB7" s="369"/>
      <c r="BC7" s="369"/>
      <c r="BD7" s="369"/>
      <c r="BE7" s="369"/>
      <c r="BF7" s="369"/>
      <c r="BG7" s="369"/>
      <c r="BH7" s="369"/>
      <c r="BI7" s="369"/>
      <c r="BJ7" s="369"/>
    </row>
    <row r="8" spans="1:62" ht="121.5" customHeight="1" x14ac:dyDescent="0.2">
      <c r="A8" s="3091"/>
      <c r="B8" s="3094"/>
      <c r="C8" s="3095"/>
      <c r="D8" s="3095"/>
      <c r="E8" s="3094"/>
      <c r="F8" s="3095"/>
      <c r="G8" s="3095"/>
      <c r="H8" s="3094"/>
      <c r="I8" s="3095"/>
      <c r="J8" s="3095"/>
      <c r="K8" s="3628"/>
      <c r="L8" s="3063"/>
      <c r="M8" s="3063"/>
      <c r="N8" s="3063"/>
      <c r="O8" s="3063"/>
      <c r="P8" s="3063"/>
      <c r="Q8" s="3097"/>
      <c r="R8" s="4477"/>
      <c r="S8" s="3094"/>
      <c r="T8" s="3094"/>
      <c r="U8" s="3063"/>
      <c r="V8" s="4475"/>
      <c r="W8" s="3067"/>
      <c r="X8" s="3063"/>
      <c r="Y8" s="648" t="s">
        <v>34</v>
      </c>
      <c r="Z8" s="649" t="s">
        <v>35</v>
      </c>
      <c r="AA8" s="650" t="s">
        <v>36</v>
      </c>
      <c r="AB8" s="650" t="s">
        <v>121</v>
      </c>
      <c r="AC8" s="650" t="s">
        <v>2536</v>
      </c>
      <c r="AD8" s="650" t="s">
        <v>123</v>
      </c>
      <c r="AE8" s="650" t="s">
        <v>40</v>
      </c>
      <c r="AF8" s="650" t="s">
        <v>41</v>
      </c>
      <c r="AG8" s="650" t="s">
        <v>42</v>
      </c>
      <c r="AH8" s="650" t="s">
        <v>43</v>
      </c>
      <c r="AI8" s="650" t="s">
        <v>44</v>
      </c>
      <c r="AJ8" s="650" t="s">
        <v>45</v>
      </c>
      <c r="AK8" s="650" t="s">
        <v>46</v>
      </c>
      <c r="AL8" s="650" t="s">
        <v>47</v>
      </c>
      <c r="AM8" s="650" t="s">
        <v>48</v>
      </c>
      <c r="AN8" s="650" t="s">
        <v>30</v>
      </c>
      <c r="AO8" s="3079"/>
      <c r="AP8" s="3079"/>
      <c r="AQ8" s="3101"/>
      <c r="AR8" s="369"/>
      <c r="AS8" s="369"/>
      <c r="AT8" s="369"/>
      <c r="AU8" s="369"/>
      <c r="AV8" s="369"/>
      <c r="AW8" s="369"/>
      <c r="AX8" s="369"/>
      <c r="AY8" s="369"/>
      <c r="AZ8" s="369"/>
      <c r="BA8" s="369"/>
      <c r="BB8" s="369"/>
      <c r="BC8" s="369"/>
      <c r="BD8" s="369"/>
      <c r="BE8" s="369"/>
      <c r="BF8" s="369"/>
      <c r="BG8" s="369"/>
      <c r="BH8" s="369"/>
      <c r="BI8" s="369"/>
      <c r="BJ8" s="369"/>
    </row>
    <row r="9" spans="1:62" ht="15" x14ac:dyDescent="0.2">
      <c r="A9" s="979">
        <v>3</v>
      </c>
      <c r="B9" s="364"/>
      <c r="C9" s="364" t="s">
        <v>1709</v>
      </c>
      <c r="D9" s="364"/>
      <c r="E9" s="364"/>
      <c r="F9" s="364"/>
      <c r="G9" s="364"/>
      <c r="H9" s="364"/>
      <c r="I9" s="364"/>
      <c r="J9" s="364"/>
      <c r="K9" s="365"/>
      <c r="L9" s="364"/>
      <c r="M9" s="366"/>
      <c r="N9" s="364"/>
      <c r="O9" s="366"/>
      <c r="P9" s="365"/>
      <c r="Q9" s="367"/>
      <c r="R9" s="2658"/>
      <c r="S9" s="365"/>
      <c r="T9" s="365"/>
      <c r="U9" s="365"/>
      <c r="V9" s="1660"/>
      <c r="W9" s="368"/>
      <c r="X9" s="366"/>
      <c r="Y9" s="366"/>
      <c r="Z9" s="366"/>
      <c r="AA9" s="366"/>
      <c r="AB9" s="366"/>
      <c r="AC9" s="366"/>
      <c r="AD9" s="366"/>
      <c r="AE9" s="366"/>
      <c r="AF9" s="366"/>
      <c r="AG9" s="366"/>
      <c r="AH9" s="366"/>
      <c r="AI9" s="366"/>
      <c r="AJ9" s="366"/>
      <c r="AK9" s="366"/>
      <c r="AL9" s="366"/>
      <c r="AM9" s="366"/>
      <c r="AN9" s="366"/>
      <c r="AO9" s="366"/>
      <c r="AP9" s="366"/>
      <c r="AQ9" s="980"/>
      <c r="AR9" s="369"/>
      <c r="AS9" s="369"/>
      <c r="AT9" s="369"/>
      <c r="AU9" s="369"/>
      <c r="AV9" s="369"/>
      <c r="AW9" s="369"/>
      <c r="AX9" s="369"/>
      <c r="AY9" s="369"/>
      <c r="AZ9" s="369"/>
      <c r="BA9" s="369"/>
      <c r="BB9" s="369"/>
      <c r="BC9" s="369"/>
      <c r="BD9" s="369"/>
      <c r="BE9" s="369"/>
      <c r="BF9" s="369"/>
      <c r="BG9" s="369"/>
      <c r="BH9" s="369"/>
      <c r="BI9" s="369"/>
      <c r="BJ9" s="369"/>
    </row>
    <row r="10" spans="1:62" s="369" customFormat="1" ht="15" x14ac:dyDescent="0.2">
      <c r="A10" s="981"/>
      <c r="B10" s="371"/>
      <c r="C10" s="372"/>
      <c r="D10" s="373">
        <v>20</v>
      </c>
      <c r="E10" s="374" t="s">
        <v>2350</v>
      </c>
      <c r="F10" s="374"/>
      <c r="G10" s="374"/>
      <c r="H10" s="374"/>
      <c r="I10" s="374"/>
      <c r="J10" s="374"/>
      <c r="K10" s="375"/>
      <c r="L10" s="374"/>
      <c r="M10" s="376"/>
      <c r="N10" s="374"/>
      <c r="O10" s="376"/>
      <c r="P10" s="375"/>
      <c r="Q10" s="377"/>
      <c r="R10" s="2659"/>
      <c r="S10" s="375"/>
      <c r="T10" s="375"/>
      <c r="U10" s="375"/>
      <c r="V10" s="1661"/>
      <c r="W10" s="378"/>
      <c r="X10" s="376"/>
      <c r="Y10" s="376"/>
      <c r="Z10" s="376"/>
      <c r="AA10" s="376"/>
      <c r="AB10" s="376"/>
      <c r="AC10" s="376"/>
      <c r="AD10" s="376"/>
      <c r="AE10" s="376"/>
      <c r="AF10" s="376"/>
      <c r="AG10" s="376"/>
      <c r="AH10" s="376"/>
      <c r="AI10" s="376"/>
      <c r="AJ10" s="376"/>
      <c r="AK10" s="376"/>
      <c r="AL10" s="376"/>
      <c r="AM10" s="376"/>
      <c r="AN10" s="376"/>
      <c r="AO10" s="376"/>
      <c r="AP10" s="376"/>
      <c r="AQ10" s="982"/>
    </row>
    <row r="11" spans="1:62" s="369" customFormat="1" ht="15" x14ac:dyDescent="0.2">
      <c r="A11" s="983"/>
      <c r="B11" s="852"/>
      <c r="C11" s="380"/>
      <c r="D11" s="903"/>
      <c r="E11" s="2617"/>
      <c r="F11" s="2617"/>
      <c r="G11" s="381">
        <v>68</v>
      </c>
      <c r="H11" s="382" t="s">
        <v>2351</v>
      </c>
      <c r="I11" s="382"/>
      <c r="J11" s="382"/>
      <c r="K11" s="383"/>
      <c r="L11" s="382"/>
      <c r="M11" s="384"/>
      <c r="N11" s="382"/>
      <c r="O11" s="384"/>
      <c r="P11" s="383"/>
      <c r="Q11" s="385"/>
      <c r="R11" s="2660"/>
      <c r="S11" s="383"/>
      <c r="T11" s="383"/>
      <c r="U11" s="383"/>
      <c r="V11" s="1662"/>
      <c r="W11" s="386"/>
      <c r="X11" s="384"/>
      <c r="Y11" s="384"/>
      <c r="Z11" s="384"/>
      <c r="AA11" s="384"/>
      <c r="AB11" s="384"/>
      <c r="AC11" s="384"/>
      <c r="AD11" s="384"/>
      <c r="AE11" s="384"/>
      <c r="AF11" s="384"/>
      <c r="AG11" s="384"/>
      <c r="AH11" s="384"/>
      <c r="AI11" s="384"/>
      <c r="AJ11" s="384"/>
      <c r="AK11" s="384"/>
      <c r="AL11" s="384"/>
      <c r="AM11" s="384"/>
      <c r="AN11" s="384"/>
      <c r="AO11" s="384"/>
      <c r="AP11" s="384"/>
      <c r="AQ11" s="984"/>
    </row>
    <row r="12" spans="1:62" s="369" customFormat="1" ht="30.75" customHeight="1" x14ac:dyDescent="0.2">
      <c r="A12" s="983"/>
      <c r="B12" s="852"/>
      <c r="C12" s="380"/>
      <c r="D12" s="2618"/>
      <c r="E12" s="2623"/>
      <c r="F12" s="2623"/>
      <c r="G12" s="2614"/>
      <c r="H12" s="2623"/>
      <c r="I12" s="2623"/>
      <c r="J12" s="3107">
        <v>202</v>
      </c>
      <c r="K12" s="3427" t="s">
        <v>2352</v>
      </c>
      <c r="L12" s="3427" t="s">
        <v>2353</v>
      </c>
      <c r="M12" s="3107">
        <v>23</v>
      </c>
      <c r="N12" s="4472" t="s">
        <v>2354</v>
      </c>
      <c r="O12" s="4444" t="s">
        <v>2355</v>
      </c>
      <c r="P12" s="3202" t="s">
        <v>2356</v>
      </c>
      <c r="Q12" s="4463">
        <f>SUM(V12:V17)/R12</f>
        <v>0.91249586510443104</v>
      </c>
      <c r="R12" s="4466">
        <f>SUM(V12:V18)</f>
        <v>2180137889.8000002</v>
      </c>
      <c r="S12" s="3202" t="s">
        <v>2357</v>
      </c>
      <c r="T12" s="4469" t="s">
        <v>2358</v>
      </c>
      <c r="U12" s="3202" t="s">
        <v>2359</v>
      </c>
      <c r="V12" s="2644">
        <v>199249781</v>
      </c>
      <c r="W12" s="1585">
        <v>12</v>
      </c>
      <c r="X12" s="2610" t="s">
        <v>2360</v>
      </c>
      <c r="Y12" s="4459">
        <v>300</v>
      </c>
      <c r="Z12" s="4459">
        <v>710</v>
      </c>
      <c r="AA12" s="4459">
        <v>317</v>
      </c>
      <c r="AB12" s="4459">
        <v>633</v>
      </c>
      <c r="AC12" s="4459"/>
      <c r="AD12" s="4459"/>
      <c r="AE12" s="4459"/>
      <c r="AF12" s="4459"/>
      <c r="AG12" s="4459"/>
      <c r="AH12" s="4459"/>
      <c r="AI12" s="4459"/>
      <c r="AJ12" s="4459"/>
      <c r="AK12" s="4459"/>
      <c r="AL12" s="4459">
        <v>60</v>
      </c>
      <c r="AM12" s="4459"/>
      <c r="AN12" s="4459">
        <v>1010</v>
      </c>
      <c r="AO12" s="4454">
        <v>43480</v>
      </c>
      <c r="AP12" s="4454">
        <v>43830</v>
      </c>
      <c r="AQ12" s="4455" t="s">
        <v>2361</v>
      </c>
    </row>
    <row r="13" spans="1:62" s="369" customFormat="1" ht="41.25" customHeight="1" x14ac:dyDescent="0.2">
      <c r="A13" s="983"/>
      <c r="B13" s="852"/>
      <c r="C13" s="380"/>
      <c r="D13" s="2618"/>
      <c r="E13" s="2623"/>
      <c r="F13" s="2623"/>
      <c r="G13" s="2618"/>
      <c r="H13" s="2623"/>
      <c r="I13" s="2623"/>
      <c r="J13" s="3107"/>
      <c r="K13" s="3427"/>
      <c r="L13" s="3427"/>
      <c r="M13" s="3107"/>
      <c r="N13" s="4472"/>
      <c r="O13" s="4473"/>
      <c r="P13" s="3336"/>
      <c r="Q13" s="4464"/>
      <c r="R13" s="4467"/>
      <c r="S13" s="3336"/>
      <c r="T13" s="4470"/>
      <c r="U13" s="3336"/>
      <c r="V13" s="2644">
        <v>20000000</v>
      </c>
      <c r="W13" s="1585">
        <v>12</v>
      </c>
      <c r="X13" s="2610" t="s">
        <v>2362</v>
      </c>
      <c r="Y13" s="4460"/>
      <c r="Z13" s="4460"/>
      <c r="AA13" s="4460"/>
      <c r="AB13" s="4460"/>
      <c r="AC13" s="4460"/>
      <c r="AD13" s="4460"/>
      <c r="AE13" s="4460"/>
      <c r="AF13" s="4460"/>
      <c r="AG13" s="4460"/>
      <c r="AH13" s="4460"/>
      <c r="AI13" s="4460"/>
      <c r="AJ13" s="4460"/>
      <c r="AK13" s="4460"/>
      <c r="AL13" s="4460"/>
      <c r="AM13" s="4460"/>
      <c r="AN13" s="4460"/>
      <c r="AO13" s="4462"/>
      <c r="AP13" s="4462"/>
      <c r="AQ13" s="4457"/>
    </row>
    <row r="14" spans="1:62" s="369" customFormat="1" ht="36" customHeight="1" x14ac:dyDescent="0.2">
      <c r="A14" s="983"/>
      <c r="B14" s="852"/>
      <c r="C14" s="380"/>
      <c r="D14" s="2618"/>
      <c r="E14" s="2623"/>
      <c r="F14" s="2623"/>
      <c r="G14" s="2618"/>
      <c r="H14" s="2623"/>
      <c r="I14" s="2623"/>
      <c r="J14" s="3107"/>
      <c r="K14" s="3427"/>
      <c r="L14" s="3427"/>
      <c r="M14" s="3107"/>
      <c r="N14" s="2622" t="s">
        <v>2363</v>
      </c>
      <c r="O14" s="4473"/>
      <c r="P14" s="3336"/>
      <c r="Q14" s="4464"/>
      <c r="R14" s="4467"/>
      <c r="S14" s="3336"/>
      <c r="T14" s="4470"/>
      <c r="U14" s="3336"/>
      <c r="V14" s="2644">
        <v>78571457</v>
      </c>
      <c r="W14" s="1585">
        <v>9</v>
      </c>
      <c r="X14" s="2610" t="s">
        <v>2364</v>
      </c>
      <c r="Y14" s="4460"/>
      <c r="Z14" s="4460"/>
      <c r="AA14" s="4460"/>
      <c r="AB14" s="4460"/>
      <c r="AC14" s="4460"/>
      <c r="AD14" s="4460"/>
      <c r="AE14" s="4460"/>
      <c r="AF14" s="4460"/>
      <c r="AG14" s="4460"/>
      <c r="AH14" s="4460"/>
      <c r="AI14" s="4460"/>
      <c r="AJ14" s="4460"/>
      <c r="AK14" s="4460"/>
      <c r="AL14" s="4460"/>
      <c r="AM14" s="4460"/>
      <c r="AN14" s="4460"/>
      <c r="AO14" s="4462"/>
      <c r="AP14" s="4462"/>
      <c r="AQ14" s="4457"/>
    </row>
    <row r="15" spans="1:62" s="369" customFormat="1" ht="36" customHeight="1" x14ac:dyDescent="0.25">
      <c r="A15" s="983"/>
      <c r="B15" s="852"/>
      <c r="C15" s="380"/>
      <c r="D15" s="2618"/>
      <c r="E15" s="2623"/>
      <c r="F15" s="2623"/>
      <c r="G15" s="2618"/>
      <c r="H15" s="2623"/>
      <c r="I15" s="2623"/>
      <c r="J15" s="3107"/>
      <c r="K15" s="3427"/>
      <c r="L15" s="3427"/>
      <c r="M15" s="3107"/>
      <c r="N15" s="1405" t="s">
        <v>2366</v>
      </c>
      <c r="O15" s="4473"/>
      <c r="P15" s="3336"/>
      <c r="Q15" s="4464"/>
      <c r="R15" s="4467"/>
      <c r="S15" s="3336"/>
      <c r="T15" s="4470"/>
      <c r="U15" s="3336"/>
      <c r="V15" s="2645">
        <v>77863791</v>
      </c>
      <c r="W15" s="2622">
        <v>3</v>
      </c>
      <c r="X15" s="2620" t="s">
        <v>2365</v>
      </c>
      <c r="Y15" s="4460"/>
      <c r="Z15" s="4460"/>
      <c r="AA15" s="4460"/>
      <c r="AB15" s="4460"/>
      <c r="AC15" s="4460"/>
      <c r="AD15" s="4460"/>
      <c r="AE15" s="4460"/>
      <c r="AF15" s="4460"/>
      <c r="AG15" s="4460"/>
      <c r="AH15" s="4460"/>
      <c r="AI15" s="4460"/>
      <c r="AJ15" s="4460"/>
      <c r="AK15" s="4460"/>
      <c r="AL15" s="4460"/>
      <c r="AM15" s="4460"/>
      <c r="AN15" s="4460"/>
      <c r="AO15" s="4462"/>
      <c r="AP15" s="4462"/>
      <c r="AQ15" s="4457"/>
    </row>
    <row r="16" spans="1:62" s="369" customFormat="1" ht="74.25" customHeight="1" x14ac:dyDescent="0.2">
      <c r="A16" s="983"/>
      <c r="B16" s="852"/>
      <c r="C16" s="380"/>
      <c r="D16" s="2618"/>
      <c r="E16" s="2623"/>
      <c r="F16" s="2623"/>
      <c r="G16" s="2618"/>
      <c r="H16" s="2623"/>
      <c r="I16" s="2623"/>
      <c r="J16" s="3107"/>
      <c r="K16" s="3427"/>
      <c r="L16" s="3427"/>
      <c r="M16" s="3107"/>
      <c r="N16" s="2622" t="s">
        <v>2535</v>
      </c>
      <c r="O16" s="4473"/>
      <c r="P16" s="3336"/>
      <c r="Q16" s="4464"/>
      <c r="R16" s="4467"/>
      <c r="S16" s="3336"/>
      <c r="T16" s="4470"/>
      <c r="U16" s="3203"/>
      <c r="V16" s="2646">
        <v>1242107103.8</v>
      </c>
      <c r="W16" s="2622">
        <v>6</v>
      </c>
      <c r="X16" s="2603" t="s">
        <v>2534</v>
      </c>
      <c r="Y16" s="4460"/>
      <c r="Z16" s="4460"/>
      <c r="AA16" s="4460"/>
      <c r="AB16" s="4460"/>
      <c r="AC16" s="4460"/>
      <c r="AD16" s="4460"/>
      <c r="AE16" s="4460"/>
      <c r="AF16" s="4460"/>
      <c r="AG16" s="4460"/>
      <c r="AH16" s="4460"/>
      <c r="AI16" s="4460"/>
      <c r="AJ16" s="4460"/>
      <c r="AK16" s="4460"/>
      <c r="AL16" s="4460"/>
      <c r="AM16" s="4460"/>
      <c r="AN16" s="4460"/>
      <c r="AO16" s="4462"/>
      <c r="AP16" s="4462"/>
      <c r="AQ16" s="4457"/>
    </row>
    <row r="17" spans="1:43" s="369" customFormat="1" ht="68.25" customHeight="1" x14ac:dyDescent="0.2">
      <c r="A17" s="983"/>
      <c r="B17" s="852"/>
      <c r="C17" s="380"/>
      <c r="D17" s="2618"/>
      <c r="E17" s="4458"/>
      <c r="F17" s="3400"/>
      <c r="G17" s="2618"/>
      <c r="H17" s="852"/>
      <c r="I17" s="852"/>
      <c r="J17" s="3107"/>
      <c r="K17" s="3427"/>
      <c r="L17" s="3427"/>
      <c r="M17" s="3107"/>
      <c r="N17" s="2622" t="s">
        <v>2367</v>
      </c>
      <c r="O17" s="4473"/>
      <c r="P17" s="3336"/>
      <c r="Q17" s="4465"/>
      <c r="R17" s="4467"/>
      <c r="S17" s="3336"/>
      <c r="T17" s="4470"/>
      <c r="U17" s="2609" t="s">
        <v>2368</v>
      </c>
      <c r="V17" s="2647">
        <v>371574677</v>
      </c>
      <c r="W17" s="1586">
        <v>4</v>
      </c>
      <c r="X17" s="2620" t="s">
        <v>2369</v>
      </c>
      <c r="Y17" s="4460"/>
      <c r="Z17" s="4460"/>
      <c r="AA17" s="4460"/>
      <c r="AB17" s="4460"/>
      <c r="AC17" s="4460"/>
      <c r="AD17" s="4460"/>
      <c r="AE17" s="4460"/>
      <c r="AF17" s="4460"/>
      <c r="AG17" s="4460"/>
      <c r="AH17" s="4460"/>
      <c r="AI17" s="4460"/>
      <c r="AJ17" s="4460"/>
      <c r="AK17" s="4460"/>
      <c r="AL17" s="4460"/>
      <c r="AM17" s="4460"/>
      <c r="AN17" s="4460"/>
      <c r="AO17" s="4462"/>
      <c r="AP17" s="4462"/>
      <c r="AQ17" s="4457"/>
    </row>
    <row r="18" spans="1:43" s="369" customFormat="1" ht="98.25" customHeight="1" x14ac:dyDescent="0.2">
      <c r="A18" s="983"/>
      <c r="B18" s="852"/>
      <c r="C18" s="380"/>
      <c r="D18" s="2618"/>
      <c r="E18" s="2623"/>
      <c r="F18" s="2623"/>
      <c r="G18" s="2618"/>
      <c r="H18" s="2623"/>
      <c r="I18" s="2623"/>
      <c r="J18" s="2608">
        <v>203</v>
      </c>
      <c r="K18" s="2613" t="s">
        <v>2370</v>
      </c>
      <c r="L18" s="2613" t="s">
        <v>2371</v>
      </c>
      <c r="M18" s="2608">
        <v>20</v>
      </c>
      <c r="N18" s="2622" t="s">
        <v>2372</v>
      </c>
      <c r="O18" s="4445"/>
      <c r="P18" s="3203"/>
      <c r="Q18" s="2604">
        <f>+V18/R12</f>
        <v>8.7504134895568839E-2</v>
      </c>
      <c r="R18" s="4468"/>
      <c r="S18" s="3203"/>
      <c r="T18" s="4471"/>
      <c r="U18" s="2620" t="s">
        <v>2373</v>
      </c>
      <c r="V18" s="2647">
        <v>190771080</v>
      </c>
      <c r="W18" s="1586">
        <v>4</v>
      </c>
      <c r="X18" s="2620" t="s">
        <v>2369</v>
      </c>
      <c r="Y18" s="4461"/>
      <c r="Z18" s="4461"/>
      <c r="AA18" s="4461"/>
      <c r="AB18" s="4461"/>
      <c r="AC18" s="4461"/>
      <c r="AD18" s="4461"/>
      <c r="AE18" s="4461"/>
      <c r="AF18" s="4461"/>
      <c r="AG18" s="4461"/>
      <c r="AH18" s="4461"/>
      <c r="AI18" s="4461"/>
      <c r="AJ18" s="4461"/>
      <c r="AK18" s="4461"/>
      <c r="AL18" s="4461"/>
      <c r="AM18" s="4461"/>
      <c r="AN18" s="4461"/>
      <c r="AO18" s="3989"/>
      <c r="AP18" s="3989"/>
      <c r="AQ18" s="4456"/>
    </row>
    <row r="19" spans="1:43" s="369" customFormat="1" ht="15" x14ac:dyDescent="0.2">
      <c r="A19" s="983"/>
      <c r="B19" s="852"/>
      <c r="C19" s="380"/>
      <c r="D19" s="2618"/>
      <c r="E19" s="2623"/>
      <c r="F19" s="2623"/>
      <c r="G19" s="381">
        <v>69</v>
      </c>
      <c r="H19" s="382" t="s">
        <v>2374</v>
      </c>
      <c r="I19" s="382"/>
      <c r="J19" s="382"/>
      <c r="K19" s="1090"/>
      <c r="L19" s="1090"/>
      <c r="M19" s="2655"/>
      <c r="N19" s="382"/>
      <c r="O19" s="384"/>
      <c r="P19" s="383"/>
      <c r="Q19" s="385"/>
      <c r="R19" s="2660"/>
      <c r="S19" s="1090" t="s">
        <v>2106</v>
      </c>
      <c r="T19" s="1090" t="s">
        <v>2106</v>
      </c>
      <c r="U19" s="1090"/>
      <c r="V19" s="2648"/>
      <c r="W19" s="2051"/>
      <c r="X19" s="1090"/>
      <c r="Y19" s="384"/>
      <c r="Z19" s="384"/>
      <c r="AA19" s="384"/>
      <c r="AB19" s="384"/>
      <c r="AC19" s="384"/>
      <c r="AD19" s="384"/>
      <c r="AE19" s="384"/>
      <c r="AF19" s="384"/>
      <c r="AG19" s="384"/>
      <c r="AH19" s="384"/>
      <c r="AI19" s="384"/>
      <c r="AJ19" s="384"/>
      <c r="AK19" s="384"/>
      <c r="AL19" s="384"/>
      <c r="AM19" s="384"/>
      <c r="AN19" s="384"/>
      <c r="AO19" s="985"/>
      <c r="AP19" s="985"/>
      <c r="AQ19" s="984"/>
    </row>
    <row r="20" spans="1:43" s="369" customFormat="1" ht="51.75" customHeight="1" x14ac:dyDescent="0.2">
      <c r="A20" s="983"/>
      <c r="B20" s="852"/>
      <c r="C20" s="380"/>
      <c r="D20" s="2618"/>
      <c r="E20" s="2623"/>
      <c r="F20" s="2623"/>
      <c r="G20" s="2618"/>
      <c r="H20" s="2623"/>
      <c r="I20" s="2623"/>
      <c r="J20" s="3107">
        <v>204</v>
      </c>
      <c r="K20" s="3427" t="s">
        <v>2375</v>
      </c>
      <c r="L20" s="3413" t="s">
        <v>2376</v>
      </c>
      <c r="M20" s="3398">
        <v>13</v>
      </c>
      <c r="N20" s="2608" t="s">
        <v>2377</v>
      </c>
      <c r="O20" s="3398" t="s">
        <v>2355</v>
      </c>
      <c r="P20" s="3402" t="s">
        <v>2356</v>
      </c>
      <c r="Q20" s="3430">
        <f>SUM(V20:V21)/R20</f>
        <v>1</v>
      </c>
      <c r="R20" s="3607">
        <f>SUM(V20:V21)</f>
        <v>170200000</v>
      </c>
      <c r="S20" s="3402" t="s">
        <v>2357</v>
      </c>
      <c r="T20" s="3402" t="s">
        <v>2358</v>
      </c>
      <c r="U20" s="3402" t="s">
        <v>2378</v>
      </c>
      <c r="V20" s="2649">
        <v>110200000</v>
      </c>
      <c r="W20" s="2616">
        <v>4</v>
      </c>
      <c r="X20" s="2612" t="s">
        <v>2369</v>
      </c>
      <c r="Y20" s="3618">
        <v>300</v>
      </c>
      <c r="Z20" s="3618">
        <v>710</v>
      </c>
      <c r="AA20" s="3618">
        <v>317</v>
      </c>
      <c r="AB20" s="3618">
        <v>633</v>
      </c>
      <c r="AC20" s="3618"/>
      <c r="AD20" s="3618"/>
      <c r="AE20" s="3618"/>
      <c r="AF20" s="3618"/>
      <c r="AG20" s="3618"/>
      <c r="AH20" s="3618"/>
      <c r="AI20" s="3618"/>
      <c r="AJ20" s="3618"/>
      <c r="AK20" s="3618"/>
      <c r="AL20" s="3618">
        <v>60</v>
      </c>
      <c r="AM20" s="4452"/>
      <c r="AN20" s="4452">
        <v>1010</v>
      </c>
      <c r="AO20" s="4454">
        <v>43480</v>
      </c>
      <c r="AP20" s="4454">
        <v>43830</v>
      </c>
      <c r="AQ20" s="4455" t="s">
        <v>2361</v>
      </c>
    </row>
    <row r="21" spans="1:43" s="369" customFormat="1" ht="56.25" customHeight="1" x14ac:dyDescent="0.2">
      <c r="A21" s="983"/>
      <c r="B21" s="852"/>
      <c r="C21" s="380"/>
      <c r="D21" s="2618"/>
      <c r="E21" s="2623"/>
      <c r="F21" s="2623"/>
      <c r="G21" s="2618"/>
      <c r="H21" s="2623"/>
      <c r="I21" s="2623"/>
      <c r="J21" s="3107"/>
      <c r="K21" s="3427"/>
      <c r="L21" s="3413"/>
      <c r="M21" s="3412"/>
      <c r="N21" s="2608" t="s">
        <v>2379</v>
      </c>
      <c r="O21" s="3412"/>
      <c r="P21" s="3403"/>
      <c r="Q21" s="3432"/>
      <c r="R21" s="3608"/>
      <c r="S21" s="3403"/>
      <c r="T21" s="3403" t="s">
        <v>2106</v>
      </c>
      <c r="U21" s="3403"/>
      <c r="V21" s="2649">
        <v>60000000</v>
      </c>
      <c r="W21" s="2616">
        <v>12</v>
      </c>
      <c r="X21" s="2612" t="s">
        <v>2360</v>
      </c>
      <c r="Y21" s="3630"/>
      <c r="Z21" s="3630"/>
      <c r="AA21" s="3630"/>
      <c r="AB21" s="3630"/>
      <c r="AC21" s="3630"/>
      <c r="AD21" s="3630"/>
      <c r="AE21" s="3630"/>
      <c r="AF21" s="3630"/>
      <c r="AG21" s="3630"/>
      <c r="AH21" s="3630"/>
      <c r="AI21" s="3630"/>
      <c r="AJ21" s="3630"/>
      <c r="AK21" s="3630"/>
      <c r="AL21" s="3630"/>
      <c r="AM21" s="4453"/>
      <c r="AN21" s="4453"/>
      <c r="AO21" s="3989"/>
      <c r="AP21" s="3989"/>
      <c r="AQ21" s="4456"/>
    </row>
    <row r="22" spans="1:43" ht="15" x14ac:dyDescent="0.2">
      <c r="A22" s="983"/>
      <c r="B22" s="852"/>
      <c r="C22" s="380"/>
      <c r="D22" s="2618"/>
      <c r="E22" s="2623"/>
      <c r="F22" s="2623"/>
      <c r="G22" s="381">
        <v>70</v>
      </c>
      <c r="H22" s="382" t="s">
        <v>2380</v>
      </c>
      <c r="I22" s="382"/>
      <c r="J22" s="382"/>
      <c r="K22" s="1090"/>
      <c r="L22" s="1090"/>
      <c r="M22" s="2655"/>
      <c r="N22" s="382"/>
      <c r="O22" s="384"/>
      <c r="P22" s="383"/>
      <c r="Q22" s="385"/>
      <c r="R22" s="2660"/>
      <c r="S22" s="1090" t="s">
        <v>2106</v>
      </c>
      <c r="T22" s="1090" t="s">
        <v>2106</v>
      </c>
      <c r="U22" s="1090"/>
      <c r="V22" s="2648"/>
      <c r="W22" s="2051"/>
      <c r="X22" s="1091"/>
      <c r="Y22" s="386"/>
      <c r="Z22" s="386"/>
      <c r="AA22" s="386"/>
      <c r="AB22" s="386"/>
      <c r="AC22" s="386"/>
      <c r="AD22" s="386"/>
      <c r="AE22" s="386"/>
      <c r="AF22" s="386"/>
      <c r="AG22" s="386"/>
      <c r="AH22" s="386"/>
      <c r="AI22" s="386"/>
      <c r="AJ22" s="386"/>
      <c r="AK22" s="386"/>
      <c r="AL22" s="386"/>
      <c r="AM22" s="386"/>
      <c r="AN22" s="386"/>
      <c r="AO22" s="985"/>
      <c r="AP22" s="985"/>
      <c r="AQ22" s="986"/>
    </row>
    <row r="23" spans="1:43" ht="39.75" customHeight="1" x14ac:dyDescent="0.2">
      <c r="A23" s="983"/>
      <c r="B23" s="852"/>
      <c r="C23" s="380"/>
      <c r="D23" s="2618"/>
      <c r="E23" s="2623"/>
      <c r="F23" s="2623"/>
      <c r="G23" s="2618"/>
      <c r="H23" s="2623"/>
      <c r="I23" s="2623"/>
      <c r="J23" s="3107">
        <v>205</v>
      </c>
      <c r="K23" s="3427" t="s">
        <v>2381</v>
      </c>
      <c r="L23" s="3413" t="s">
        <v>2382</v>
      </c>
      <c r="M23" s="3107">
        <v>1</v>
      </c>
      <c r="N23" s="2608" t="s">
        <v>2383</v>
      </c>
      <c r="O23" s="3107" t="s">
        <v>2384</v>
      </c>
      <c r="P23" s="3427" t="s">
        <v>2385</v>
      </c>
      <c r="Q23" s="3430">
        <f>SUM(V23:V27)/R23</f>
        <v>1</v>
      </c>
      <c r="R23" s="3660">
        <f>+SUM(V23:V27)</f>
        <v>387947240.34000003</v>
      </c>
      <c r="S23" s="3402" t="s">
        <v>2386</v>
      </c>
      <c r="T23" s="3402" t="s">
        <v>2387</v>
      </c>
      <c r="U23" s="3202" t="s">
        <v>2388</v>
      </c>
      <c r="V23" s="2649">
        <v>120000000</v>
      </c>
      <c r="W23" s="1585">
        <v>12</v>
      </c>
      <c r="X23" s="2610" t="s">
        <v>2360</v>
      </c>
      <c r="Y23" s="3150">
        <v>6000</v>
      </c>
      <c r="Z23" s="3150">
        <v>9000</v>
      </c>
      <c r="AA23" s="3150">
        <v>10500</v>
      </c>
      <c r="AB23" s="3150">
        <v>4500</v>
      </c>
      <c r="AC23" s="3150"/>
      <c r="AD23" s="3150"/>
      <c r="AE23" s="3150">
        <v>22</v>
      </c>
      <c r="AF23" s="3150">
        <v>115</v>
      </c>
      <c r="AG23" s="3150">
        <v>1</v>
      </c>
      <c r="AH23" s="3150"/>
      <c r="AI23" s="3150"/>
      <c r="AJ23" s="3150"/>
      <c r="AK23" s="3150"/>
      <c r="AL23" s="3282">
        <v>59</v>
      </c>
      <c r="AM23" s="3150"/>
      <c r="AN23" s="3150">
        <f>+SUM(Y23:Z27)</f>
        <v>15000</v>
      </c>
      <c r="AO23" s="3996">
        <v>43480</v>
      </c>
      <c r="AP23" s="3996">
        <v>43830</v>
      </c>
      <c r="AQ23" s="4413" t="s">
        <v>2361</v>
      </c>
    </row>
    <row r="24" spans="1:43" ht="42" customHeight="1" x14ac:dyDescent="0.2">
      <c r="A24" s="983"/>
      <c r="B24" s="852"/>
      <c r="C24" s="380"/>
      <c r="D24" s="2618"/>
      <c r="E24" s="2623"/>
      <c r="F24" s="2623"/>
      <c r="G24" s="2618"/>
      <c r="H24" s="2623"/>
      <c r="I24" s="2623"/>
      <c r="J24" s="3107"/>
      <c r="K24" s="3427"/>
      <c r="L24" s="3413"/>
      <c r="M24" s="3107"/>
      <c r="N24" s="2608" t="s">
        <v>2389</v>
      </c>
      <c r="O24" s="3107"/>
      <c r="P24" s="3427"/>
      <c r="Q24" s="3431"/>
      <c r="R24" s="3660"/>
      <c r="S24" s="3406"/>
      <c r="T24" s="3406" t="s">
        <v>2106</v>
      </c>
      <c r="U24" s="3336"/>
      <c r="V24" s="2649">
        <v>100000000</v>
      </c>
      <c r="W24" s="1585">
        <v>4</v>
      </c>
      <c r="X24" s="2610" t="s">
        <v>2369</v>
      </c>
      <c r="Y24" s="3150"/>
      <c r="Z24" s="3150"/>
      <c r="AA24" s="3150"/>
      <c r="AB24" s="3150"/>
      <c r="AC24" s="3150"/>
      <c r="AD24" s="3150"/>
      <c r="AE24" s="3150"/>
      <c r="AF24" s="3150"/>
      <c r="AG24" s="3150"/>
      <c r="AH24" s="3150"/>
      <c r="AI24" s="3150"/>
      <c r="AJ24" s="3150"/>
      <c r="AK24" s="3150"/>
      <c r="AL24" s="3282"/>
      <c r="AM24" s="3150"/>
      <c r="AN24" s="3150"/>
      <c r="AO24" s="3997"/>
      <c r="AP24" s="3997"/>
      <c r="AQ24" s="4414"/>
    </row>
    <row r="25" spans="1:43" ht="42" customHeight="1" x14ac:dyDescent="0.2">
      <c r="A25" s="983"/>
      <c r="B25" s="852"/>
      <c r="C25" s="380"/>
      <c r="D25" s="2618"/>
      <c r="E25" s="2623"/>
      <c r="F25" s="2623"/>
      <c r="G25" s="2618"/>
      <c r="H25" s="2623"/>
      <c r="I25" s="2623"/>
      <c r="J25" s="3107"/>
      <c r="K25" s="3427"/>
      <c r="L25" s="3413"/>
      <c r="M25" s="3107"/>
      <c r="N25" s="2608" t="s">
        <v>2390</v>
      </c>
      <c r="O25" s="3107"/>
      <c r="P25" s="3427"/>
      <c r="Q25" s="3431"/>
      <c r="R25" s="3660"/>
      <c r="S25" s="3406"/>
      <c r="T25" s="3406"/>
      <c r="U25" s="3336"/>
      <c r="V25" s="2649">
        <v>108972708</v>
      </c>
      <c r="W25" s="1585">
        <v>7</v>
      </c>
      <c r="X25" s="2610" t="s">
        <v>2391</v>
      </c>
      <c r="Y25" s="3150"/>
      <c r="Z25" s="3150"/>
      <c r="AA25" s="3150"/>
      <c r="AB25" s="3150"/>
      <c r="AC25" s="3150"/>
      <c r="AD25" s="3150"/>
      <c r="AE25" s="3150"/>
      <c r="AF25" s="3150"/>
      <c r="AG25" s="3150"/>
      <c r="AH25" s="3150"/>
      <c r="AI25" s="3150"/>
      <c r="AJ25" s="3150"/>
      <c r="AK25" s="3150"/>
      <c r="AL25" s="3282"/>
      <c r="AM25" s="3150"/>
      <c r="AN25" s="3150"/>
      <c r="AO25" s="3997"/>
      <c r="AP25" s="3997"/>
      <c r="AQ25" s="4414"/>
    </row>
    <row r="26" spans="1:43" ht="25.5" customHeight="1" x14ac:dyDescent="0.2">
      <c r="A26" s="983"/>
      <c r="B26" s="852"/>
      <c r="C26" s="380"/>
      <c r="D26" s="2618"/>
      <c r="E26" s="2623"/>
      <c r="F26" s="2623"/>
      <c r="G26" s="2618"/>
      <c r="H26" s="2623"/>
      <c r="I26" s="2623"/>
      <c r="J26" s="3107"/>
      <c r="K26" s="3427"/>
      <c r="L26" s="3413"/>
      <c r="M26" s="3107"/>
      <c r="N26" s="2608" t="s">
        <v>2392</v>
      </c>
      <c r="O26" s="3107"/>
      <c r="P26" s="3427"/>
      <c r="Q26" s="3431"/>
      <c r="R26" s="3660"/>
      <c r="S26" s="3406"/>
      <c r="T26" s="3406"/>
      <c r="U26" s="3336"/>
      <c r="V26" s="2649">
        <v>45006589.340000004</v>
      </c>
      <c r="W26" s="1585">
        <v>13</v>
      </c>
      <c r="X26" s="2610" t="s">
        <v>2393</v>
      </c>
      <c r="Y26" s="3150"/>
      <c r="Z26" s="3150"/>
      <c r="AA26" s="3150"/>
      <c r="AB26" s="3150"/>
      <c r="AC26" s="3150"/>
      <c r="AD26" s="3150"/>
      <c r="AE26" s="3150"/>
      <c r="AF26" s="3150"/>
      <c r="AG26" s="3150"/>
      <c r="AH26" s="3150"/>
      <c r="AI26" s="3150"/>
      <c r="AJ26" s="3150"/>
      <c r="AK26" s="3150"/>
      <c r="AL26" s="3282"/>
      <c r="AM26" s="3150"/>
      <c r="AN26" s="3150"/>
      <c r="AO26" s="3997"/>
      <c r="AP26" s="3997"/>
      <c r="AQ26" s="4414"/>
    </row>
    <row r="27" spans="1:43" ht="28.5" x14ac:dyDescent="0.2">
      <c r="A27" s="983"/>
      <c r="B27" s="852"/>
      <c r="C27" s="380"/>
      <c r="D27" s="2618"/>
      <c r="E27" s="2623"/>
      <c r="F27" s="2623"/>
      <c r="G27" s="2618"/>
      <c r="H27" s="2623"/>
      <c r="I27" s="2623"/>
      <c r="J27" s="3107"/>
      <c r="K27" s="3427"/>
      <c r="L27" s="3413"/>
      <c r="M27" s="3107"/>
      <c r="N27" s="2608" t="s">
        <v>2394</v>
      </c>
      <c r="O27" s="3107"/>
      <c r="P27" s="3427"/>
      <c r="Q27" s="3432"/>
      <c r="R27" s="3660"/>
      <c r="S27" s="3406"/>
      <c r="T27" s="3406"/>
      <c r="U27" s="3336"/>
      <c r="V27" s="2649">
        <v>13967943</v>
      </c>
      <c r="W27" s="1585">
        <v>15</v>
      </c>
      <c r="X27" s="2610" t="s">
        <v>2395</v>
      </c>
      <c r="Y27" s="3150"/>
      <c r="Z27" s="3150"/>
      <c r="AA27" s="3150"/>
      <c r="AB27" s="3150"/>
      <c r="AC27" s="3150"/>
      <c r="AD27" s="3150"/>
      <c r="AE27" s="3150"/>
      <c r="AF27" s="3150"/>
      <c r="AG27" s="3150"/>
      <c r="AH27" s="3150"/>
      <c r="AI27" s="3150"/>
      <c r="AJ27" s="3150"/>
      <c r="AK27" s="3150"/>
      <c r="AL27" s="3282"/>
      <c r="AM27" s="3150"/>
      <c r="AN27" s="3150"/>
      <c r="AO27" s="3997"/>
      <c r="AP27" s="3997"/>
      <c r="AQ27" s="4414"/>
    </row>
    <row r="28" spans="1:43" ht="15" x14ac:dyDescent="0.2">
      <c r="A28" s="983"/>
      <c r="B28" s="852"/>
      <c r="C28" s="380"/>
      <c r="D28" s="2618"/>
      <c r="E28" s="2623"/>
      <c r="F28" s="2623"/>
      <c r="G28" s="381">
        <v>71</v>
      </c>
      <c r="H28" s="382" t="s">
        <v>2396</v>
      </c>
      <c r="I28" s="382"/>
      <c r="J28" s="382"/>
      <c r="K28" s="1090"/>
      <c r="L28" s="1090"/>
      <c r="M28" s="2655"/>
      <c r="N28" s="382"/>
      <c r="O28" s="384"/>
      <c r="P28" s="383"/>
      <c r="Q28" s="385"/>
      <c r="R28" s="2660"/>
      <c r="S28" s="1090" t="s">
        <v>2106</v>
      </c>
      <c r="T28" s="1090" t="s">
        <v>2106</v>
      </c>
      <c r="U28" s="1090"/>
      <c r="V28" s="2648"/>
      <c r="W28" s="2051"/>
      <c r="X28" s="1090"/>
      <c r="Y28" s="384"/>
      <c r="Z28" s="384"/>
      <c r="AA28" s="384"/>
      <c r="AB28" s="384"/>
      <c r="AC28" s="384"/>
      <c r="AD28" s="384"/>
      <c r="AE28" s="384"/>
      <c r="AF28" s="384"/>
      <c r="AG28" s="384"/>
      <c r="AH28" s="384"/>
      <c r="AI28" s="384"/>
      <c r="AJ28" s="384"/>
      <c r="AK28" s="384"/>
      <c r="AL28" s="384"/>
      <c r="AM28" s="384"/>
      <c r="AN28" s="384"/>
      <c r="AO28" s="985"/>
      <c r="AP28" s="985"/>
      <c r="AQ28" s="984"/>
    </row>
    <row r="29" spans="1:43" ht="44.25" customHeight="1" x14ac:dyDescent="0.2">
      <c r="A29" s="983"/>
      <c r="B29" s="852"/>
      <c r="C29" s="380"/>
      <c r="D29" s="2618"/>
      <c r="E29" s="2623"/>
      <c r="F29" s="2623"/>
      <c r="G29" s="2618"/>
      <c r="H29" s="2623"/>
      <c r="I29" s="2623"/>
      <c r="J29" s="3398">
        <v>206</v>
      </c>
      <c r="K29" s="2899" t="s">
        <v>2397</v>
      </c>
      <c r="L29" s="3560" t="s">
        <v>2398</v>
      </c>
      <c r="M29" s="3398">
        <v>12</v>
      </c>
      <c r="N29" s="2608" t="s">
        <v>2399</v>
      </c>
      <c r="O29" s="3398" t="s">
        <v>2400</v>
      </c>
      <c r="P29" s="3389" t="s">
        <v>2401</v>
      </c>
      <c r="Q29" s="3430">
        <f>(+V29+V30)/R29</f>
        <v>0.32857142857142857</v>
      </c>
      <c r="R29" s="3660">
        <f>+SUM(V29:V34)</f>
        <v>350000000</v>
      </c>
      <c r="S29" s="3402" t="s">
        <v>2402</v>
      </c>
      <c r="T29" s="3402" t="s">
        <v>2403</v>
      </c>
      <c r="U29" s="4444" t="s">
        <v>2404</v>
      </c>
      <c r="V29" s="2650">
        <v>55000000</v>
      </c>
      <c r="W29" s="1586">
        <v>12</v>
      </c>
      <c r="X29" s="2620" t="s">
        <v>2360</v>
      </c>
      <c r="Y29" s="4446">
        <v>900</v>
      </c>
      <c r="Z29" s="4442">
        <v>300</v>
      </c>
      <c r="AA29" s="4442">
        <v>372</v>
      </c>
      <c r="AB29" s="4442">
        <v>94</v>
      </c>
      <c r="AC29" s="4442">
        <v>734</v>
      </c>
      <c r="AD29" s="4442"/>
      <c r="AE29" s="4442"/>
      <c r="AF29" s="4442"/>
      <c r="AG29" s="4442"/>
      <c r="AH29" s="4442"/>
      <c r="AI29" s="4442"/>
      <c r="AJ29" s="4442"/>
      <c r="AK29" s="4442"/>
      <c r="AL29" s="4442"/>
      <c r="AM29" s="4442"/>
      <c r="AN29" s="4442">
        <v>1200</v>
      </c>
      <c r="AO29" s="3996">
        <v>43480</v>
      </c>
      <c r="AP29" s="3996">
        <v>43830</v>
      </c>
      <c r="AQ29" s="4413" t="s">
        <v>2361</v>
      </c>
    </row>
    <row r="30" spans="1:43" ht="57.75" customHeight="1" x14ac:dyDescent="0.2">
      <c r="A30" s="983"/>
      <c r="B30" s="852"/>
      <c r="C30" s="380"/>
      <c r="D30" s="2618"/>
      <c r="E30" s="2623"/>
      <c r="F30" s="2623"/>
      <c r="G30" s="2618"/>
      <c r="H30" s="2623"/>
      <c r="I30" s="2623"/>
      <c r="J30" s="3412"/>
      <c r="K30" s="2900"/>
      <c r="L30" s="3562"/>
      <c r="M30" s="3412"/>
      <c r="N30" s="2608" t="s">
        <v>2405</v>
      </c>
      <c r="O30" s="3399"/>
      <c r="P30" s="3605"/>
      <c r="Q30" s="3432"/>
      <c r="R30" s="3660"/>
      <c r="S30" s="3406"/>
      <c r="T30" s="3406"/>
      <c r="U30" s="4445"/>
      <c r="V30" s="2650">
        <v>60000000</v>
      </c>
      <c r="W30" s="1586">
        <v>13</v>
      </c>
      <c r="X30" s="2610" t="s">
        <v>2393</v>
      </c>
      <c r="Y30" s="4447"/>
      <c r="Z30" s="4443"/>
      <c r="AA30" s="4443"/>
      <c r="AB30" s="4443"/>
      <c r="AC30" s="4443"/>
      <c r="AD30" s="4443"/>
      <c r="AE30" s="4443"/>
      <c r="AF30" s="4443"/>
      <c r="AG30" s="4443"/>
      <c r="AH30" s="4443"/>
      <c r="AI30" s="4443"/>
      <c r="AJ30" s="4443"/>
      <c r="AK30" s="4443"/>
      <c r="AL30" s="4443"/>
      <c r="AM30" s="4443"/>
      <c r="AN30" s="4443"/>
      <c r="AO30" s="3997"/>
      <c r="AP30" s="3997"/>
      <c r="AQ30" s="4414"/>
    </row>
    <row r="31" spans="1:43" ht="54" customHeight="1" x14ac:dyDescent="0.2">
      <c r="A31" s="983"/>
      <c r="B31" s="852"/>
      <c r="C31" s="380"/>
      <c r="D31" s="2618"/>
      <c r="E31" s="2623"/>
      <c r="F31" s="2623"/>
      <c r="G31" s="2618"/>
      <c r="H31" s="2623"/>
      <c r="I31" s="2623"/>
      <c r="J31" s="4450">
        <v>207</v>
      </c>
      <c r="K31" s="2899" t="s">
        <v>2406</v>
      </c>
      <c r="L31" s="3560" t="s">
        <v>2407</v>
      </c>
      <c r="M31" s="3398">
        <v>1</v>
      </c>
      <c r="N31" s="2608" t="s">
        <v>2408</v>
      </c>
      <c r="O31" s="3399"/>
      <c r="P31" s="3605"/>
      <c r="Q31" s="3430">
        <f>(+V31+V32)/R29</f>
        <v>0.51428571428571423</v>
      </c>
      <c r="R31" s="3660"/>
      <c r="S31" s="3406"/>
      <c r="T31" s="3406" t="s">
        <v>2106</v>
      </c>
      <c r="U31" s="4448" t="s">
        <v>2409</v>
      </c>
      <c r="V31" s="2650">
        <v>100000000</v>
      </c>
      <c r="W31" s="1586">
        <v>12</v>
      </c>
      <c r="X31" s="2620" t="s">
        <v>2360</v>
      </c>
      <c r="Y31" s="4447"/>
      <c r="Z31" s="4443"/>
      <c r="AA31" s="4443"/>
      <c r="AB31" s="4443"/>
      <c r="AC31" s="4443"/>
      <c r="AD31" s="4443"/>
      <c r="AE31" s="4443"/>
      <c r="AF31" s="4443"/>
      <c r="AG31" s="4443"/>
      <c r="AH31" s="4443"/>
      <c r="AI31" s="4443"/>
      <c r="AJ31" s="4443"/>
      <c r="AK31" s="4443"/>
      <c r="AL31" s="4443"/>
      <c r="AM31" s="4443"/>
      <c r="AN31" s="4443"/>
      <c r="AO31" s="3997"/>
      <c r="AP31" s="3997"/>
      <c r="AQ31" s="4414"/>
    </row>
    <row r="32" spans="1:43" ht="51" customHeight="1" x14ac:dyDescent="0.2">
      <c r="A32" s="983"/>
      <c r="B32" s="852"/>
      <c r="C32" s="380"/>
      <c r="D32" s="2618"/>
      <c r="E32" s="2623"/>
      <c r="F32" s="2623"/>
      <c r="G32" s="2618"/>
      <c r="H32" s="2623"/>
      <c r="I32" s="2623"/>
      <c r="J32" s="4451"/>
      <c r="K32" s="2900"/>
      <c r="L32" s="3562"/>
      <c r="M32" s="3412"/>
      <c r="N32" s="2608" t="s">
        <v>2410</v>
      </c>
      <c r="O32" s="3399"/>
      <c r="P32" s="3605"/>
      <c r="Q32" s="3432"/>
      <c r="R32" s="3660"/>
      <c r="S32" s="3406"/>
      <c r="T32" s="3406"/>
      <c r="U32" s="4449"/>
      <c r="V32" s="2650">
        <v>80000000</v>
      </c>
      <c r="W32" s="1586">
        <v>13</v>
      </c>
      <c r="X32" s="2610" t="s">
        <v>2393</v>
      </c>
      <c r="Y32" s="4447"/>
      <c r="Z32" s="4443"/>
      <c r="AA32" s="4443"/>
      <c r="AB32" s="4443"/>
      <c r="AC32" s="4443"/>
      <c r="AD32" s="4443"/>
      <c r="AE32" s="4443"/>
      <c r="AF32" s="4443"/>
      <c r="AG32" s="4443"/>
      <c r="AH32" s="4443"/>
      <c r="AI32" s="4443"/>
      <c r="AJ32" s="4443"/>
      <c r="AK32" s="4443"/>
      <c r="AL32" s="4443"/>
      <c r="AM32" s="4443"/>
      <c r="AN32" s="4443"/>
      <c r="AO32" s="3997"/>
      <c r="AP32" s="3997"/>
      <c r="AQ32" s="4414"/>
    </row>
    <row r="33" spans="1:43" ht="38.25" customHeight="1" x14ac:dyDescent="0.2">
      <c r="A33" s="983"/>
      <c r="B33" s="852"/>
      <c r="C33" s="380"/>
      <c r="D33" s="2618"/>
      <c r="E33" s="2623"/>
      <c r="F33" s="2623"/>
      <c r="G33" s="2618"/>
      <c r="H33" s="2623"/>
      <c r="I33" s="2623"/>
      <c r="J33" s="3107">
        <v>208</v>
      </c>
      <c r="K33" s="3413" t="s">
        <v>2411</v>
      </c>
      <c r="L33" s="3413" t="s">
        <v>2412</v>
      </c>
      <c r="M33" s="3107">
        <v>1</v>
      </c>
      <c r="N33" s="2608" t="s">
        <v>2413</v>
      </c>
      <c r="O33" s="3399"/>
      <c r="P33" s="3605"/>
      <c r="Q33" s="3430">
        <f>SUM(V33:V34)/R29</f>
        <v>0.15714285714285714</v>
      </c>
      <c r="R33" s="3660"/>
      <c r="S33" s="3406"/>
      <c r="T33" s="3406" t="s">
        <v>2106</v>
      </c>
      <c r="U33" s="4438" t="s">
        <v>2414</v>
      </c>
      <c r="V33" s="2650">
        <v>30000000</v>
      </c>
      <c r="W33" s="1586">
        <v>4</v>
      </c>
      <c r="X33" s="2620" t="s">
        <v>2369</v>
      </c>
      <c r="Y33" s="4447"/>
      <c r="Z33" s="4443"/>
      <c r="AA33" s="4443"/>
      <c r="AB33" s="4443"/>
      <c r="AC33" s="4443"/>
      <c r="AD33" s="4443"/>
      <c r="AE33" s="4443"/>
      <c r="AF33" s="4443"/>
      <c r="AG33" s="4443"/>
      <c r="AH33" s="4443"/>
      <c r="AI33" s="4443"/>
      <c r="AJ33" s="4443"/>
      <c r="AK33" s="4443"/>
      <c r="AL33" s="4443"/>
      <c r="AM33" s="4443"/>
      <c r="AN33" s="4443"/>
      <c r="AO33" s="3997"/>
      <c r="AP33" s="3997"/>
      <c r="AQ33" s="4414"/>
    </row>
    <row r="34" spans="1:43" ht="34.5" customHeight="1" x14ac:dyDescent="0.2">
      <c r="A34" s="983"/>
      <c r="B34" s="852"/>
      <c r="C34" s="380"/>
      <c r="D34" s="2618"/>
      <c r="E34" s="2623"/>
      <c r="F34" s="2623"/>
      <c r="G34" s="2618"/>
      <c r="H34" s="2623"/>
      <c r="I34" s="2623"/>
      <c r="J34" s="3107"/>
      <c r="K34" s="3413"/>
      <c r="L34" s="3413"/>
      <c r="M34" s="3107"/>
      <c r="N34" s="2608" t="s">
        <v>2415</v>
      </c>
      <c r="O34" s="3412"/>
      <c r="P34" s="3426"/>
      <c r="Q34" s="3432"/>
      <c r="R34" s="3660"/>
      <c r="S34" s="3403"/>
      <c r="T34" s="3403" t="s">
        <v>2106</v>
      </c>
      <c r="U34" s="4438"/>
      <c r="V34" s="2650">
        <v>25000000</v>
      </c>
      <c r="W34" s="1586">
        <v>12</v>
      </c>
      <c r="X34" s="2620" t="s">
        <v>2360</v>
      </c>
      <c r="Y34" s="4447"/>
      <c r="Z34" s="4443"/>
      <c r="AA34" s="4443"/>
      <c r="AB34" s="4443"/>
      <c r="AC34" s="4443"/>
      <c r="AD34" s="4443"/>
      <c r="AE34" s="4443"/>
      <c r="AF34" s="4443"/>
      <c r="AG34" s="4443"/>
      <c r="AH34" s="4443"/>
      <c r="AI34" s="4443"/>
      <c r="AJ34" s="4443"/>
      <c r="AK34" s="4443"/>
      <c r="AL34" s="4443"/>
      <c r="AM34" s="4443"/>
      <c r="AN34" s="4443"/>
      <c r="AO34" s="3997"/>
      <c r="AP34" s="3997"/>
      <c r="AQ34" s="4414"/>
    </row>
    <row r="35" spans="1:43" ht="15" x14ac:dyDescent="0.2">
      <c r="A35" s="981"/>
      <c r="B35" s="371"/>
      <c r="C35" s="372"/>
      <c r="D35" s="373">
        <v>21</v>
      </c>
      <c r="E35" s="374" t="s">
        <v>2416</v>
      </c>
      <c r="F35" s="374"/>
      <c r="G35" s="374"/>
      <c r="H35" s="374"/>
      <c r="I35" s="374"/>
      <c r="J35" s="374"/>
      <c r="K35" s="1092"/>
      <c r="L35" s="1092"/>
      <c r="M35" s="2656"/>
      <c r="N35" s="374"/>
      <c r="O35" s="376"/>
      <c r="P35" s="375"/>
      <c r="Q35" s="377"/>
      <c r="R35" s="2659"/>
      <c r="S35" s="1092" t="s">
        <v>2106</v>
      </c>
      <c r="T35" s="1092" t="s">
        <v>2106</v>
      </c>
      <c r="U35" s="1092"/>
      <c r="V35" s="2651"/>
      <c r="W35" s="1093"/>
      <c r="X35" s="1092"/>
      <c r="Y35" s="376"/>
      <c r="Z35" s="376"/>
      <c r="AA35" s="376"/>
      <c r="AB35" s="376"/>
      <c r="AC35" s="376"/>
      <c r="AD35" s="376"/>
      <c r="AE35" s="376"/>
      <c r="AF35" s="376"/>
      <c r="AG35" s="376"/>
      <c r="AH35" s="376"/>
      <c r="AI35" s="376"/>
      <c r="AJ35" s="376"/>
      <c r="AK35" s="376"/>
      <c r="AL35" s="376"/>
      <c r="AM35" s="376"/>
      <c r="AN35" s="376"/>
      <c r="AO35" s="987"/>
      <c r="AP35" s="987"/>
      <c r="AQ35" s="982"/>
    </row>
    <row r="36" spans="1:43" ht="15" x14ac:dyDescent="0.2">
      <c r="A36" s="983"/>
      <c r="B36" s="852"/>
      <c r="C36" s="380"/>
      <c r="D36" s="2618"/>
      <c r="E36" s="2623"/>
      <c r="F36" s="2623"/>
      <c r="G36" s="381">
        <v>72</v>
      </c>
      <c r="H36" s="382" t="s">
        <v>2417</v>
      </c>
      <c r="I36" s="382"/>
      <c r="J36" s="382"/>
      <c r="K36" s="1090"/>
      <c r="L36" s="1090"/>
      <c r="M36" s="2655"/>
      <c r="N36" s="382"/>
      <c r="O36" s="384"/>
      <c r="P36" s="383"/>
      <c r="Q36" s="385"/>
      <c r="R36" s="2660"/>
      <c r="S36" s="1090" t="s">
        <v>2106</v>
      </c>
      <c r="T36" s="1090" t="s">
        <v>2106</v>
      </c>
      <c r="U36" s="1090"/>
      <c r="V36" s="2648"/>
      <c r="W36" s="1091"/>
      <c r="X36" s="1091"/>
      <c r="Y36" s="386"/>
      <c r="Z36" s="386"/>
      <c r="AA36" s="386"/>
      <c r="AB36" s="386"/>
      <c r="AC36" s="386"/>
      <c r="AD36" s="386"/>
      <c r="AE36" s="386"/>
      <c r="AF36" s="386"/>
      <c r="AG36" s="386"/>
      <c r="AH36" s="386"/>
      <c r="AI36" s="386"/>
      <c r="AJ36" s="386"/>
      <c r="AK36" s="386"/>
      <c r="AL36" s="386"/>
      <c r="AM36" s="386"/>
      <c r="AN36" s="386"/>
      <c r="AO36" s="985"/>
      <c r="AP36" s="985"/>
      <c r="AQ36" s="986"/>
    </row>
    <row r="37" spans="1:43" ht="37.5" customHeight="1" x14ac:dyDescent="0.2">
      <c r="A37" s="983"/>
      <c r="B37" s="852"/>
      <c r="C37" s="380"/>
      <c r="D37" s="2618"/>
      <c r="E37" s="2623"/>
      <c r="F37" s="2623"/>
      <c r="G37" s="2618"/>
      <c r="H37" s="2623"/>
      <c r="I37" s="2623"/>
      <c r="J37" s="3107">
        <v>209</v>
      </c>
      <c r="K37" s="2899" t="s">
        <v>2418</v>
      </c>
      <c r="L37" s="2899" t="s">
        <v>2419</v>
      </c>
      <c r="M37" s="3398">
        <v>1</v>
      </c>
      <c r="N37" s="2608" t="s">
        <v>2420</v>
      </c>
      <c r="O37" s="3398" t="s">
        <v>2421</v>
      </c>
      <c r="P37" s="3402" t="s">
        <v>2422</v>
      </c>
      <c r="Q37" s="3430">
        <f>SUM(V37:V39)/R37</f>
        <v>0.30849657402537445</v>
      </c>
      <c r="R37" s="3607">
        <f>+SUM(V37:V47)</f>
        <v>294330659.22000003</v>
      </c>
      <c r="S37" s="3402" t="s">
        <v>2423</v>
      </c>
      <c r="T37" s="3402" t="s">
        <v>2424</v>
      </c>
      <c r="U37" s="3202" t="s">
        <v>2425</v>
      </c>
      <c r="V37" s="2649">
        <v>30000000</v>
      </c>
      <c r="W37" s="1585">
        <v>3</v>
      </c>
      <c r="X37" s="2610" t="s">
        <v>2365</v>
      </c>
      <c r="Y37" s="3675">
        <v>1666</v>
      </c>
      <c r="Z37" s="3675">
        <v>1507</v>
      </c>
      <c r="AA37" s="3675">
        <v>1400</v>
      </c>
      <c r="AB37" s="3675">
        <v>350</v>
      </c>
      <c r="AC37" s="3675">
        <v>450</v>
      </c>
      <c r="AD37" s="3675">
        <v>973</v>
      </c>
      <c r="AE37" s="3675"/>
      <c r="AF37" s="3675"/>
      <c r="AG37" s="3675"/>
      <c r="AH37" s="3675"/>
      <c r="AI37" s="3675"/>
      <c r="AJ37" s="3675"/>
      <c r="AK37" s="3675"/>
      <c r="AL37" s="3675"/>
      <c r="AM37" s="3675"/>
      <c r="AN37" s="3675">
        <v>3173</v>
      </c>
      <c r="AO37" s="3996">
        <v>43480</v>
      </c>
      <c r="AP37" s="3996">
        <v>43830</v>
      </c>
      <c r="AQ37" s="4413" t="s">
        <v>2361</v>
      </c>
    </row>
    <row r="38" spans="1:43" ht="28.5" customHeight="1" x14ac:dyDescent="0.2">
      <c r="A38" s="983"/>
      <c r="B38" s="852"/>
      <c r="C38" s="380"/>
      <c r="D38" s="2618"/>
      <c r="E38" s="2623"/>
      <c r="F38" s="2623"/>
      <c r="G38" s="2618"/>
      <c r="H38" s="2623"/>
      <c r="I38" s="2623"/>
      <c r="J38" s="3107"/>
      <c r="K38" s="3397"/>
      <c r="L38" s="3397"/>
      <c r="M38" s="3399"/>
      <c r="N38" s="2608"/>
      <c r="O38" s="3399"/>
      <c r="P38" s="3406"/>
      <c r="Q38" s="3431"/>
      <c r="R38" s="4441"/>
      <c r="S38" s="3406"/>
      <c r="T38" s="3406"/>
      <c r="U38" s="3336"/>
      <c r="V38" s="2649">
        <v>40800000</v>
      </c>
      <c r="W38" s="1585">
        <v>7</v>
      </c>
      <c r="X38" s="2610" t="s">
        <v>2391</v>
      </c>
      <c r="Y38" s="4017"/>
      <c r="Z38" s="4017"/>
      <c r="AA38" s="4017"/>
      <c r="AB38" s="4017"/>
      <c r="AC38" s="4017"/>
      <c r="AD38" s="4017"/>
      <c r="AE38" s="4017"/>
      <c r="AF38" s="4017"/>
      <c r="AG38" s="4017"/>
      <c r="AH38" s="4017"/>
      <c r="AI38" s="4017"/>
      <c r="AJ38" s="4017"/>
      <c r="AK38" s="4017"/>
      <c r="AL38" s="4017"/>
      <c r="AM38" s="4017"/>
      <c r="AN38" s="4017"/>
      <c r="AO38" s="3997"/>
      <c r="AP38" s="3997"/>
      <c r="AQ38" s="4414"/>
    </row>
    <row r="39" spans="1:43" ht="42" customHeight="1" x14ac:dyDescent="0.2">
      <c r="A39" s="983"/>
      <c r="B39" s="852"/>
      <c r="C39" s="380"/>
      <c r="D39" s="2618"/>
      <c r="E39" s="2623"/>
      <c r="F39" s="2623"/>
      <c r="G39" s="2618"/>
      <c r="H39" s="2623"/>
      <c r="I39" s="2623"/>
      <c r="J39" s="3107"/>
      <c r="K39" s="2900"/>
      <c r="L39" s="2900"/>
      <c r="M39" s="3412"/>
      <c r="N39" s="2608" t="s">
        <v>2426</v>
      </c>
      <c r="O39" s="3399"/>
      <c r="P39" s="3406"/>
      <c r="Q39" s="3432"/>
      <c r="R39" s="4441"/>
      <c r="S39" s="3406"/>
      <c r="T39" s="3406"/>
      <c r="U39" s="3203"/>
      <c r="V39" s="2649">
        <v>20000000</v>
      </c>
      <c r="W39" s="1585">
        <v>3</v>
      </c>
      <c r="X39" s="2610" t="s">
        <v>2427</v>
      </c>
      <c r="Y39" s="4017"/>
      <c r="Z39" s="4017"/>
      <c r="AA39" s="4017"/>
      <c r="AB39" s="4017"/>
      <c r="AC39" s="4017"/>
      <c r="AD39" s="4017"/>
      <c r="AE39" s="4017"/>
      <c r="AF39" s="4017"/>
      <c r="AG39" s="4017"/>
      <c r="AH39" s="4017"/>
      <c r="AI39" s="4017"/>
      <c r="AJ39" s="4017"/>
      <c r="AK39" s="4017"/>
      <c r="AL39" s="4017"/>
      <c r="AM39" s="4017"/>
      <c r="AN39" s="4017"/>
      <c r="AO39" s="3997"/>
      <c r="AP39" s="3997"/>
      <c r="AQ39" s="4414"/>
    </row>
    <row r="40" spans="1:43" ht="18.75" customHeight="1" x14ac:dyDescent="0.2">
      <c r="A40" s="983"/>
      <c r="B40" s="852"/>
      <c r="C40" s="380"/>
      <c r="D40" s="2618"/>
      <c r="E40" s="2623"/>
      <c r="F40" s="2623"/>
      <c r="G40" s="2618"/>
      <c r="H40" s="2623"/>
      <c r="I40" s="2623"/>
      <c r="J40" s="3398">
        <v>210</v>
      </c>
      <c r="K40" s="2899" t="s">
        <v>2428</v>
      </c>
      <c r="L40" s="2899" t="s">
        <v>2429</v>
      </c>
      <c r="M40" s="3398">
        <v>1</v>
      </c>
      <c r="N40" s="2608" t="s">
        <v>2430</v>
      </c>
      <c r="O40" s="3399"/>
      <c r="P40" s="3406"/>
      <c r="Q40" s="3430">
        <f>SUM(V40:V43)/R37</f>
        <v>0.27442275369494207</v>
      </c>
      <c r="R40" s="4441"/>
      <c r="S40" s="3406"/>
      <c r="T40" s="3406"/>
      <c r="U40" s="3202" t="s">
        <v>2431</v>
      </c>
      <c r="V40" s="2649">
        <v>9000000</v>
      </c>
      <c r="W40" s="1585">
        <v>4</v>
      </c>
      <c r="X40" s="2610" t="s">
        <v>2369</v>
      </c>
      <c r="Y40" s="4017"/>
      <c r="Z40" s="4017"/>
      <c r="AA40" s="4017"/>
      <c r="AB40" s="4017"/>
      <c r="AC40" s="4017"/>
      <c r="AD40" s="4017"/>
      <c r="AE40" s="4017"/>
      <c r="AF40" s="4017"/>
      <c r="AG40" s="4017"/>
      <c r="AH40" s="4017"/>
      <c r="AI40" s="4017"/>
      <c r="AJ40" s="4017"/>
      <c r="AK40" s="4017"/>
      <c r="AL40" s="4017"/>
      <c r="AM40" s="4017"/>
      <c r="AN40" s="4017"/>
      <c r="AO40" s="3997"/>
      <c r="AP40" s="3997"/>
      <c r="AQ40" s="4414"/>
    </row>
    <row r="41" spans="1:43" ht="27.75" customHeight="1" x14ac:dyDescent="0.2">
      <c r="A41" s="983"/>
      <c r="B41" s="852"/>
      <c r="C41" s="380"/>
      <c r="D41" s="2618"/>
      <c r="E41" s="2623"/>
      <c r="F41" s="2623"/>
      <c r="G41" s="2618"/>
      <c r="H41" s="2623"/>
      <c r="I41" s="2623"/>
      <c r="J41" s="3399"/>
      <c r="K41" s="3397"/>
      <c r="L41" s="3397"/>
      <c r="M41" s="3399"/>
      <c r="N41" s="2608"/>
      <c r="O41" s="3399"/>
      <c r="P41" s="3406"/>
      <c r="Q41" s="3431"/>
      <c r="R41" s="4441"/>
      <c r="S41" s="3406"/>
      <c r="T41" s="3406"/>
      <c r="U41" s="3336"/>
      <c r="V41" s="2649">
        <v>25000000</v>
      </c>
      <c r="W41" s="1585">
        <v>3</v>
      </c>
      <c r="X41" s="2610" t="s">
        <v>2365</v>
      </c>
      <c r="Y41" s="4017"/>
      <c r="Z41" s="4017"/>
      <c r="AA41" s="4017"/>
      <c r="AB41" s="4017"/>
      <c r="AC41" s="4017"/>
      <c r="AD41" s="4017"/>
      <c r="AE41" s="4017"/>
      <c r="AF41" s="4017"/>
      <c r="AG41" s="4017"/>
      <c r="AH41" s="4017"/>
      <c r="AI41" s="4017"/>
      <c r="AJ41" s="4017"/>
      <c r="AK41" s="4017"/>
      <c r="AL41" s="4017"/>
      <c r="AM41" s="4017"/>
      <c r="AN41" s="4017"/>
      <c r="AO41" s="3997"/>
      <c r="AP41" s="3997"/>
      <c r="AQ41" s="4414"/>
    </row>
    <row r="42" spans="1:43" ht="41.25" customHeight="1" x14ac:dyDescent="0.2">
      <c r="A42" s="983"/>
      <c r="B42" s="852"/>
      <c r="C42" s="380"/>
      <c r="D42" s="2618"/>
      <c r="E42" s="2623"/>
      <c r="F42" s="2623"/>
      <c r="G42" s="2618"/>
      <c r="H42" s="2623"/>
      <c r="I42" s="2623"/>
      <c r="J42" s="3399"/>
      <c r="K42" s="3397"/>
      <c r="L42" s="3397"/>
      <c r="M42" s="3399"/>
      <c r="N42" s="2608" t="s">
        <v>2432</v>
      </c>
      <c r="O42" s="3399"/>
      <c r="P42" s="3406"/>
      <c r="Q42" s="3431"/>
      <c r="R42" s="4441"/>
      <c r="S42" s="3406"/>
      <c r="T42" s="3406"/>
      <c r="U42" s="3336"/>
      <c r="V42" s="2649">
        <v>34600000</v>
      </c>
      <c r="W42" s="1585">
        <v>3</v>
      </c>
      <c r="X42" s="2610" t="s">
        <v>2427</v>
      </c>
      <c r="Y42" s="4017"/>
      <c r="Z42" s="4017"/>
      <c r="AA42" s="4017"/>
      <c r="AB42" s="4017"/>
      <c r="AC42" s="4017"/>
      <c r="AD42" s="4017"/>
      <c r="AE42" s="4017"/>
      <c r="AF42" s="4017"/>
      <c r="AG42" s="4017"/>
      <c r="AH42" s="4017"/>
      <c r="AI42" s="4017"/>
      <c r="AJ42" s="4017"/>
      <c r="AK42" s="4017"/>
      <c r="AL42" s="4017"/>
      <c r="AM42" s="4017"/>
      <c r="AN42" s="4017"/>
      <c r="AO42" s="3997"/>
      <c r="AP42" s="3997"/>
      <c r="AQ42" s="4414"/>
    </row>
    <row r="43" spans="1:43" ht="21.75" customHeight="1" x14ac:dyDescent="0.2">
      <c r="A43" s="983"/>
      <c r="B43" s="852"/>
      <c r="C43" s="380"/>
      <c r="D43" s="2618"/>
      <c r="E43" s="2623"/>
      <c r="F43" s="2623"/>
      <c r="G43" s="2618"/>
      <c r="H43" s="2623"/>
      <c r="I43" s="2623"/>
      <c r="J43" s="3412"/>
      <c r="K43" s="2900"/>
      <c r="L43" s="2900"/>
      <c r="M43" s="3412"/>
      <c r="N43" s="2608" t="s">
        <v>2433</v>
      </c>
      <c r="O43" s="3399"/>
      <c r="P43" s="3406"/>
      <c r="Q43" s="3432"/>
      <c r="R43" s="4441"/>
      <c r="S43" s="3406"/>
      <c r="T43" s="3406"/>
      <c r="U43" s="3203"/>
      <c r="V43" s="2649">
        <v>12171030</v>
      </c>
      <c r="W43" s="1585">
        <v>7</v>
      </c>
      <c r="X43" s="2610" t="s">
        <v>2391</v>
      </c>
      <c r="Y43" s="4017"/>
      <c r="Z43" s="4017"/>
      <c r="AA43" s="4017"/>
      <c r="AB43" s="4017"/>
      <c r="AC43" s="4017"/>
      <c r="AD43" s="4017"/>
      <c r="AE43" s="4017"/>
      <c r="AF43" s="4017"/>
      <c r="AG43" s="4017"/>
      <c r="AH43" s="4017"/>
      <c r="AI43" s="4017"/>
      <c r="AJ43" s="4017"/>
      <c r="AK43" s="4017"/>
      <c r="AL43" s="4017"/>
      <c r="AM43" s="4017"/>
      <c r="AN43" s="4017"/>
      <c r="AO43" s="3997"/>
      <c r="AP43" s="3997"/>
      <c r="AQ43" s="4414"/>
    </row>
    <row r="44" spans="1:43" ht="21.75" customHeight="1" x14ac:dyDescent="0.2">
      <c r="A44" s="983"/>
      <c r="B44" s="852"/>
      <c r="C44" s="380"/>
      <c r="D44" s="2618"/>
      <c r="E44" s="2623"/>
      <c r="F44" s="2623"/>
      <c r="G44" s="2618"/>
      <c r="H44" s="2623"/>
      <c r="I44" s="2623"/>
      <c r="J44" s="3398">
        <v>211</v>
      </c>
      <c r="K44" s="2899" t="s">
        <v>2434</v>
      </c>
      <c r="L44" s="2899" t="s">
        <v>2435</v>
      </c>
      <c r="M44" s="3398">
        <v>1</v>
      </c>
      <c r="N44" s="2608" t="s">
        <v>2436</v>
      </c>
      <c r="O44" s="3399"/>
      <c r="P44" s="3406"/>
      <c r="Q44" s="3430">
        <f>SUM(V44:V47)/R37</f>
        <v>0.41708067227968337</v>
      </c>
      <c r="R44" s="4441"/>
      <c r="S44" s="3406"/>
      <c r="T44" s="3406"/>
      <c r="U44" s="3202" t="s">
        <v>2437</v>
      </c>
      <c r="V44" s="2649">
        <v>25000000</v>
      </c>
      <c r="W44" s="1585">
        <v>3</v>
      </c>
      <c r="X44" s="2610" t="s">
        <v>2365</v>
      </c>
      <c r="Y44" s="4017"/>
      <c r="Z44" s="4017"/>
      <c r="AA44" s="4017"/>
      <c r="AB44" s="4017"/>
      <c r="AC44" s="4017"/>
      <c r="AD44" s="4017"/>
      <c r="AE44" s="4017"/>
      <c r="AF44" s="4017"/>
      <c r="AG44" s="4017"/>
      <c r="AH44" s="4017"/>
      <c r="AI44" s="4017"/>
      <c r="AJ44" s="4017"/>
      <c r="AK44" s="4017"/>
      <c r="AL44" s="4017"/>
      <c r="AM44" s="4017"/>
      <c r="AN44" s="4017"/>
      <c r="AO44" s="3997"/>
      <c r="AP44" s="3997"/>
      <c r="AQ44" s="4414"/>
    </row>
    <row r="45" spans="1:43" ht="21.75" customHeight="1" x14ac:dyDescent="0.2">
      <c r="A45" s="983"/>
      <c r="B45" s="852"/>
      <c r="C45" s="380"/>
      <c r="D45" s="2618"/>
      <c r="E45" s="2623"/>
      <c r="F45" s="2623"/>
      <c r="G45" s="2618"/>
      <c r="H45" s="2623"/>
      <c r="I45" s="2623"/>
      <c r="J45" s="3399"/>
      <c r="K45" s="3397"/>
      <c r="L45" s="3397"/>
      <c r="M45" s="3399"/>
      <c r="N45" s="2608" t="s">
        <v>2438</v>
      </c>
      <c r="O45" s="3399"/>
      <c r="P45" s="3406"/>
      <c r="Q45" s="3431"/>
      <c r="R45" s="4441"/>
      <c r="S45" s="3406"/>
      <c r="T45" s="3406"/>
      <c r="U45" s="3336"/>
      <c r="V45" s="2649">
        <v>72600000</v>
      </c>
      <c r="W45" s="1585">
        <v>7</v>
      </c>
      <c r="X45" s="2610" t="s">
        <v>2391</v>
      </c>
      <c r="Y45" s="4017"/>
      <c r="Z45" s="4017"/>
      <c r="AA45" s="4017"/>
      <c r="AB45" s="4017"/>
      <c r="AC45" s="4017"/>
      <c r="AD45" s="4017"/>
      <c r="AE45" s="4017"/>
      <c r="AF45" s="4017"/>
      <c r="AG45" s="4017"/>
      <c r="AH45" s="4017"/>
      <c r="AI45" s="4017"/>
      <c r="AJ45" s="4017"/>
      <c r="AK45" s="4017"/>
      <c r="AL45" s="4017"/>
      <c r="AM45" s="4017"/>
      <c r="AN45" s="4017"/>
      <c r="AO45" s="3997"/>
      <c r="AP45" s="3997"/>
      <c r="AQ45" s="4414"/>
    </row>
    <row r="46" spans="1:43" ht="29.25" customHeight="1" x14ac:dyDescent="0.2">
      <c r="A46" s="983"/>
      <c r="B46" s="852"/>
      <c r="C46" s="380"/>
      <c r="D46" s="2618"/>
      <c r="E46" s="2623"/>
      <c r="F46" s="2623"/>
      <c r="G46" s="2618"/>
      <c r="H46" s="2623"/>
      <c r="I46" s="2623"/>
      <c r="J46" s="3399"/>
      <c r="K46" s="3397"/>
      <c r="L46" s="3397"/>
      <c r="M46" s="3399"/>
      <c r="N46" s="2608" t="s">
        <v>2439</v>
      </c>
      <c r="O46" s="3399"/>
      <c r="P46" s="3406"/>
      <c r="Q46" s="3431"/>
      <c r="R46" s="4441"/>
      <c r="S46" s="3406"/>
      <c r="T46" s="3406"/>
      <c r="U46" s="3336"/>
      <c r="V46" s="2649">
        <v>11503067.800000001</v>
      </c>
      <c r="W46" s="1585">
        <v>6</v>
      </c>
      <c r="X46" s="2610" t="s">
        <v>2440</v>
      </c>
      <c r="Y46" s="4017"/>
      <c r="Z46" s="4017"/>
      <c r="AA46" s="4017"/>
      <c r="AB46" s="4017"/>
      <c r="AC46" s="4017"/>
      <c r="AD46" s="4017"/>
      <c r="AE46" s="4017"/>
      <c r="AF46" s="4017"/>
      <c r="AG46" s="4017"/>
      <c r="AH46" s="4017"/>
      <c r="AI46" s="4017"/>
      <c r="AJ46" s="4017"/>
      <c r="AK46" s="4017"/>
      <c r="AL46" s="4017"/>
      <c r="AM46" s="4017"/>
      <c r="AN46" s="4017"/>
      <c r="AO46" s="3997"/>
      <c r="AP46" s="3997"/>
      <c r="AQ46" s="4414"/>
    </row>
    <row r="47" spans="1:43" ht="27.75" customHeight="1" x14ac:dyDescent="0.2">
      <c r="A47" s="983"/>
      <c r="B47" s="852"/>
      <c r="C47" s="380"/>
      <c r="D47" s="2618"/>
      <c r="E47" s="2623"/>
      <c r="F47" s="2623"/>
      <c r="G47" s="2618"/>
      <c r="H47" s="2623"/>
      <c r="I47" s="2623"/>
      <c r="J47" s="3412"/>
      <c r="K47" s="3397"/>
      <c r="L47" s="3397"/>
      <c r="M47" s="3399"/>
      <c r="N47" s="2608" t="s">
        <v>2441</v>
      </c>
      <c r="O47" s="3412"/>
      <c r="P47" s="3403"/>
      <c r="Q47" s="3432"/>
      <c r="R47" s="3608"/>
      <c r="S47" s="3403"/>
      <c r="T47" s="3403"/>
      <c r="U47" s="3203"/>
      <c r="V47" s="2649">
        <v>13656561.42</v>
      </c>
      <c r="W47" s="1585">
        <v>13</v>
      </c>
      <c r="X47" s="2610" t="s">
        <v>2442</v>
      </c>
      <c r="Y47" s="3677"/>
      <c r="Z47" s="3677"/>
      <c r="AA47" s="3677"/>
      <c r="AB47" s="3677"/>
      <c r="AC47" s="3677"/>
      <c r="AD47" s="3677"/>
      <c r="AE47" s="3677"/>
      <c r="AF47" s="3677"/>
      <c r="AG47" s="3677"/>
      <c r="AH47" s="3677"/>
      <c r="AI47" s="3677"/>
      <c r="AJ47" s="3677"/>
      <c r="AK47" s="3677"/>
      <c r="AL47" s="3677"/>
      <c r="AM47" s="3677"/>
      <c r="AN47" s="3677"/>
      <c r="AO47" s="4439"/>
      <c r="AP47" s="4439"/>
      <c r="AQ47" s="4440"/>
    </row>
    <row r="48" spans="1:43" ht="15" x14ac:dyDescent="0.2">
      <c r="A48" s="983"/>
      <c r="B48" s="852"/>
      <c r="C48" s="380"/>
      <c r="D48" s="2618"/>
      <c r="E48" s="2623"/>
      <c r="F48" s="2623"/>
      <c r="G48" s="381">
        <v>73</v>
      </c>
      <c r="H48" s="382" t="s">
        <v>2443</v>
      </c>
      <c r="I48" s="382"/>
      <c r="J48" s="382"/>
      <c r="K48" s="1090"/>
      <c r="L48" s="1090"/>
      <c r="M48" s="2655"/>
      <c r="N48" s="382"/>
      <c r="O48" s="384"/>
      <c r="P48" s="383"/>
      <c r="Q48" s="385"/>
      <c r="R48" s="2660"/>
      <c r="S48" s="1090" t="s">
        <v>2106</v>
      </c>
      <c r="T48" s="1090" t="s">
        <v>2106</v>
      </c>
      <c r="U48" s="1090"/>
      <c r="V48" s="2648"/>
      <c r="W48" s="1091"/>
      <c r="X48" s="1090"/>
      <c r="Y48" s="384"/>
      <c r="Z48" s="384"/>
      <c r="AA48" s="384"/>
      <c r="AB48" s="384"/>
      <c r="AC48" s="384"/>
      <c r="AD48" s="384"/>
      <c r="AE48" s="384"/>
      <c r="AF48" s="384"/>
      <c r="AG48" s="384"/>
      <c r="AH48" s="384"/>
      <c r="AI48" s="384"/>
      <c r="AJ48" s="384"/>
      <c r="AK48" s="384"/>
      <c r="AL48" s="384"/>
      <c r="AM48" s="384"/>
      <c r="AN48" s="384"/>
      <c r="AO48" s="985"/>
      <c r="AP48" s="985"/>
      <c r="AQ48" s="984"/>
    </row>
    <row r="49" spans="1:43" ht="45.75" customHeight="1" x14ac:dyDescent="0.2">
      <c r="A49" s="983"/>
      <c r="B49" s="852"/>
      <c r="C49" s="380"/>
      <c r="D49" s="2618"/>
      <c r="E49" s="2623"/>
      <c r="F49" s="2623"/>
      <c r="G49" s="2618"/>
      <c r="H49" s="2623"/>
      <c r="I49" s="2623"/>
      <c r="J49" s="3107">
        <v>212</v>
      </c>
      <c r="K49" s="3427" t="s">
        <v>2444</v>
      </c>
      <c r="L49" s="3413" t="s">
        <v>2445</v>
      </c>
      <c r="M49" s="3107">
        <v>1</v>
      </c>
      <c r="N49" s="2608" t="s">
        <v>2446</v>
      </c>
      <c r="O49" s="3107" t="s">
        <v>2447</v>
      </c>
      <c r="P49" s="3427" t="s">
        <v>2448</v>
      </c>
      <c r="Q49" s="3430">
        <f>SUM(V49:V51)/R49</f>
        <v>1</v>
      </c>
      <c r="R49" s="3660">
        <f>+SUM(V49:V51)</f>
        <v>168999321.65000001</v>
      </c>
      <c r="S49" s="3402" t="s">
        <v>2449</v>
      </c>
      <c r="T49" s="3402" t="s">
        <v>2450</v>
      </c>
      <c r="U49" s="4438" t="s">
        <v>2451</v>
      </c>
      <c r="V49" s="2650">
        <v>40000000</v>
      </c>
      <c r="W49" s="1586">
        <v>3</v>
      </c>
      <c r="X49" s="2620" t="s">
        <v>2365</v>
      </c>
      <c r="Y49" s="4008">
        <v>3380</v>
      </c>
      <c r="Z49" s="3675">
        <v>460</v>
      </c>
      <c r="AA49" s="3675"/>
      <c r="AB49" s="3675"/>
      <c r="AC49" s="3675">
        <v>3840</v>
      </c>
      <c r="AD49" s="3675"/>
      <c r="AE49" s="3675"/>
      <c r="AF49" s="3675"/>
      <c r="AG49" s="3675"/>
      <c r="AH49" s="3675"/>
      <c r="AI49" s="3675"/>
      <c r="AJ49" s="3675"/>
      <c r="AK49" s="3675"/>
      <c r="AL49" s="3675"/>
      <c r="AM49" s="3675"/>
      <c r="AN49" s="3675">
        <v>3840</v>
      </c>
      <c r="AO49" s="3996">
        <v>43480</v>
      </c>
      <c r="AP49" s="3996">
        <v>43830</v>
      </c>
      <c r="AQ49" s="4413" t="s">
        <v>2361</v>
      </c>
    </row>
    <row r="50" spans="1:43" ht="30.75" customHeight="1" x14ac:dyDescent="0.2">
      <c r="A50" s="983"/>
      <c r="B50" s="852"/>
      <c r="C50" s="380"/>
      <c r="D50" s="2618"/>
      <c r="E50" s="2623"/>
      <c r="F50" s="2623"/>
      <c r="G50" s="2618"/>
      <c r="H50" s="2623"/>
      <c r="I50" s="2623"/>
      <c r="J50" s="3107"/>
      <c r="K50" s="3427"/>
      <c r="L50" s="3413"/>
      <c r="M50" s="3107"/>
      <c r="N50" s="2608" t="s">
        <v>2452</v>
      </c>
      <c r="O50" s="3107"/>
      <c r="P50" s="3427"/>
      <c r="Q50" s="3431"/>
      <c r="R50" s="3660"/>
      <c r="S50" s="3406"/>
      <c r="T50" s="3406"/>
      <c r="U50" s="4438"/>
      <c r="V50" s="2650">
        <v>104400000</v>
      </c>
      <c r="W50" s="1586">
        <v>4</v>
      </c>
      <c r="X50" s="2620" t="s">
        <v>2453</v>
      </c>
      <c r="Y50" s="4010"/>
      <c r="Z50" s="4017"/>
      <c r="AA50" s="4017"/>
      <c r="AB50" s="4017"/>
      <c r="AC50" s="4017"/>
      <c r="AD50" s="4017"/>
      <c r="AE50" s="4017"/>
      <c r="AF50" s="4017"/>
      <c r="AG50" s="4017"/>
      <c r="AH50" s="4017"/>
      <c r="AI50" s="4017"/>
      <c r="AJ50" s="4017"/>
      <c r="AK50" s="4017"/>
      <c r="AL50" s="4017"/>
      <c r="AM50" s="4017"/>
      <c r="AN50" s="4017"/>
      <c r="AO50" s="3997"/>
      <c r="AP50" s="3997"/>
      <c r="AQ50" s="4414"/>
    </row>
    <row r="51" spans="1:43" ht="37.5" customHeight="1" x14ac:dyDescent="0.2">
      <c r="A51" s="983"/>
      <c r="B51" s="852"/>
      <c r="C51" s="380"/>
      <c r="D51" s="2618"/>
      <c r="E51" s="2623"/>
      <c r="F51" s="2623"/>
      <c r="G51" s="2618"/>
      <c r="H51" s="2623"/>
      <c r="I51" s="2623"/>
      <c r="J51" s="3107"/>
      <c r="K51" s="3427"/>
      <c r="L51" s="3413"/>
      <c r="M51" s="3107"/>
      <c r="N51" s="2608" t="s">
        <v>2454</v>
      </c>
      <c r="O51" s="3107"/>
      <c r="P51" s="3427"/>
      <c r="Q51" s="3432"/>
      <c r="R51" s="3660"/>
      <c r="S51" s="3403"/>
      <c r="T51" s="3403"/>
      <c r="U51" s="4438"/>
      <c r="V51" s="2650">
        <v>24599321.649999999</v>
      </c>
      <c r="W51" s="1586">
        <v>7</v>
      </c>
      <c r="X51" s="2620" t="s">
        <v>2391</v>
      </c>
      <c r="Y51" s="4010"/>
      <c r="Z51" s="4017"/>
      <c r="AA51" s="4017"/>
      <c r="AB51" s="4017"/>
      <c r="AC51" s="4017"/>
      <c r="AD51" s="4017"/>
      <c r="AE51" s="4017"/>
      <c r="AF51" s="4017"/>
      <c r="AG51" s="4017"/>
      <c r="AH51" s="4017"/>
      <c r="AI51" s="4017"/>
      <c r="AJ51" s="4017"/>
      <c r="AK51" s="4017"/>
      <c r="AL51" s="4017"/>
      <c r="AM51" s="4017"/>
      <c r="AN51" s="4017"/>
      <c r="AO51" s="3997"/>
      <c r="AP51" s="3997"/>
      <c r="AQ51" s="4414"/>
    </row>
    <row r="52" spans="1:43" ht="22.5" customHeight="1" x14ac:dyDescent="0.2">
      <c r="A52" s="4427"/>
      <c r="B52" s="4427"/>
      <c r="C52" s="4427"/>
      <c r="D52" s="373">
        <v>22</v>
      </c>
      <c r="E52" s="374" t="s">
        <v>2455</v>
      </c>
      <c r="F52" s="374"/>
      <c r="G52" s="374"/>
      <c r="H52" s="374"/>
      <c r="I52" s="374"/>
      <c r="J52" s="374"/>
      <c r="K52" s="1092"/>
      <c r="L52" s="1092"/>
      <c r="M52" s="2656"/>
      <c r="N52" s="374"/>
      <c r="O52" s="376"/>
      <c r="P52" s="375"/>
      <c r="Q52" s="377"/>
      <c r="R52" s="2659"/>
      <c r="S52" s="1092" t="s">
        <v>2106</v>
      </c>
      <c r="T52" s="1092" t="s">
        <v>2106</v>
      </c>
      <c r="U52" s="1092"/>
      <c r="V52" s="2651"/>
      <c r="W52" s="1093"/>
      <c r="X52" s="1092"/>
      <c r="Y52" s="376"/>
      <c r="Z52" s="376"/>
      <c r="AA52" s="376"/>
      <c r="AB52" s="376"/>
      <c r="AC52" s="376"/>
      <c r="AD52" s="376"/>
      <c r="AE52" s="376"/>
      <c r="AF52" s="376"/>
      <c r="AG52" s="376"/>
      <c r="AH52" s="376"/>
      <c r="AI52" s="376"/>
      <c r="AJ52" s="376"/>
      <c r="AK52" s="376"/>
      <c r="AL52" s="376"/>
      <c r="AM52" s="376"/>
      <c r="AN52" s="376"/>
      <c r="AO52" s="987"/>
      <c r="AP52" s="987"/>
      <c r="AQ52" s="982"/>
    </row>
    <row r="53" spans="1:43" ht="24" customHeight="1" x14ac:dyDescent="0.2">
      <c r="A53" s="4428"/>
      <c r="B53" s="4428"/>
      <c r="C53" s="4428"/>
      <c r="D53" s="4427"/>
      <c r="E53" s="4427"/>
      <c r="F53" s="4427"/>
      <c r="G53" s="1166">
        <v>74</v>
      </c>
      <c r="H53" s="1160" t="s">
        <v>2443</v>
      </c>
      <c r="I53" s="1160"/>
      <c r="J53" s="1160"/>
      <c r="K53" s="1161"/>
      <c r="L53" s="1161"/>
      <c r="M53" s="2657"/>
      <c r="N53" s="1160"/>
      <c r="O53" s="1162"/>
      <c r="P53" s="1163"/>
      <c r="Q53" s="1167"/>
      <c r="R53" s="2661"/>
      <c r="S53" s="1090" t="s">
        <v>2106</v>
      </c>
      <c r="T53" s="1090" t="s">
        <v>2106</v>
      </c>
      <c r="U53" s="1090"/>
      <c r="V53" s="2652"/>
      <c r="W53" s="1164"/>
      <c r="X53" s="1161"/>
      <c r="Y53" s="384"/>
      <c r="Z53" s="384"/>
      <c r="AA53" s="384"/>
      <c r="AB53" s="384"/>
      <c r="AC53" s="384"/>
      <c r="AD53" s="384"/>
      <c r="AE53" s="384"/>
      <c r="AF53" s="384"/>
      <c r="AG53" s="384"/>
      <c r="AH53" s="384"/>
      <c r="AI53" s="384"/>
      <c r="AJ53" s="384"/>
      <c r="AK53" s="384"/>
      <c r="AL53" s="384"/>
      <c r="AM53" s="384"/>
      <c r="AN53" s="384"/>
      <c r="AO53" s="985"/>
      <c r="AP53" s="985"/>
      <c r="AQ53" s="984"/>
    </row>
    <row r="54" spans="1:43" ht="30.75" customHeight="1" x14ac:dyDescent="0.2">
      <c r="A54" s="4428"/>
      <c r="B54" s="4428"/>
      <c r="C54" s="4428"/>
      <c r="D54" s="4428"/>
      <c r="E54" s="4428"/>
      <c r="F54" s="4428"/>
      <c r="G54" s="4430"/>
      <c r="H54" s="4431"/>
      <c r="I54" s="4432"/>
      <c r="J54" s="3682">
        <v>213</v>
      </c>
      <c r="K54" s="4437" t="s">
        <v>2456</v>
      </c>
      <c r="L54" s="2903" t="s">
        <v>2457</v>
      </c>
      <c r="M54" s="3682">
        <v>12</v>
      </c>
      <c r="N54" s="1145" t="s">
        <v>2458</v>
      </c>
      <c r="O54" s="3682" t="s">
        <v>2459</v>
      </c>
      <c r="P54" s="4422" t="s">
        <v>2460</v>
      </c>
      <c r="Q54" s="4423">
        <f>SUM(V54:V56)/R54</f>
        <v>1</v>
      </c>
      <c r="R54" s="4424">
        <f>SUM(V54:V56)</f>
        <v>51682415</v>
      </c>
      <c r="S54" s="4425" t="s">
        <v>2461</v>
      </c>
      <c r="T54" s="3402" t="s">
        <v>2462</v>
      </c>
      <c r="U54" s="3267" t="s">
        <v>2463</v>
      </c>
      <c r="V54" s="2653"/>
      <c r="W54" s="1587">
        <v>2</v>
      </c>
      <c r="X54" s="2685" t="s">
        <v>2464</v>
      </c>
      <c r="Y54" s="4420">
        <v>51494</v>
      </c>
      <c r="Z54" s="3675">
        <v>47591</v>
      </c>
      <c r="AA54" s="3675">
        <v>34918</v>
      </c>
      <c r="AB54" s="3675">
        <v>19436</v>
      </c>
      <c r="AC54" s="3675">
        <v>25329</v>
      </c>
      <c r="AD54" s="3675">
        <v>19402</v>
      </c>
      <c r="AE54" s="3675">
        <v>4</v>
      </c>
      <c r="AF54" s="3675"/>
      <c r="AG54" s="3675"/>
      <c r="AH54" s="3675"/>
      <c r="AI54" s="3675"/>
      <c r="AJ54" s="3675"/>
      <c r="AK54" s="3675">
        <v>1493</v>
      </c>
      <c r="AL54" s="3675">
        <v>1713</v>
      </c>
      <c r="AM54" s="3675">
        <v>217</v>
      </c>
      <c r="AN54" s="3675">
        <v>99085</v>
      </c>
      <c r="AO54" s="3996">
        <v>43480</v>
      </c>
      <c r="AP54" s="3996">
        <v>43830</v>
      </c>
      <c r="AQ54" s="4413" t="s">
        <v>2361</v>
      </c>
    </row>
    <row r="55" spans="1:43" ht="41.25" customHeight="1" x14ac:dyDescent="0.2">
      <c r="A55" s="4428"/>
      <c r="B55" s="4428"/>
      <c r="C55" s="4428"/>
      <c r="D55" s="4428"/>
      <c r="E55" s="4428"/>
      <c r="F55" s="4428"/>
      <c r="G55" s="4433"/>
      <c r="H55" s="4428"/>
      <c r="I55" s="4434"/>
      <c r="J55" s="3682"/>
      <c r="K55" s="4437"/>
      <c r="L55" s="2903"/>
      <c r="M55" s="3682"/>
      <c r="N55" s="1145" t="s">
        <v>2465</v>
      </c>
      <c r="O55" s="3682"/>
      <c r="P55" s="4422"/>
      <c r="Q55" s="4423"/>
      <c r="R55" s="4424"/>
      <c r="S55" s="4426"/>
      <c r="T55" s="3406"/>
      <c r="U55" s="4419"/>
      <c r="V55" s="2653">
        <v>36225674</v>
      </c>
      <c r="W55" s="1587">
        <v>3</v>
      </c>
      <c r="X55" s="2685" t="s">
        <v>2466</v>
      </c>
      <c r="Y55" s="4421"/>
      <c r="Z55" s="4017"/>
      <c r="AA55" s="4017"/>
      <c r="AB55" s="4017"/>
      <c r="AC55" s="4017"/>
      <c r="AD55" s="4017"/>
      <c r="AE55" s="4017"/>
      <c r="AF55" s="4017"/>
      <c r="AG55" s="4017"/>
      <c r="AH55" s="4017"/>
      <c r="AI55" s="4017"/>
      <c r="AJ55" s="4017"/>
      <c r="AK55" s="4017"/>
      <c r="AL55" s="4017"/>
      <c r="AM55" s="4017"/>
      <c r="AN55" s="4017"/>
      <c r="AO55" s="3997"/>
      <c r="AP55" s="3997"/>
      <c r="AQ55" s="4414"/>
    </row>
    <row r="56" spans="1:43" ht="30.75" customHeight="1" x14ac:dyDescent="0.2">
      <c r="A56" s="4429"/>
      <c r="B56" s="4429"/>
      <c r="C56" s="4429"/>
      <c r="D56" s="4429"/>
      <c r="E56" s="4429"/>
      <c r="F56" s="4429"/>
      <c r="G56" s="4435"/>
      <c r="H56" s="4429"/>
      <c r="I56" s="4436"/>
      <c r="J56" s="3682"/>
      <c r="K56" s="4437"/>
      <c r="L56" s="2903"/>
      <c r="M56" s="3682"/>
      <c r="N56" s="1145" t="s">
        <v>2467</v>
      </c>
      <c r="O56" s="3682"/>
      <c r="P56" s="4422"/>
      <c r="Q56" s="4423"/>
      <c r="R56" s="4424"/>
      <c r="S56" s="4426"/>
      <c r="T56" s="3406" t="s">
        <v>2106</v>
      </c>
      <c r="U56" s="4419"/>
      <c r="V56" s="2653">
        <v>15456741</v>
      </c>
      <c r="W56" s="1587">
        <v>13</v>
      </c>
      <c r="X56" s="2685" t="s">
        <v>2468</v>
      </c>
      <c r="Y56" s="4421"/>
      <c r="Z56" s="4017"/>
      <c r="AA56" s="4017"/>
      <c r="AB56" s="4017"/>
      <c r="AC56" s="4017"/>
      <c r="AD56" s="4017"/>
      <c r="AE56" s="4017"/>
      <c r="AF56" s="4017"/>
      <c r="AG56" s="4017"/>
      <c r="AH56" s="4017"/>
      <c r="AI56" s="4017"/>
      <c r="AJ56" s="4017"/>
      <c r="AK56" s="4017"/>
      <c r="AL56" s="4017"/>
      <c r="AM56" s="4017"/>
      <c r="AN56" s="4017"/>
      <c r="AO56" s="3997"/>
      <c r="AP56" s="3997"/>
      <c r="AQ56" s="4414"/>
    </row>
    <row r="57" spans="1:43" ht="24.75" customHeight="1" x14ac:dyDescent="0.2">
      <c r="A57" s="4415" t="s">
        <v>823</v>
      </c>
      <c r="B57" s="4415"/>
      <c r="C57" s="4415"/>
      <c r="D57" s="4415"/>
      <c r="E57" s="4415"/>
      <c r="F57" s="4415"/>
      <c r="G57" s="4415"/>
      <c r="H57" s="4415"/>
      <c r="I57" s="4415"/>
      <c r="J57" s="4415"/>
      <c r="K57" s="4415"/>
      <c r="L57" s="4415"/>
      <c r="M57" s="4415"/>
      <c r="N57" s="4415"/>
      <c r="O57" s="4415"/>
      <c r="P57" s="4415"/>
      <c r="Q57" s="4415"/>
      <c r="R57" s="2662">
        <f>SUM(R12:R56)</f>
        <v>3603297526.0100007</v>
      </c>
      <c r="S57" s="1165"/>
      <c r="T57" s="2613"/>
      <c r="U57" s="2613"/>
      <c r="V57" s="2654">
        <f>SUM(V12:V56)</f>
        <v>3603297526.0100007</v>
      </c>
      <c r="W57" s="2621"/>
      <c r="X57" s="2612"/>
      <c r="Y57" s="2615"/>
      <c r="Z57" s="2615"/>
      <c r="AA57" s="2615"/>
      <c r="AB57" s="2615"/>
      <c r="AC57" s="2615"/>
      <c r="AD57" s="2615"/>
      <c r="AE57" s="2615"/>
      <c r="AF57" s="2615"/>
      <c r="AG57" s="2615"/>
      <c r="AH57" s="2615"/>
      <c r="AI57" s="2615"/>
      <c r="AJ57" s="2615"/>
      <c r="AK57" s="2615"/>
      <c r="AL57" s="2615"/>
      <c r="AM57" s="2615"/>
      <c r="AN57" s="2615"/>
      <c r="AO57" s="2619"/>
      <c r="AP57" s="2619"/>
      <c r="AQ57" s="1051"/>
    </row>
    <row r="58" spans="1:43" ht="24.75" customHeight="1" thickBot="1" x14ac:dyDescent="0.25">
      <c r="A58" s="852"/>
      <c r="B58" s="852"/>
      <c r="C58" s="852"/>
      <c r="D58" s="2623"/>
      <c r="E58" s="2623"/>
      <c r="F58" s="2623"/>
      <c r="G58" s="2623"/>
      <c r="H58" s="2623"/>
      <c r="I58" s="2623"/>
      <c r="J58" s="2623"/>
      <c r="K58" s="878"/>
      <c r="L58" s="819"/>
      <c r="M58" s="2623"/>
      <c r="N58" s="2623"/>
      <c r="O58" s="2623"/>
      <c r="P58" s="1094"/>
      <c r="Q58" s="1095"/>
      <c r="R58" s="2686"/>
      <c r="S58" s="878"/>
      <c r="T58" s="878"/>
      <c r="U58" s="878"/>
      <c r="V58" s="1663"/>
      <c r="W58" s="1096"/>
      <c r="X58" s="878"/>
      <c r="Y58" s="703"/>
      <c r="Z58" s="703"/>
      <c r="AA58" s="703"/>
      <c r="AB58" s="703"/>
      <c r="AC58" s="703"/>
      <c r="AD58" s="703"/>
      <c r="AE58" s="703"/>
      <c r="AF58" s="703"/>
      <c r="AG58" s="703"/>
      <c r="AH58" s="703"/>
      <c r="AI58" s="703"/>
      <c r="AJ58" s="703"/>
      <c r="AK58" s="703"/>
      <c r="AL58" s="703"/>
      <c r="AM58" s="703"/>
      <c r="AN58" s="703"/>
      <c r="AO58" s="1097"/>
      <c r="AP58" s="1097"/>
      <c r="AQ58" s="1052"/>
    </row>
    <row r="59" spans="1:43" ht="14.25" x14ac:dyDescent="0.2">
      <c r="J59" s="4416" t="s">
        <v>2469</v>
      </c>
      <c r="K59" s="4416"/>
      <c r="L59" s="4416"/>
      <c r="M59" s="4416"/>
      <c r="N59" s="4416"/>
      <c r="O59" s="4416"/>
      <c r="P59" s="4416"/>
      <c r="Q59" s="4416"/>
      <c r="R59" s="4416"/>
      <c r="S59" s="4416"/>
      <c r="T59" s="4416"/>
      <c r="U59" s="4416"/>
    </row>
    <row r="60" spans="1:43" ht="14.25" x14ac:dyDescent="0.2">
      <c r="J60" s="4417"/>
      <c r="K60" s="4417"/>
      <c r="L60" s="4417"/>
      <c r="M60" s="4417"/>
      <c r="N60" s="4417"/>
      <c r="O60" s="4417"/>
      <c r="P60" s="4417"/>
      <c r="Q60" s="4417"/>
      <c r="R60" s="4417"/>
      <c r="S60" s="4417"/>
      <c r="T60" s="4417"/>
      <c r="U60" s="4417"/>
    </row>
    <row r="61" spans="1:43" ht="15.75" x14ac:dyDescent="0.2">
      <c r="J61" s="988"/>
    </row>
    <row r="62" spans="1:43" ht="14.25" x14ac:dyDescent="0.2"/>
    <row r="63" spans="1:43" ht="14.25" x14ac:dyDescent="0.2"/>
    <row r="64" spans="1:43" ht="14.25" x14ac:dyDescent="0.2"/>
    <row r="65" spans="4:10" ht="14.25" x14ac:dyDescent="0.2">
      <c r="D65" s="4418" t="s">
        <v>2470</v>
      </c>
      <c r="E65" s="4418"/>
      <c r="F65" s="4418"/>
      <c r="G65" s="4418"/>
      <c r="H65" s="4418"/>
      <c r="I65" s="4418"/>
    </row>
    <row r="66" spans="4:10" ht="14.25" x14ac:dyDescent="0.2">
      <c r="D66" s="4418"/>
      <c r="E66" s="4418"/>
      <c r="F66" s="4418"/>
      <c r="G66" s="4418"/>
      <c r="H66" s="4418"/>
      <c r="I66" s="4418"/>
    </row>
    <row r="67" spans="4:10" ht="14.25" x14ac:dyDescent="0.2">
      <c r="E67" s="4412" t="s">
        <v>2471</v>
      </c>
      <c r="F67" s="4412"/>
      <c r="G67" s="4412"/>
      <c r="H67" s="4412"/>
      <c r="I67" s="4412"/>
      <c r="J67" s="4412"/>
    </row>
    <row r="68" spans="4:10" ht="14.25" x14ac:dyDescent="0.2">
      <c r="E68" s="4412"/>
      <c r="F68" s="4412"/>
      <c r="G68" s="4412"/>
      <c r="H68" s="4412"/>
      <c r="I68" s="4412"/>
      <c r="J68" s="4412"/>
    </row>
    <row r="69" spans="4:10" ht="14.25" x14ac:dyDescent="0.2"/>
    <row r="70" spans="4:10" ht="14.25" x14ac:dyDescent="0.2"/>
    <row r="71" spans="4:10" ht="14.25" x14ac:dyDescent="0.2"/>
    <row r="72" spans="4:10" ht="14.25" x14ac:dyDescent="0.2"/>
    <row r="73" spans="4:10" ht="14.25" x14ac:dyDescent="0.2"/>
    <row r="74" spans="4:10" ht="14.25" x14ac:dyDescent="0.2"/>
    <row r="75" spans="4:10" ht="14.25" x14ac:dyDescent="0.2"/>
    <row r="76" spans="4:10" ht="14.25" x14ac:dyDescent="0.2"/>
    <row r="77" spans="4:10" ht="14.25" x14ac:dyDescent="0.2"/>
  </sheetData>
  <sheetProtection password="A60F" sheet="1" objects="1" scenarios="1"/>
  <mergeCells count="275">
    <mergeCell ref="L7:L8"/>
    <mergeCell ref="M7:M8"/>
    <mergeCell ref="N7:N8"/>
    <mergeCell ref="O7:O8"/>
    <mergeCell ref="A1:AO4"/>
    <mergeCell ref="A5:M6"/>
    <mergeCell ref="N5:AQ5"/>
    <mergeCell ref="Y6:AM6"/>
    <mergeCell ref="A7:A8"/>
    <mergeCell ref="B7:C8"/>
    <mergeCell ref="D7:D8"/>
    <mergeCell ref="E7:F8"/>
    <mergeCell ref="G7:G8"/>
    <mergeCell ref="H7:I8"/>
    <mergeCell ref="AK7:AM7"/>
    <mergeCell ref="AO7:AO8"/>
    <mergeCell ref="AP7:AP8"/>
    <mergeCell ref="AQ7:AQ8"/>
    <mergeCell ref="J12:J17"/>
    <mergeCell ref="K12:K17"/>
    <mergeCell ref="L12:L17"/>
    <mergeCell ref="M12:M17"/>
    <mergeCell ref="N12:N13"/>
    <mergeCell ref="O12:O18"/>
    <mergeCell ref="V7:V8"/>
    <mergeCell ref="W7:W8"/>
    <mergeCell ref="X7:X8"/>
    <mergeCell ref="Y7:Z7"/>
    <mergeCell ref="AA7:AD7"/>
    <mergeCell ref="AE7:AJ7"/>
    <mergeCell ref="P7:P8"/>
    <mergeCell ref="Q7:Q8"/>
    <mergeCell ref="R7:R8"/>
    <mergeCell ref="S7:S8"/>
    <mergeCell ref="T7:T8"/>
    <mergeCell ref="U7:U8"/>
    <mergeCell ref="J7:J8"/>
    <mergeCell ref="K7:K8"/>
    <mergeCell ref="AI12:AI18"/>
    <mergeCell ref="AJ12:AJ18"/>
    <mergeCell ref="Y12:Y18"/>
    <mergeCell ref="Z12:Z18"/>
    <mergeCell ref="AA12:AA18"/>
    <mergeCell ref="AB12:AB18"/>
    <mergeCell ref="AC12:AC18"/>
    <mergeCell ref="AD12:AD18"/>
    <mergeCell ref="P12:P18"/>
    <mergeCell ref="Q12:Q17"/>
    <mergeCell ref="R12:R18"/>
    <mergeCell ref="S12:S18"/>
    <mergeCell ref="T12:T18"/>
    <mergeCell ref="U12:U16"/>
    <mergeCell ref="U20:U21"/>
    <mergeCell ref="Y20:Y21"/>
    <mergeCell ref="Z20:Z21"/>
    <mergeCell ref="AA20:AA21"/>
    <mergeCell ref="AQ12:AQ18"/>
    <mergeCell ref="E17:F17"/>
    <mergeCell ref="J20:J21"/>
    <mergeCell ref="K20:K21"/>
    <mergeCell ref="L20:L21"/>
    <mergeCell ref="M20:M21"/>
    <mergeCell ref="O20:O21"/>
    <mergeCell ref="P20:P21"/>
    <mergeCell ref="Q20:Q21"/>
    <mergeCell ref="R20:R21"/>
    <mergeCell ref="AK12:AK18"/>
    <mergeCell ref="AL12:AL18"/>
    <mergeCell ref="AM12:AM18"/>
    <mergeCell ref="AN12:AN18"/>
    <mergeCell ref="AO12:AO18"/>
    <mergeCell ref="AP12:AP18"/>
    <mergeCell ref="AE12:AE18"/>
    <mergeCell ref="AF12:AF18"/>
    <mergeCell ref="AG12:AG18"/>
    <mergeCell ref="AH12:AH18"/>
    <mergeCell ref="AN20:AN21"/>
    <mergeCell ref="AO20:AO21"/>
    <mergeCell ref="AP20:AP21"/>
    <mergeCell ref="AQ20:AQ21"/>
    <mergeCell ref="J23:J27"/>
    <mergeCell ref="K23:K27"/>
    <mergeCell ref="L23:L27"/>
    <mergeCell ref="M23:M27"/>
    <mergeCell ref="O23:O27"/>
    <mergeCell ref="P23:P27"/>
    <mergeCell ref="AH20:AH21"/>
    <mergeCell ref="AI20:AI21"/>
    <mergeCell ref="AJ20:AJ21"/>
    <mergeCell ref="AK20:AK21"/>
    <mergeCell ref="AL20:AL21"/>
    <mergeCell ref="AM20:AM21"/>
    <mergeCell ref="AB20:AB21"/>
    <mergeCell ref="AC20:AC21"/>
    <mergeCell ref="AD20:AD21"/>
    <mergeCell ref="AE20:AE21"/>
    <mergeCell ref="AF20:AF21"/>
    <mergeCell ref="AG20:AG21"/>
    <mergeCell ref="S20:S21"/>
    <mergeCell ref="T20:T21"/>
    <mergeCell ref="Z23:Z27"/>
    <mergeCell ref="AA23:AA27"/>
    <mergeCell ref="AB23:AB27"/>
    <mergeCell ref="AC23:AC27"/>
    <mergeCell ref="AD23:AD27"/>
    <mergeCell ref="AE23:AE27"/>
    <mergeCell ref="Q23:Q27"/>
    <mergeCell ref="R23:R27"/>
    <mergeCell ref="S23:S27"/>
    <mergeCell ref="T23:T27"/>
    <mergeCell ref="U23:U27"/>
    <mergeCell ref="Y23:Y27"/>
    <mergeCell ref="AL23:AL27"/>
    <mergeCell ref="AM23:AM27"/>
    <mergeCell ref="AN23:AN27"/>
    <mergeCell ref="AO23:AO27"/>
    <mergeCell ref="AP23:AP27"/>
    <mergeCell ref="AQ23:AQ27"/>
    <mergeCell ref="AF23:AF27"/>
    <mergeCell ref="AG23:AG27"/>
    <mergeCell ref="AH23:AH27"/>
    <mergeCell ref="AI23:AI27"/>
    <mergeCell ref="AJ23:AJ27"/>
    <mergeCell ref="AK23:AK27"/>
    <mergeCell ref="K29:K30"/>
    <mergeCell ref="L29:L30"/>
    <mergeCell ref="M29:M30"/>
    <mergeCell ref="O29:O34"/>
    <mergeCell ref="P29:P34"/>
    <mergeCell ref="J31:J32"/>
    <mergeCell ref="K31:K32"/>
    <mergeCell ref="L31:L32"/>
    <mergeCell ref="M31:M32"/>
    <mergeCell ref="AO29:AO34"/>
    <mergeCell ref="AP29:AP34"/>
    <mergeCell ref="AQ29:AQ34"/>
    <mergeCell ref="AF29:AF34"/>
    <mergeCell ref="AG29:AG34"/>
    <mergeCell ref="AH29:AH34"/>
    <mergeCell ref="AI29:AI34"/>
    <mergeCell ref="AJ29:AJ34"/>
    <mergeCell ref="AK29:AK34"/>
    <mergeCell ref="J33:J34"/>
    <mergeCell ref="K33:K34"/>
    <mergeCell ref="L33:L34"/>
    <mergeCell ref="M33:M34"/>
    <mergeCell ref="Q33:Q34"/>
    <mergeCell ref="U33:U34"/>
    <mergeCell ref="AL29:AL34"/>
    <mergeCell ref="AM29:AM34"/>
    <mergeCell ref="AN29:AN34"/>
    <mergeCell ref="Z29:Z34"/>
    <mergeCell ref="AA29:AA34"/>
    <mergeCell ref="AB29:AB34"/>
    <mergeCell ref="AC29:AC34"/>
    <mergeCell ref="AD29:AD34"/>
    <mergeCell ref="AE29:AE34"/>
    <mergeCell ref="Q29:Q30"/>
    <mergeCell ref="R29:R34"/>
    <mergeCell ref="S29:S34"/>
    <mergeCell ref="T29:T34"/>
    <mergeCell ref="U29:U30"/>
    <mergeCell ref="Y29:Y34"/>
    <mergeCell ref="Q31:Q32"/>
    <mergeCell ref="U31:U32"/>
    <mergeCell ref="J29:J30"/>
    <mergeCell ref="U37:U39"/>
    <mergeCell ref="Y37:Y47"/>
    <mergeCell ref="Q40:Q43"/>
    <mergeCell ref="U40:U43"/>
    <mergeCell ref="J37:J39"/>
    <mergeCell ref="K37:K39"/>
    <mergeCell ref="L37:L39"/>
    <mergeCell ref="M37:M39"/>
    <mergeCell ref="O37:O47"/>
    <mergeCell ref="P37:P47"/>
    <mergeCell ref="J40:J43"/>
    <mergeCell ref="K40:K43"/>
    <mergeCell ref="L40:L43"/>
    <mergeCell ref="M40:M43"/>
    <mergeCell ref="Q44:Q47"/>
    <mergeCell ref="U44:U47"/>
    <mergeCell ref="AL37:AL47"/>
    <mergeCell ref="AM37:AM47"/>
    <mergeCell ref="AN37:AN47"/>
    <mergeCell ref="AO37:AO47"/>
    <mergeCell ref="AP37:AP47"/>
    <mergeCell ref="AQ37:AQ47"/>
    <mergeCell ref="AF37:AF47"/>
    <mergeCell ref="AG37:AG47"/>
    <mergeCell ref="AH37:AH47"/>
    <mergeCell ref="AI37:AI47"/>
    <mergeCell ref="AJ37:AJ47"/>
    <mergeCell ref="AK37:AK47"/>
    <mergeCell ref="Z37:Z47"/>
    <mergeCell ref="AA37:AA47"/>
    <mergeCell ref="AB37:AB47"/>
    <mergeCell ref="AC37:AC47"/>
    <mergeCell ref="AD37:AD47"/>
    <mergeCell ref="AE37:AE47"/>
    <mergeCell ref="Q37:Q39"/>
    <mergeCell ref="R37:R47"/>
    <mergeCell ref="S37:S47"/>
    <mergeCell ref="T37:T47"/>
    <mergeCell ref="J49:J51"/>
    <mergeCell ref="K49:K51"/>
    <mergeCell ref="L49:L51"/>
    <mergeCell ref="M49:M51"/>
    <mergeCell ref="O49:O51"/>
    <mergeCell ref="P49:P51"/>
    <mergeCell ref="J44:J47"/>
    <mergeCell ref="K44:K47"/>
    <mergeCell ref="L44:L47"/>
    <mergeCell ref="M44:M47"/>
    <mergeCell ref="Z49:Z51"/>
    <mergeCell ref="AA49:AA51"/>
    <mergeCell ref="AB49:AB51"/>
    <mergeCell ref="AC49:AC51"/>
    <mergeCell ref="AD49:AD51"/>
    <mergeCell ref="AE49:AE51"/>
    <mergeCell ref="Q49:Q51"/>
    <mergeCell ref="R49:R51"/>
    <mergeCell ref="S49:S51"/>
    <mergeCell ref="T49:T51"/>
    <mergeCell ref="U49:U51"/>
    <mergeCell ref="Y49:Y51"/>
    <mergeCell ref="AL49:AL51"/>
    <mergeCell ref="AM49:AM51"/>
    <mergeCell ref="AN49:AN51"/>
    <mergeCell ref="AO49:AO51"/>
    <mergeCell ref="AP49:AP51"/>
    <mergeCell ref="AQ49:AQ51"/>
    <mergeCell ref="AF49:AF51"/>
    <mergeCell ref="AG49:AG51"/>
    <mergeCell ref="AH49:AH51"/>
    <mergeCell ref="AI49:AI51"/>
    <mergeCell ref="AJ49:AJ51"/>
    <mergeCell ref="AK49:AK51"/>
    <mergeCell ref="AB54:AB56"/>
    <mergeCell ref="M54:M56"/>
    <mergeCell ref="O54:O56"/>
    <mergeCell ref="P54:P56"/>
    <mergeCell ref="Q54:Q56"/>
    <mergeCell ref="R54:R56"/>
    <mergeCell ref="S54:S56"/>
    <mergeCell ref="A52:C56"/>
    <mergeCell ref="D53:F56"/>
    <mergeCell ref="G54:I56"/>
    <mergeCell ref="J54:J56"/>
    <mergeCell ref="K54:K56"/>
    <mergeCell ref="L54:L56"/>
    <mergeCell ref="E67:J68"/>
    <mergeCell ref="AO54:AO56"/>
    <mergeCell ref="AP54:AP56"/>
    <mergeCell ref="AQ54:AQ56"/>
    <mergeCell ref="A57:Q57"/>
    <mergeCell ref="J59:U60"/>
    <mergeCell ref="D65:I66"/>
    <mergeCell ref="AI54:AI56"/>
    <mergeCell ref="AJ54:AJ56"/>
    <mergeCell ref="AK54:AK56"/>
    <mergeCell ref="AL54:AL56"/>
    <mergeCell ref="AM54:AM56"/>
    <mergeCell ref="AN54:AN56"/>
    <mergeCell ref="AC54:AC56"/>
    <mergeCell ref="AD54:AD56"/>
    <mergeCell ref="AE54:AE56"/>
    <mergeCell ref="AF54:AF56"/>
    <mergeCell ref="AG54:AG56"/>
    <mergeCell ref="AH54:AH56"/>
    <mergeCell ref="T54:T56"/>
    <mergeCell ref="U54:U56"/>
    <mergeCell ref="Y54:Y56"/>
    <mergeCell ref="Z54:Z56"/>
    <mergeCell ref="AA54:AA5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topLeftCell="A4" zoomScale="65" zoomScaleNormal="65" workbookViewId="0">
      <selection activeCell="A7" sqref="A7:A8"/>
    </sheetView>
  </sheetViews>
  <sheetFormatPr baseColWidth="10" defaultColWidth="11.42578125" defaultRowHeight="15" x14ac:dyDescent="0.25"/>
  <cols>
    <col min="1" max="1" width="18" customWidth="1"/>
    <col min="2" max="2" width="24.28515625" customWidth="1"/>
    <col min="3" max="3" width="12.5703125" customWidth="1"/>
    <col min="4" max="4" width="22" customWidth="1"/>
    <col min="5" max="5" width="12.5703125" customWidth="1"/>
    <col min="6" max="6" width="25.28515625" customWidth="1"/>
    <col min="7" max="7" width="12.5703125" customWidth="1"/>
    <col min="8" max="8" width="36" customWidth="1"/>
    <col min="9" max="9" width="33.85546875" customWidth="1"/>
    <col min="10" max="10" width="26.42578125" customWidth="1"/>
    <col min="11" max="11" width="27" customWidth="1"/>
    <col min="12" max="12" width="25.7109375" customWidth="1"/>
    <col min="13" max="13" width="40.42578125" customWidth="1"/>
    <col min="14" max="14" width="17.5703125" customWidth="1"/>
    <col min="15" max="15" width="25.7109375" customWidth="1"/>
    <col min="16" max="16" width="40" customWidth="1"/>
    <col min="17" max="17" width="53.28515625" customWidth="1"/>
    <col min="18" max="18" width="23.85546875" customWidth="1"/>
    <col min="19" max="19" width="29.7109375" customWidth="1"/>
    <col min="21" max="21" width="22.7109375" customWidth="1"/>
    <col min="24" max="24" width="8.5703125" customWidth="1"/>
    <col min="26" max="26" width="13" customWidth="1"/>
    <col min="27" max="27" width="7.42578125" customWidth="1"/>
    <col min="28" max="28" width="4.85546875" customWidth="1"/>
    <col min="29" max="29" width="5.28515625" customWidth="1"/>
    <col min="30" max="30" width="4.28515625" customWidth="1"/>
    <col min="31" max="31" width="3.7109375" customWidth="1"/>
    <col min="32" max="32" width="4.140625" customWidth="1"/>
    <col min="33" max="33" width="5.42578125" customWidth="1"/>
    <col min="34" max="34" width="6.5703125" customWidth="1"/>
    <col min="35" max="35" width="5.140625" customWidth="1"/>
    <col min="36" max="36" width="4.85546875" customWidth="1"/>
    <col min="37" max="37" width="8.42578125" customWidth="1"/>
    <col min="38" max="38" width="16.85546875" customWidth="1"/>
    <col min="39" max="39" width="19.140625" customWidth="1"/>
    <col min="40" max="40" width="22.42578125" customWidth="1"/>
  </cols>
  <sheetData>
    <row r="1" spans="1:40" ht="31.5" customHeight="1" x14ac:dyDescent="0.25">
      <c r="A1" s="4519" t="s">
        <v>2569</v>
      </c>
      <c r="B1" s="4519"/>
      <c r="C1" s="4519"/>
      <c r="D1" s="4519"/>
      <c r="E1" s="4519"/>
      <c r="F1" s="4519"/>
      <c r="G1" s="4519"/>
      <c r="H1" s="4519"/>
      <c r="I1" s="4519"/>
      <c r="J1" s="4519"/>
      <c r="K1" s="4519"/>
      <c r="L1" s="4519"/>
      <c r="M1" s="4519"/>
      <c r="N1" s="4519"/>
      <c r="O1" s="4519"/>
      <c r="P1" s="4519"/>
      <c r="Q1" s="4519"/>
      <c r="R1" s="4519"/>
      <c r="S1" s="4519"/>
      <c r="T1" s="4519"/>
      <c r="U1" s="4519"/>
      <c r="V1" s="4519"/>
      <c r="W1" s="4519"/>
      <c r="X1" s="4519"/>
      <c r="Y1" s="4519"/>
      <c r="Z1" s="4519"/>
      <c r="AA1" s="4519"/>
      <c r="AB1" s="4519"/>
      <c r="AC1" s="4519"/>
      <c r="AD1" s="4519"/>
      <c r="AE1" s="4519"/>
      <c r="AF1" s="4519"/>
      <c r="AG1" s="4519"/>
      <c r="AH1" s="4519"/>
      <c r="AI1" s="4519"/>
      <c r="AJ1" s="4519"/>
      <c r="AK1" s="4519"/>
      <c r="AL1" s="4519"/>
      <c r="AM1" s="616" t="s">
        <v>0</v>
      </c>
      <c r="AN1" s="616" t="s">
        <v>118</v>
      </c>
    </row>
    <row r="2" spans="1:40" ht="31.5" customHeight="1" x14ac:dyDescent="0.25">
      <c r="A2" s="4519"/>
      <c r="B2" s="4519"/>
      <c r="C2" s="4519"/>
      <c r="D2" s="4519"/>
      <c r="E2" s="4519"/>
      <c r="F2" s="4519"/>
      <c r="G2" s="4519"/>
      <c r="H2" s="4519"/>
      <c r="I2" s="4519"/>
      <c r="J2" s="4519"/>
      <c r="K2" s="4519"/>
      <c r="L2" s="4519"/>
      <c r="M2" s="4519"/>
      <c r="N2" s="4519"/>
      <c r="O2" s="4519"/>
      <c r="P2" s="4519"/>
      <c r="Q2" s="4519"/>
      <c r="R2" s="4519"/>
      <c r="S2" s="4519"/>
      <c r="T2" s="4519"/>
      <c r="U2" s="4519"/>
      <c r="V2" s="4519"/>
      <c r="W2" s="4519"/>
      <c r="X2" s="4519"/>
      <c r="Y2" s="4519"/>
      <c r="Z2" s="4519"/>
      <c r="AA2" s="4519"/>
      <c r="AB2" s="4519"/>
      <c r="AC2" s="4519"/>
      <c r="AD2" s="4519"/>
      <c r="AE2" s="4519"/>
      <c r="AF2" s="4519"/>
      <c r="AG2" s="4519"/>
      <c r="AH2" s="4519"/>
      <c r="AI2" s="4519"/>
      <c r="AJ2" s="4519"/>
      <c r="AK2" s="4519"/>
      <c r="AL2" s="4519"/>
      <c r="AM2" s="619" t="s">
        <v>2</v>
      </c>
      <c r="AN2" s="616" t="s">
        <v>119</v>
      </c>
    </row>
    <row r="3" spans="1:40" ht="31.5" customHeight="1" x14ac:dyDescent="0.25">
      <c r="A3" s="4519"/>
      <c r="B3" s="4519"/>
      <c r="C3" s="4519"/>
      <c r="D3" s="4519"/>
      <c r="E3" s="4519"/>
      <c r="F3" s="4519"/>
      <c r="G3" s="4519"/>
      <c r="H3" s="4519"/>
      <c r="I3" s="4519"/>
      <c r="J3" s="4519"/>
      <c r="K3" s="4519"/>
      <c r="L3" s="4519"/>
      <c r="M3" s="4519"/>
      <c r="N3" s="4519"/>
      <c r="O3" s="4519"/>
      <c r="P3" s="4519"/>
      <c r="Q3" s="4519"/>
      <c r="R3" s="4519"/>
      <c r="S3" s="4519"/>
      <c r="T3" s="4519"/>
      <c r="U3" s="4519"/>
      <c r="V3" s="4519"/>
      <c r="W3" s="4519"/>
      <c r="X3" s="4519"/>
      <c r="Y3" s="4519"/>
      <c r="Z3" s="4519"/>
      <c r="AA3" s="4519"/>
      <c r="AB3" s="4519"/>
      <c r="AC3" s="4519"/>
      <c r="AD3" s="4519"/>
      <c r="AE3" s="4519"/>
      <c r="AF3" s="4519"/>
      <c r="AG3" s="4519"/>
      <c r="AH3" s="4519"/>
      <c r="AI3" s="4519"/>
      <c r="AJ3" s="4519"/>
      <c r="AK3" s="4519"/>
      <c r="AL3" s="4519"/>
      <c r="AM3" s="616" t="s">
        <v>4</v>
      </c>
      <c r="AN3" s="620" t="s">
        <v>5</v>
      </c>
    </row>
    <row r="4" spans="1:40" ht="31.5" customHeight="1" x14ac:dyDescent="0.25">
      <c r="A4" s="4519"/>
      <c r="B4" s="4519"/>
      <c r="C4" s="4519"/>
      <c r="D4" s="4519"/>
      <c r="E4" s="4519"/>
      <c r="F4" s="4519"/>
      <c r="G4" s="4519"/>
      <c r="H4" s="4519"/>
      <c r="I4" s="4519"/>
      <c r="J4" s="4519"/>
      <c r="K4" s="4519"/>
      <c r="L4" s="4519"/>
      <c r="M4" s="4519"/>
      <c r="N4" s="4519"/>
      <c r="O4" s="4519"/>
      <c r="P4" s="4519"/>
      <c r="Q4" s="4519"/>
      <c r="R4" s="4519"/>
      <c r="S4" s="4519"/>
      <c r="T4" s="4519"/>
      <c r="U4" s="4519"/>
      <c r="V4" s="4519"/>
      <c r="W4" s="4519"/>
      <c r="X4" s="4519"/>
      <c r="Y4" s="4519"/>
      <c r="Z4" s="4519"/>
      <c r="AA4" s="4519"/>
      <c r="AB4" s="4519"/>
      <c r="AC4" s="4519"/>
      <c r="AD4" s="4519"/>
      <c r="AE4" s="4519"/>
      <c r="AF4" s="4519"/>
      <c r="AG4" s="4519"/>
      <c r="AH4" s="4519"/>
      <c r="AI4" s="4519"/>
      <c r="AJ4" s="4519"/>
      <c r="AK4" s="4519"/>
      <c r="AL4" s="4519"/>
      <c r="AM4" s="989" t="s">
        <v>6</v>
      </c>
      <c r="AN4" s="621" t="s">
        <v>7</v>
      </c>
    </row>
    <row r="5" spans="1:40" ht="31.5" customHeight="1" x14ac:dyDescent="0.25">
      <c r="A5" s="4067" t="s">
        <v>8</v>
      </c>
      <c r="B5" s="4067"/>
      <c r="C5" s="4067"/>
      <c r="D5" s="4067"/>
      <c r="E5" s="4067"/>
      <c r="F5" s="4067"/>
      <c r="G5" s="4067"/>
      <c r="H5" s="4067"/>
      <c r="I5" s="4067"/>
      <c r="J5" s="4067"/>
      <c r="K5" s="4067" t="s">
        <v>9</v>
      </c>
      <c r="L5" s="4067"/>
      <c r="M5" s="4067"/>
      <c r="N5" s="4067"/>
      <c r="O5" s="4067"/>
      <c r="P5" s="4067"/>
      <c r="Q5" s="4067"/>
      <c r="R5" s="4067"/>
      <c r="S5" s="4067"/>
      <c r="T5" s="4067"/>
      <c r="U5" s="4067"/>
      <c r="V5" s="4067"/>
      <c r="W5" s="4067"/>
      <c r="X5" s="4067"/>
      <c r="Y5" s="4067"/>
      <c r="Z5" s="4067"/>
      <c r="AA5" s="4067"/>
      <c r="AB5" s="4067"/>
      <c r="AC5" s="4067"/>
      <c r="AD5" s="4067"/>
      <c r="AE5" s="4067"/>
      <c r="AF5" s="4067"/>
      <c r="AG5" s="4067"/>
      <c r="AH5" s="4067"/>
      <c r="AI5" s="4067"/>
      <c r="AJ5" s="4067"/>
      <c r="AK5" s="4067"/>
      <c r="AL5" s="4520"/>
      <c r="AM5" s="4520"/>
      <c r="AN5" s="4520"/>
    </row>
    <row r="6" spans="1:40" ht="31.5" customHeight="1" x14ac:dyDescent="0.25">
      <c r="A6" s="4067"/>
      <c r="B6" s="4067"/>
      <c r="C6" s="4067"/>
      <c r="D6" s="4067"/>
      <c r="E6" s="4067"/>
      <c r="F6" s="4067"/>
      <c r="G6" s="4067"/>
      <c r="H6" s="4067"/>
      <c r="I6" s="4067"/>
      <c r="J6" s="4067"/>
      <c r="K6" s="4067"/>
      <c r="L6" s="4067"/>
      <c r="M6" s="4067"/>
      <c r="N6" s="4067"/>
      <c r="O6" s="4067"/>
      <c r="P6" s="4067"/>
      <c r="Q6" s="4067"/>
      <c r="R6" s="4067"/>
      <c r="S6" s="4067"/>
      <c r="T6" s="4067"/>
      <c r="U6" s="4067"/>
      <c r="V6" s="4067" t="s">
        <v>2472</v>
      </c>
      <c r="W6" s="4067"/>
      <c r="X6" s="4067"/>
      <c r="Y6" s="4067"/>
      <c r="Z6" s="4067"/>
      <c r="AA6" s="4067"/>
      <c r="AB6" s="4067"/>
      <c r="AC6" s="4067"/>
      <c r="AD6" s="4067"/>
      <c r="AE6" s="4067"/>
      <c r="AF6" s="4067"/>
      <c r="AG6" s="4067"/>
      <c r="AH6" s="4067"/>
      <c r="AI6" s="4067"/>
      <c r="AJ6" s="4067"/>
      <c r="AK6" s="4067"/>
      <c r="AL6" s="4521" t="s">
        <v>31</v>
      </c>
      <c r="AM6" s="4521" t="s">
        <v>32</v>
      </c>
      <c r="AN6" s="4522" t="s">
        <v>33</v>
      </c>
    </row>
    <row r="7" spans="1:40" ht="31.5" customHeight="1" x14ac:dyDescent="0.25">
      <c r="A7" s="4514" t="s">
        <v>11</v>
      </c>
      <c r="B7" s="4514" t="s">
        <v>2473</v>
      </c>
      <c r="C7" s="4514" t="s">
        <v>11</v>
      </c>
      <c r="D7" s="4514" t="s">
        <v>2474</v>
      </c>
      <c r="E7" s="4514" t="s">
        <v>11</v>
      </c>
      <c r="F7" s="4514" t="s">
        <v>2475</v>
      </c>
      <c r="G7" s="4526" t="s">
        <v>11</v>
      </c>
      <c r="H7" s="4517" t="s">
        <v>2476</v>
      </c>
      <c r="I7" s="4517" t="s">
        <v>16</v>
      </c>
      <c r="J7" s="4517" t="s">
        <v>17</v>
      </c>
      <c r="K7" s="4517" t="s">
        <v>18</v>
      </c>
      <c r="L7" s="4517" t="s">
        <v>2477</v>
      </c>
      <c r="M7" s="4517" t="s">
        <v>9</v>
      </c>
      <c r="N7" s="4517" t="s">
        <v>20</v>
      </c>
      <c r="O7" s="4517" t="s">
        <v>2478</v>
      </c>
      <c r="P7" s="4517" t="s">
        <v>22</v>
      </c>
      <c r="Q7" s="4517" t="s">
        <v>23</v>
      </c>
      <c r="R7" s="4517" t="s">
        <v>24</v>
      </c>
      <c r="S7" s="4524" t="s">
        <v>21</v>
      </c>
      <c r="T7" s="4517" t="s">
        <v>11</v>
      </c>
      <c r="U7" s="4517" t="s">
        <v>25</v>
      </c>
      <c r="V7" s="3056" t="s">
        <v>26</v>
      </c>
      <c r="W7" s="3056"/>
      <c r="X7" s="3072" t="s">
        <v>27</v>
      </c>
      <c r="Y7" s="3072"/>
      <c r="Z7" s="3072"/>
      <c r="AA7" s="3072"/>
      <c r="AB7" s="3075" t="s">
        <v>28</v>
      </c>
      <c r="AC7" s="3076"/>
      <c r="AD7" s="3076"/>
      <c r="AE7" s="3076"/>
      <c r="AF7" s="3076"/>
      <c r="AG7" s="3077"/>
      <c r="AH7" s="3072" t="s">
        <v>29</v>
      </c>
      <c r="AI7" s="3072"/>
      <c r="AJ7" s="3072"/>
      <c r="AK7" s="990" t="s">
        <v>30</v>
      </c>
      <c r="AL7" s="4521"/>
      <c r="AM7" s="4521"/>
      <c r="AN7" s="4522"/>
    </row>
    <row r="8" spans="1:40" ht="141.75" customHeight="1" x14ac:dyDescent="0.25">
      <c r="A8" s="4515"/>
      <c r="B8" s="4516"/>
      <c r="C8" s="4516"/>
      <c r="D8" s="4516"/>
      <c r="E8" s="4516"/>
      <c r="F8" s="4516"/>
      <c r="G8" s="4527"/>
      <c r="H8" s="4518"/>
      <c r="I8" s="4518"/>
      <c r="J8" s="4523"/>
      <c r="K8" s="4518"/>
      <c r="L8" s="4518"/>
      <c r="M8" s="4518"/>
      <c r="N8" s="4518"/>
      <c r="O8" s="4518"/>
      <c r="P8" s="4518"/>
      <c r="Q8" s="4518"/>
      <c r="R8" s="4518"/>
      <c r="S8" s="4525"/>
      <c r="T8" s="4518"/>
      <c r="U8" s="4518"/>
      <c r="V8" s="648" t="s">
        <v>34</v>
      </c>
      <c r="W8" s="649" t="s">
        <v>35</v>
      </c>
      <c r="X8" s="991" t="s">
        <v>2568</v>
      </c>
      <c r="Y8" s="991" t="s">
        <v>121</v>
      </c>
      <c r="Z8" s="991" t="s">
        <v>2536</v>
      </c>
      <c r="AA8" s="991" t="s">
        <v>123</v>
      </c>
      <c r="AB8" s="991" t="s">
        <v>40</v>
      </c>
      <c r="AC8" s="991" t="s">
        <v>41</v>
      </c>
      <c r="AD8" s="991" t="s">
        <v>42</v>
      </c>
      <c r="AE8" s="991" t="s">
        <v>43</v>
      </c>
      <c r="AF8" s="991" t="s">
        <v>44</v>
      </c>
      <c r="AG8" s="991" t="s">
        <v>45</v>
      </c>
      <c r="AH8" s="991" t="s">
        <v>46</v>
      </c>
      <c r="AI8" s="991" t="s">
        <v>47</v>
      </c>
      <c r="AJ8" s="991" t="s">
        <v>48</v>
      </c>
      <c r="AK8" s="991" t="s">
        <v>30</v>
      </c>
      <c r="AL8" s="4521"/>
      <c r="AM8" s="4521"/>
      <c r="AN8" s="4522"/>
    </row>
    <row r="9" spans="1:40" ht="28.5" customHeight="1" x14ac:dyDescent="0.25">
      <c r="A9" s="992">
        <v>2</v>
      </c>
      <c r="B9" s="4504" t="s">
        <v>835</v>
      </c>
      <c r="C9" s="4505"/>
      <c r="D9" s="4505"/>
      <c r="E9" s="993"/>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993"/>
      <c r="AK9" s="993"/>
      <c r="AL9" s="994"/>
      <c r="AM9" s="994"/>
      <c r="AN9" s="995"/>
    </row>
    <row r="10" spans="1:40" ht="24.75" customHeight="1" x14ac:dyDescent="0.25">
      <c r="A10" s="996"/>
      <c r="B10" s="997"/>
      <c r="C10" s="998">
        <v>4</v>
      </c>
      <c r="D10" s="4506" t="s">
        <v>2479</v>
      </c>
      <c r="E10" s="4507"/>
      <c r="F10" s="4507"/>
      <c r="G10" s="4507"/>
      <c r="H10" s="4507"/>
      <c r="I10" s="4507"/>
      <c r="J10" s="4507"/>
      <c r="K10" s="4507"/>
      <c r="L10" s="4507"/>
      <c r="M10" s="4507"/>
      <c r="N10" s="4507"/>
      <c r="O10" s="4507"/>
      <c r="P10" s="4507"/>
      <c r="Q10" s="4507"/>
      <c r="R10" s="4507"/>
      <c r="S10" s="4507"/>
      <c r="T10" s="4507"/>
      <c r="U10" s="4507"/>
      <c r="V10" s="4507"/>
      <c r="W10" s="4507"/>
      <c r="X10" s="4507"/>
      <c r="Y10" s="4507"/>
      <c r="Z10" s="4507"/>
      <c r="AA10" s="4507"/>
      <c r="AB10" s="4507"/>
      <c r="AC10" s="4507"/>
      <c r="AD10" s="4507"/>
      <c r="AE10" s="4507"/>
      <c r="AF10" s="4507"/>
      <c r="AG10" s="4507"/>
      <c r="AH10" s="4507"/>
      <c r="AI10" s="4507"/>
      <c r="AJ10" s="4507"/>
      <c r="AK10" s="4507"/>
      <c r="AL10" s="4507"/>
      <c r="AM10" s="4507"/>
      <c r="AN10" s="4508"/>
    </row>
    <row r="11" spans="1:40" ht="25.5" customHeight="1" x14ac:dyDescent="0.25">
      <c r="A11" s="999"/>
      <c r="B11" s="1000"/>
      <c r="C11" s="997"/>
      <c r="D11" s="996"/>
      <c r="E11" s="1001">
        <v>14</v>
      </c>
      <c r="F11" s="4509" t="s">
        <v>2480</v>
      </c>
      <c r="G11" s="4509"/>
      <c r="H11" s="4509"/>
      <c r="I11" s="4509"/>
      <c r="J11" s="4509"/>
      <c r="K11" s="4509"/>
      <c r="L11" s="4509"/>
      <c r="M11" s="4509"/>
      <c r="N11" s="4509"/>
      <c r="O11" s="4509"/>
      <c r="P11" s="4509"/>
      <c r="Q11" s="4509"/>
      <c r="R11" s="4510"/>
      <c r="S11" s="4510"/>
      <c r="T11" s="4510"/>
      <c r="U11" s="4510"/>
      <c r="V11" s="4509"/>
      <c r="W11" s="4509"/>
      <c r="X11" s="4509"/>
      <c r="Y11" s="4509"/>
      <c r="Z11" s="4509"/>
      <c r="AA11" s="4509"/>
      <c r="AB11" s="4509"/>
      <c r="AC11" s="4509"/>
      <c r="AD11" s="4509"/>
      <c r="AE11" s="4509"/>
      <c r="AF11" s="4509"/>
      <c r="AG11" s="4509"/>
      <c r="AH11" s="4509"/>
      <c r="AI11" s="4509"/>
      <c r="AJ11" s="4509"/>
      <c r="AK11" s="4509"/>
      <c r="AL11" s="4509"/>
      <c r="AM11" s="4509"/>
      <c r="AN11" s="4509"/>
    </row>
    <row r="12" spans="1:40" ht="43.5" customHeight="1" x14ac:dyDescent="0.25">
      <c r="A12" s="1002"/>
      <c r="B12" s="1003"/>
      <c r="C12" s="1002"/>
      <c r="D12" s="1003"/>
      <c r="E12" s="4511"/>
      <c r="F12" s="4485"/>
      <c r="G12" s="4513">
        <v>54</v>
      </c>
      <c r="H12" s="2791" t="s">
        <v>744</v>
      </c>
      <c r="I12" s="2791" t="s">
        <v>745</v>
      </c>
      <c r="J12" s="2789">
        <v>130</v>
      </c>
      <c r="K12" s="2789" t="s">
        <v>2481</v>
      </c>
      <c r="L12" s="2789" t="s">
        <v>2482</v>
      </c>
      <c r="M12" s="2791" t="s">
        <v>2483</v>
      </c>
      <c r="N12" s="3941">
        <f>+SUM(S12:S13)/O22</f>
        <v>0.12962213079902007</v>
      </c>
      <c r="O12" s="4487">
        <f>+SUM(S12:S13)</f>
        <v>313916293</v>
      </c>
      <c r="P12" s="2791" t="s">
        <v>2484</v>
      </c>
      <c r="Q12" s="4500" t="s">
        <v>2485</v>
      </c>
      <c r="R12" s="4501" t="s">
        <v>2486</v>
      </c>
      <c r="S12" s="2670">
        <v>290660277</v>
      </c>
      <c r="T12" s="2679">
        <v>53</v>
      </c>
      <c r="U12" s="2678" t="s">
        <v>2487</v>
      </c>
      <c r="V12" s="3150">
        <v>1382.4</v>
      </c>
      <c r="W12" s="3150">
        <v>1317.6</v>
      </c>
      <c r="X12" s="3150">
        <v>459</v>
      </c>
      <c r="Y12" s="3150">
        <v>248</v>
      </c>
      <c r="Z12" s="3150">
        <v>1615</v>
      </c>
      <c r="AA12" s="3150">
        <v>378</v>
      </c>
      <c r="AB12" s="3150"/>
      <c r="AC12" s="3150"/>
      <c r="AD12" s="3150"/>
      <c r="AE12" s="3150"/>
      <c r="AF12" s="3150"/>
      <c r="AG12" s="3150"/>
      <c r="AH12" s="3150"/>
      <c r="AI12" s="3150"/>
      <c r="AJ12" s="3150"/>
      <c r="AK12" s="3150">
        <f>+X12+Y12+Z12+AA12</f>
        <v>2700</v>
      </c>
      <c r="AL12" s="4489">
        <v>43466</v>
      </c>
      <c r="AM12" s="4489">
        <v>43829</v>
      </c>
      <c r="AN12" s="2789" t="s">
        <v>2488</v>
      </c>
    </row>
    <row r="13" spans="1:40" ht="88.5" customHeight="1" x14ac:dyDescent="0.25">
      <c r="A13" s="1002"/>
      <c r="B13" s="1003"/>
      <c r="C13" s="1002"/>
      <c r="D13" s="1003"/>
      <c r="E13" s="4512"/>
      <c r="F13" s="4503"/>
      <c r="G13" s="4513"/>
      <c r="H13" s="2786"/>
      <c r="I13" s="2786"/>
      <c r="J13" s="2784"/>
      <c r="K13" s="2784"/>
      <c r="L13" s="2784"/>
      <c r="M13" s="2786"/>
      <c r="N13" s="3941"/>
      <c r="O13" s="4499"/>
      <c r="P13" s="2786"/>
      <c r="Q13" s="2782"/>
      <c r="R13" s="4501"/>
      <c r="S13" s="2671">
        <v>23256016</v>
      </c>
      <c r="T13" s="2679">
        <v>129</v>
      </c>
      <c r="U13" s="2678" t="s">
        <v>2489</v>
      </c>
      <c r="V13" s="3150"/>
      <c r="W13" s="3150"/>
      <c r="X13" s="3150"/>
      <c r="Y13" s="3150"/>
      <c r="Z13" s="3150"/>
      <c r="AA13" s="3150"/>
      <c r="AB13" s="3150"/>
      <c r="AC13" s="3150"/>
      <c r="AD13" s="3150"/>
      <c r="AE13" s="3150"/>
      <c r="AF13" s="3150"/>
      <c r="AG13" s="3150"/>
      <c r="AH13" s="3150"/>
      <c r="AI13" s="3150"/>
      <c r="AJ13" s="3150"/>
      <c r="AK13" s="3150"/>
      <c r="AL13" s="4490"/>
      <c r="AM13" s="4490"/>
      <c r="AN13" s="2784"/>
    </row>
    <row r="14" spans="1:40" ht="21" customHeight="1" x14ac:dyDescent="0.25">
      <c r="A14" s="999"/>
      <c r="B14" s="1000"/>
      <c r="C14" s="1000"/>
      <c r="D14" s="999"/>
      <c r="E14" s="1004">
        <v>15</v>
      </c>
      <c r="F14" s="4502" t="s">
        <v>2490</v>
      </c>
      <c r="G14" s="4502"/>
      <c r="H14" s="4502"/>
      <c r="I14" s="4502"/>
      <c r="J14" s="4502"/>
      <c r="K14" s="1860"/>
      <c r="L14" s="1860"/>
      <c r="M14" s="1005"/>
      <c r="N14" s="1913"/>
      <c r="O14" s="2663"/>
      <c r="P14" s="1005"/>
      <c r="Q14" s="1005"/>
      <c r="R14" s="1158"/>
      <c r="S14" s="2672"/>
      <c r="T14" s="1159"/>
      <c r="U14" s="1159"/>
      <c r="V14" s="1860"/>
      <c r="W14" s="1860"/>
      <c r="X14" s="1860"/>
      <c r="Y14" s="1860"/>
      <c r="Z14" s="1860"/>
      <c r="AA14" s="1860"/>
      <c r="AB14" s="1860"/>
      <c r="AC14" s="1860"/>
      <c r="AD14" s="1860"/>
      <c r="AE14" s="1860"/>
      <c r="AF14" s="1860"/>
      <c r="AG14" s="1860"/>
      <c r="AH14" s="1860"/>
      <c r="AI14" s="1860"/>
      <c r="AJ14" s="1860"/>
      <c r="AK14" s="1860"/>
      <c r="AL14" s="1006"/>
      <c r="AM14" s="1006"/>
      <c r="AN14" s="1860"/>
    </row>
    <row r="15" spans="1:40" ht="43.5" customHeight="1" x14ac:dyDescent="0.25">
      <c r="A15" s="999"/>
      <c r="B15" s="1000"/>
      <c r="C15" s="1000"/>
      <c r="D15" s="999"/>
      <c r="E15" s="4494"/>
      <c r="F15" s="4494"/>
      <c r="G15" s="4485">
        <v>59</v>
      </c>
      <c r="H15" s="3560" t="s">
        <v>790</v>
      </c>
      <c r="I15" s="3560" t="s">
        <v>791</v>
      </c>
      <c r="J15" s="4485">
        <v>12</v>
      </c>
      <c r="K15" s="4485" t="s">
        <v>2481</v>
      </c>
      <c r="L15" s="4485" t="s">
        <v>2482</v>
      </c>
      <c r="M15" s="3560" t="s">
        <v>2483</v>
      </c>
      <c r="N15" s="3941">
        <f>+SUM(S15:S16)/$O$22</f>
        <v>0.23667759186737383</v>
      </c>
      <c r="O15" s="4487">
        <f>+S15</f>
        <v>573181075</v>
      </c>
      <c r="P15" s="3560" t="s">
        <v>2484</v>
      </c>
      <c r="Q15" s="3560" t="s">
        <v>2491</v>
      </c>
      <c r="R15" s="3560" t="s">
        <v>2492</v>
      </c>
      <c r="S15" s="4487">
        <v>573181075</v>
      </c>
      <c r="T15" s="4497" t="s">
        <v>695</v>
      </c>
      <c r="U15" s="4482" t="s">
        <v>2493</v>
      </c>
      <c r="V15" s="3282">
        <f>+[1]Hoja1!$E$12</f>
        <v>284400.12800000003</v>
      </c>
      <c r="W15" s="3282">
        <f>+[1]Hoja1!$D$12</f>
        <v>271068.87199999997</v>
      </c>
      <c r="X15" s="3282">
        <f>+X12</f>
        <v>459</v>
      </c>
      <c r="Y15" s="3282">
        <f>+Y12</f>
        <v>248</v>
      </c>
      <c r="Z15" s="3282">
        <f>+Z12</f>
        <v>1615</v>
      </c>
      <c r="AA15" s="3282">
        <f>+AA12</f>
        <v>378</v>
      </c>
      <c r="AB15" s="4494"/>
      <c r="AC15" s="4494"/>
      <c r="AD15" s="4494"/>
      <c r="AE15" s="4494"/>
      <c r="AF15" s="4494"/>
      <c r="AG15" s="4494"/>
      <c r="AH15" s="4494"/>
      <c r="AI15" s="4494"/>
      <c r="AJ15" s="4494"/>
      <c r="AK15" s="4528">
        <f>+X15+Y15+Z15+AA15</f>
        <v>2700</v>
      </c>
      <c r="AL15" s="4489">
        <v>43466</v>
      </c>
      <c r="AM15" s="4489">
        <v>43829</v>
      </c>
      <c r="AN15" s="2789" t="s">
        <v>2494</v>
      </c>
    </row>
    <row r="16" spans="1:40" ht="58.5" customHeight="1" x14ac:dyDescent="0.25">
      <c r="A16" s="1007"/>
      <c r="B16" s="1003"/>
      <c r="C16" s="1002"/>
      <c r="D16" s="1003"/>
      <c r="E16" s="4495"/>
      <c r="F16" s="4495"/>
      <c r="G16" s="4486"/>
      <c r="H16" s="3562"/>
      <c r="I16" s="3562"/>
      <c r="J16" s="4486"/>
      <c r="K16" s="4486"/>
      <c r="L16" s="4503"/>
      <c r="M16" s="3561"/>
      <c r="N16" s="3941"/>
      <c r="O16" s="4488"/>
      <c r="P16" s="3561"/>
      <c r="Q16" s="3561"/>
      <c r="R16" s="3562"/>
      <c r="S16" s="4488"/>
      <c r="T16" s="4498"/>
      <c r="U16" s="4483"/>
      <c r="V16" s="3282"/>
      <c r="W16" s="3282"/>
      <c r="X16" s="3282"/>
      <c r="Y16" s="3282"/>
      <c r="Z16" s="3282"/>
      <c r="AA16" s="3282"/>
      <c r="AB16" s="4495"/>
      <c r="AC16" s="4495"/>
      <c r="AD16" s="4495"/>
      <c r="AE16" s="4495"/>
      <c r="AF16" s="4495"/>
      <c r="AG16" s="4495"/>
      <c r="AH16" s="4495"/>
      <c r="AI16" s="4495"/>
      <c r="AJ16" s="4495"/>
      <c r="AK16" s="4528"/>
      <c r="AL16" s="4490"/>
      <c r="AM16" s="4490"/>
      <c r="AN16" s="2784"/>
    </row>
    <row r="17" spans="1:40" ht="99.75" x14ac:dyDescent="0.25">
      <c r="A17" s="1007"/>
      <c r="B17" s="1003"/>
      <c r="C17" s="1002"/>
      <c r="D17" s="1003"/>
      <c r="E17" s="4495"/>
      <c r="F17" s="4495"/>
      <c r="G17" s="1858">
        <v>57</v>
      </c>
      <c r="H17" s="1829" t="s">
        <v>773</v>
      </c>
      <c r="I17" s="2605" t="s">
        <v>774</v>
      </c>
      <c r="J17" s="1858">
        <v>12</v>
      </c>
      <c r="K17" s="1858" t="s">
        <v>2481</v>
      </c>
      <c r="L17" s="4503"/>
      <c r="M17" s="3561"/>
      <c r="N17" s="1910">
        <f>+S17/O22</f>
        <v>0.23667759186737383</v>
      </c>
      <c r="O17" s="2664">
        <f>+S17</f>
        <v>573181075</v>
      </c>
      <c r="P17" s="3561"/>
      <c r="Q17" s="3561"/>
      <c r="R17" s="1829" t="s">
        <v>2495</v>
      </c>
      <c r="S17" s="2673">
        <v>573181075</v>
      </c>
      <c r="T17" s="2680" t="s">
        <v>695</v>
      </c>
      <c r="U17" s="2666" t="s">
        <v>2493</v>
      </c>
      <c r="V17" s="3282"/>
      <c r="W17" s="3282"/>
      <c r="X17" s="3282"/>
      <c r="Y17" s="3282"/>
      <c r="Z17" s="3282"/>
      <c r="AA17" s="3282"/>
      <c r="AB17" s="4495"/>
      <c r="AC17" s="4495"/>
      <c r="AD17" s="4495"/>
      <c r="AE17" s="4495"/>
      <c r="AF17" s="4495"/>
      <c r="AG17" s="4495"/>
      <c r="AH17" s="4495"/>
      <c r="AI17" s="4495"/>
      <c r="AJ17" s="4495"/>
      <c r="AK17" s="4528"/>
      <c r="AL17" s="4490"/>
      <c r="AM17" s="4490"/>
      <c r="AN17" s="2784"/>
    </row>
    <row r="18" spans="1:40" ht="60" customHeight="1" x14ac:dyDescent="0.25">
      <c r="A18" s="1007"/>
      <c r="B18" s="1003"/>
      <c r="C18" s="1002"/>
      <c r="D18" s="1003"/>
      <c r="E18" s="4495"/>
      <c r="F18" s="4495"/>
      <c r="G18" s="4485">
        <v>60</v>
      </c>
      <c r="H18" s="3560" t="s">
        <v>2496</v>
      </c>
      <c r="I18" s="3560" t="s">
        <v>2497</v>
      </c>
      <c r="J18" s="4485">
        <v>12</v>
      </c>
      <c r="K18" s="4485" t="s">
        <v>2481</v>
      </c>
      <c r="L18" s="4503"/>
      <c r="M18" s="3561"/>
      <c r="N18" s="3941">
        <f>(+S18+S19)/O22</f>
        <v>0.24581941166936766</v>
      </c>
      <c r="O18" s="4487">
        <f>+S18+S19</f>
        <v>595320552</v>
      </c>
      <c r="P18" s="3561"/>
      <c r="Q18" s="3561"/>
      <c r="R18" s="4492" t="s">
        <v>2498</v>
      </c>
      <c r="S18" s="2674">
        <f>290660276+281660276</f>
        <v>572320552</v>
      </c>
      <c r="T18" s="2683" t="s">
        <v>2499</v>
      </c>
      <c r="U18" s="2667" t="s">
        <v>2487</v>
      </c>
      <c r="V18" s="3282"/>
      <c r="W18" s="3282"/>
      <c r="X18" s="3282"/>
      <c r="Y18" s="3282"/>
      <c r="Z18" s="3282"/>
      <c r="AA18" s="3282"/>
      <c r="AB18" s="4495"/>
      <c r="AC18" s="4495"/>
      <c r="AD18" s="4495"/>
      <c r="AE18" s="4495"/>
      <c r="AF18" s="4495"/>
      <c r="AG18" s="4495"/>
      <c r="AH18" s="4495"/>
      <c r="AI18" s="4495"/>
      <c r="AJ18" s="4495"/>
      <c r="AK18" s="4528"/>
      <c r="AL18" s="4490"/>
      <c r="AM18" s="4490"/>
      <c r="AN18" s="2784"/>
    </row>
    <row r="19" spans="1:40" ht="60" customHeight="1" x14ac:dyDescent="0.25">
      <c r="A19" s="1007"/>
      <c r="B19" s="1008"/>
      <c r="C19" s="1007"/>
      <c r="D19" s="1009"/>
      <c r="E19" s="4495"/>
      <c r="F19" s="4495"/>
      <c r="G19" s="4486"/>
      <c r="H19" s="3562"/>
      <c r="I19" s="3562"/>
      <c r="J19" s="4486"/>
      <c r="K19" s="4486"/>
      <c r="L19" s="4503"/>
      <c r="M19" s="3561"/>
      <c r="N19" s="3941"/>
      <c r="O19" s="4488"/>
      <c r="P19" s="3561"/>
      <c r="Q19" s="3561"/>
      <c r="R19" s="4493"/>
      <c r="S19" s="2674">
        <v>23000000</v>
      </c>
      <c r="T19" s="2683" t="s">
        <v>2500</v>
      </c>
      <c r="U19" s="2667" t="s">
        <v>2501</v>
      </c>
      <c r="V19" s="3282"/>
      <c r="W19" s="3282"/>
      <c r="X19" s="3282"/>
      <c r="Y19" s="3282"/>
      <c r="Z19" s="3282"/>
      <c r="AA19" s="3282"/>
      <c r="AB19" s="4495"/>
      <c r="AC19" s="4495"/>
      <c r="AD19" s="4495"/>
      <c r="AE19" s="4495"/>
      <c r="AF19" s="4495"/>
      <c r="AG19" s="4495"/>
      <c r="AH19" s="4495"/>
      <c r="AI19" s="4495"/>
      <c r="AJ19" s="4495"/>
      <c r="AK19" s="4528"/>
      <c r="AL19" s="4490"/>
      <c r="AM19" s="4490"/>
      <c r="AN19" s="2784"/>
    </row>
    <row r="20" spans="1:40" ht="48" customHeight="1" x14ac:dyDescent="0.25">
      <c r="A20" s="1007"/>
      <c r="B20" s="1008"/>
      <c r="C20" s="1007"/>
      <c r="D20" s="1009"/>
      <c r="E20" s="4495"/>
      <c r="F20" s="4495"/>
      <c r="G20" s="4485">
        <v>63</v>
      </c>
      <c r="H20" s="3560" t="s">
        <v>808</v>
      </c>
      <c r="I20" s="3560" t="s">
        <v>809</v>
      </c>
      <c r="J20" s="4485">
        <v>250</v>
      </c>
      <c r="K20" s="4485" t="s">
        <v>2481</v>
      </c>
      <c r="L20" s="4503"/>
      <c r="M20" s="3561"/>
      <c r="N20" s="3941">
        <f>(+S20+S21)/O22</f>
        <v>0.15120327379686463</v>
      </c>
      <c r="O20" s="4487">
        <f>+S20+S21</f>
        <v>366181075</v>
      </c>
      <c r="P20" s="3561"/>
      <c r="Q20" s="3561"/>
      <c r="R20" s="3560" t="s">
        <v>2502</v>
      </c>
      <c r="S20" s="2675">
        <f>573181075-216000000</f>
        <v>357181075</v>
      </c>
      <c r="T20" s="2681" t="s">
        <v>695</v>
      </c>
      <c r="U20" s="2668" t="s">
        <v>2493</v>
      </c>
      <c r="V20" s="3282"/>
      <c r="W20" s="3282"/>
      <c r="X20" s="3282"/>
      <c r="Y20" s="3282"/>
      <c r="Z20" s="3282"/>
      <c r="AA20" s="3282"/>
      <c r="AB20" s="4495"/>
      <c r="AC20" s="4495"/>
      <c r="AD20" s="4495"/>
      <c r="AE20" s="4495"/>
      <c r="AF20" s="4495"/>
      <c r="AG20" s="4495"/>
      <c r="AH20" s="4495"/>
      <c r="AI20" s="4495"/>
      <c r="AJ20" s="4495"/>
      <c r="AK20" s="4528"/>
      <c r="AL20" s="4490"/>
      <c r="AM20" s="4490"/>
      <c r="AN20" s="2784"/>
    </row>
    <row r="21" spans="1:40" ht="39" customHeight="1" x14ac:dyDescent="0.25">
      <c r="A21" s="1010"/>
      <c r="B21" s="1011"/>
      <c r="C21" s="1010"/>
      <c r="D21" s="1012"/>
      <c r="E21" s="4496"/>
      <c r="F21" s="4496"/>
      <c r="G21" s="4486"/>
      <c r="H21" s="3562"/>
      <c r="I21" s="3562"/>
      <c r="J21" s="4486"/>
      <c r="K21" s="4486"/>
      <c r="L21" s="4486"/>
      <c r="M21" s="3562"/>
      <c r="N21" s="3941"/>
      <c r="O21" s="4488"/>
      <c r="P21" s="3562"/>
      <c r="Q21" s="3562"/>
      <c r="R21" s="3562"/>
      <c r="S21" s="2676">
        <f>290660276-281660276</f>
        <v>9000000</v>
      </c>
      <c r="T21" s="2682"/>
      <c r="U21" s="2669" t="s">
        <v>2487</v>
      </c>
      <c r="V21" s="3282"/>
      <c r="W21" s="3282"/>
      <c r="X21" s="3282"/>
      <c r="Y21" s="3282"/>
      <c r="Z21" s="3282"/>
      <c r="AA21" s="3282"/>
      <c r="AB21" s="4496"/>
      <c r="AC21" s="4496"/>
      <c r="AD21" s="4496"/>
      <c r="AE21" s="4496"/>
      <c r="AF21" s="4496"/>
      <c r="AG21" s="4496"/>
      <c r="AH21" s="4496"/>
      <c r="AI21" s="4496"/>
      <c r="AJ21" s="4496"/>
      <c r="AK21" s="4528"/>
      <c r="AL21" s="4491"/>
      <c r="AM21" s="4491"/>
      <c r="AN21" s="2790"/>
    </row>
    <row r="22" spans="1:40" ht="28.5" customHeight="1" x14ac:dyDescent="0.25">
      <c r="A22" s="4484" t="s">
        <v>823</v>
      </c>
      <c r="B22" s="4484"/>
      <c r="C22" s="4484"/>
      <c r="D22" s="4484"/>
      <c r="E22" s="4484"/>
      <c r="F22" s="4484"/>
      <c r="G22" s="4484"/>
      <c r="H22" s="4484"/>
      <c r="I22" s="4484"/>
      <c r="J22" s="4484"/>
      <c r="K22" s="4484"/>
      <c r="L22" s="4484"/>
      <c r="M22" s="4484"/>
      <c r="N22" s="4484"/>
      <c r="O22" s="2665">
        <f>SUM(O12:O21)</f>
        <v>2421780070</v>
      </c>
      <c r="P22" s="1070"/>
      <c r="Q22" s="1076"/>
      <c r="R22" s="1076"/>
      <c r="S22" s="2677">
        <f>SUM(S12:S21)</f>
        <v>2421780070</v>
      </c>
      <c r="T22" s="1098"/>
      <c r="U22" s="1098"/>
      <c r="V22" s="1099"/>
      <c r="W22" s="1099"/>
      <c r="X22" s="1099"/>
      <c r="Y22" s="1099"/>
      <c r="Z22" s="1099"/>
      <c r="AA22" s="1099"/>
      <c r="AB22" s="1099"/>
      <c r="AC22" s="1099"/>
      <c r="AD22" s="1099"/>
      <c r="AE22" s="1099"/>
      <c r="AF22" s="1099"/>
      <c r="AG22" s="1099"/>
      <c r="AH22" s="1099"/>
      <c r="AI22" s="1099"/>
      <c r="AJ22" s="1099"/>
      <c r="AK22" s="1099"/>
      <c r="AL22" s="1100"/>
      <c r="AM22" s="1101"/>
      <c r="AN22" s="1102"/>
    </row>
    <row r="23" spans="1:40" ht="15.75" x14ac:dyDescent="0.25">
      <c r="A23" s="1013"/>
      <c r="B23" s="1013"/>
      <c r="C23" s="1013"/>
      <c r="D23" s="1013"/>
      <c r="E23" s="1014"/>
      <c r="F23" s="1013"/>
      <c r="G23" s="1014"/>
      <c r="H23" s="1013"/>
      <c r="I23" s="1013"/>
      <c r="J23" s="1013"/>
      <c r="K23" s="1013"/>
      <c r="L23" s="1013"/>
      <c r="M23" s="1013"/>
      <c r="N23" s="1015"/>
      <c r="O23" s="1013"/>
      <c r="P23" s="1013"/>
      <c r="Q23" s="1013"/>
      <c r="R23" s="1016"/>
      <c r="S23" s="1016"/>
      <c r="T23" s="1016"/>
      <c r="U23" s="1016"/>
      <c r="V23" s="1013"/>
      <c r="W23" s="1013"/>
      <c r="X23" s="1013"/>
      <c r="Y23" s="1013"/>
      <c r="Z23" s="1013"/>
      <c r="AA23" s="1013"/>
      <c r="AB23" s="1013"/>
      <c r="AC23" s="1013"/>
      <c r="AD23" s="1013"/>
      <c r="AE23" s="1013"/>
      <c r="AF23" s="1013"/>
      <c r="AG23" s="1013"/>
      <c r="AH23" s="1013"/>
      <c r="AI23" s="1013"/>
      <c r="AJ23" s="1013"/>
      <c r="AK23" s="1013"/>
      <c r="AL23" s="1017"/>
      <c r="AM23" s="1018"/>
      <c r="AN23" s="1013"/>
    </row>
    <row r="24" spans="1:40" ht="15.75" x14ac:dyDescent="0.25">
      <c r="A24" s="1013"/>
      <c r="B24" s="1013"/>
      <c r="C24" s="1013"/>
      <c r="D24" s="1013"/>
      <c r="E24" s="1014"/>
      <c r="F24" s="1013"/>
      <c r="G24" s="1014"/>
      <c r="H24" s="1013"/>
      <c r="I24" s="1013"/>
      <c r="J24" s="1013"/>
      <c r="K24" s="1013"/>
      <c r="L24" s="1013"/>
      <c r="M24" s="1013"/>
      <c r="N24" s="1015"/>
      <c r="O24" s="1013"/>
      <c r="P24" s="1013"/>
      <c r="Q24" s="1013"/>
      <c r="R24" s="1016"/>
      <c r="S24" s="1016"/>
      <c r="T24" s="1016"/>
      <c r="U24" s="1016"/>
      <c r="V24" s="1013"/>
      <c r="W24" s="1013"/>
      <c r="X24" s="1013"/>
      <c r="Y24" s="1013"/>
      <c r="Z24" s="1013"/>
      <c r="AA24" s="1013"/>
      <c r="AB24" s="1013"/>
      <c r="AC24" s="1013"/>
      <c r="AD24" s="1013"/>
      <c r="AE24" s="1013"/>
      <c r="AF24" s="1013"/>
      <c r="AG24" s="1013"/>
      <c r="AH24" s="1013"/>
      <c r="AI24" s="1013"/>
      <c r="AJ24" s="1013"/>
      <c r="AK24" s="1013"/>
      <c r="AL24" s="1017"/>
      <c r="AM24" s="1018"/>
      <c r="AN24" s="1013"/>
    </row>
    <row r="25" spans="1:40" ht="15.75" x14ac:dyDescent="0.25">
      <c r="A25" s="1013"/>
      <c r="B25" s="1013"/>
      <c r="C25" s="1013"/>
      <c r="D25" s="1013"/>
      <c r="E25" s="1014"/>
      <c r="F25" s="1013"/>
      <c r="G25" s="1014"/>
      <c r="H25" s="1013"/>
      <c r="I25" s="1013"/>
      <c r="J25" s="1013"/>
      <c r="K25" s="1013"/>
      <c r="L25" s="1013"/>
      <c r="M25" s="1013"/>
      <c r="N25" s="1015"/>
      <c r="O25" s="1013"/>
      <c r="P25" s="1013"/>
      <c r="Q25" s="1013"/>
      <c r="R25" s="1016"/>
      <c r="S25" s="1016"/>
      <c r="T25" s="1016"/>
      <c r="U25" s="1016"/>
      <c r="V25" s="1013"/>
      <c r="W25" s="1013"/>
      <c r="X25" s="1013"/>
      <c r="Y25" s="1013"/>
      <c r="Z25" s="1013"/>
      <c r="AA25" s="1013"/>
      <c r="AB25" s="1013"/>
      <c r="AC25" s="1013"/>
      <c r="AD25" s="1013"/>
      <c r="AE25" s="1013"/>
      <c r="AF25" s="1013"/>
      <c r="AG25" s="1013"/>
      <c r="AH25" s="1013"/>
      <c r="AI25" s="1013"/>
      <c r="AJ25" s="1013"/>
      <c r="AK25" s="1013"/>
      <c r="AL25" s="1017"/>
      <c r="AM25" s="1018"/>
      <c r="AN25" s="1013"/>
    </row>
    <row r="26" spans="1:40" ht="15.75" x14ac:dyDescent="0.25">
      <c r="A26" s="1013"/>
      <c r="B26" s="1013"/>
      <c r="C26" s="1013"/>
      <c r="D26" s="1013"/>
      <c r="E26" s="1014"/>
      <c r="F26" s="1013"/>
      <c r="G26" s="1014"/>
      <c r="H26" s="1013"/>
      <c r="I26" s="1013"/>
      <c r="J26" s="1013"/>
      <c r="K26" s="1013"/>
      <c r="L26" s="1013"/>
      <c r="M26" s="1013"/>
      <c r="N26" s="1015"/>
      <c r="O26" s="1013"/>
      <c r="P26" s="1013"/>
      <c r="Q26" s="1013"/>
      <c r="R26" s="1016"/>
      <c r="S26" s="1016"/>
      <c r="T26" s="1016"/>
      <c r="U26" s="1016"/>
      <c r="V26" s="1013"/>
      <c r="W26" s="1013"/>
      <c r="X26" s="1013"/>
      <c r="Y26" s="1013"/>
      <c r="Z26" s="1013"/>
      <c r="AA26" s="1013"/>
      <c r="AB26" s="1013"/>
      <c r="AC26" s="1013"/>
      <c r="AD26" s="1013"/>
      <c r="AE26" s="1013"/>
      <c r="AF26" s="1013"/>
      <c r="AG26" s="1013"/>
      <c r="AH26" s="1013"/>
      <c r="AI26" s="1013"/>
      <c r="AJ26" s="1013"/>
      <c r="AK26" s="1013"/>
      <c r="AL26" s="1017"/>
      <c r="AM26" s="1018"/>
      <c r="AN26" s="1013"/>
    </row>
    <row r="27" spans="1:40" ht="15.75" x14ac:dyDescent="0.25">
      <c r="A27" s="1013"/>
      <c r="B27" s="1013"/>
      <c r="C27" s="1013"/>
      <c r="D27" s="1013"/>
      <c r="E27" s="1014"/>
      <c r="F27" s="1013"/>
      <c r="G27" s="1014"/>
      <c r="H27" s="1013"/>
      <c r="I27" s="1013"/>
      <c r="J27" s="1013"/>
      <c r="K27" s="1013"/>
      <c r="L27" s="1013"/>
      <c r="M27" s="1013"/>
      <c r="N27" s="1015"/>
      <c r="O27" s="1013"/>
      <c r="P27" s="1013"/>
      <c r="Q27" s="1013"/>
      <c r="R27" s="1016"/>
      <c r="S27" s="1016"/>
      <c r="T27" s="1016"/>
      <c r="U27" s="1016"/>
      <c r="V27" s="1013"/>
      <c r="W27" s="1013"/>
      <c r="X27" s="1013"/>
      <c r="Y27" s="1013"/>
      <c r="Z27" s="1013"/>
      <c r="AA27" s="1013"/>
      <c r="AB27" s="1013"/>
      <c r="AC27" s="1013"/>
      <c r="AD27" s="1013"/>
      <c r="AE27" s="1013"/>
      <c r="AF27" s="1013"/>
      <c r="AG27" s="1013"/>
      <c r="AH27" s="1013"/>
      <c r="AI27" s="1013"/>
      <c r="AJ27" s="1013"/>
      <c r="AK27" s="1013"/>
      <c r="AL27" s="1017"/>
      <c r="AM27" s="1018"/>
      <c r="AN27" s="1013"/>
    </row>
    <row r="28" spans="1:40" ht="15.75" x14ac:dyDescent="0.25">
      <c r="A28" s="1013"/>
      <c r="B28" s="1013"/>
      <c r="C28" s="1013"/>
      <c r="D28" s="1013"/>
      <c r="E28" s="1014"/>
      <c r="F28" s="1013"/>
      <c r="G28" s="1014"/>
      <c r="H28" s="1013"/>
      <c r="I28" s="1013"/>
      <c r="J28" s="1013"/>
      <c r="K28" s="1013"/>
      <c r="L28" s="1013"/>
      <c r="M28" s="1013"/>
      <c r="N28" s="1015"/>
      <c r="O28" s="1013"/>
      <c r="P28" s="1013"/>
      <c r="Q28" s="1013"/>
      <c r="R28" s="1016"/>
      <c r="S28" s="1016"/>
      <c r="T28" s="1016"/>
      <c r="U28" s="1016"/>
      <c r="V28" s="1013"/>
      <c r="W28" s="1013"/>
      <c r="X28" s="1013"/>
      <c r="Y28" s="1013"/>
      <c r="Z28" s="1013"/>
      <c r="AA28" s="1013"/>
      <c r="AB28" s="1013"/>
      <c r="AC28" s="1013"/>
      <c r="AD28" s="1013"/>
      <c r="AE28" s="1013"/>
      <c r="AF28" s="1013"/>
      <c r="AG28" s="1013"/>
      <c r="AH28" s="1013"/>
      <c r="AI28" s="1013"/>
      <c r="AJ28" s="1013"/>
      <c r="AK28" s="1013"/>
      <c r="AL28" s="1017"/>
      <c r="AM28" s="1018"/>
      <c r="AN28" s="1013"/>
    </row>
    <row r="29" spans="1:40" ht="15.75" x14ac:dyDescent="0.25">
      <c r="A29" s="1013"/>
      <c r="B29" s="1013"/>
      <c r="C29" s="1013"/>
      <c r="D29" s="1013"/>
      <c r="E29" s="1014"/>
      <c r="F29" s="1013"/>
      <c r="G29" s="1014"/>
      <c r="H29" s="1013"/>
      <c r="I29" s="1013"/>
      <c r="J29" s="1013"/>
      <c r="K29" s="1013"/>
      <c r="L29" s="1013"/>
      <c r="M29" s="1013"/>
      <c r="N29" s="1015"/>
      <c r="O29" s="1013"/>
      <c r="P29" s="1013"/>
      <c r="Q29" s="1013"/>
      <c r="R29" s="1016"/>
      <c r="S29" s="1016"/>
      <c r="T29" s="1016"/>
      <c r="U29" s="1016"/>
      <c r="V29" s="1013"/>
      <c r="W29" s="1013"/>
      <c r="X29" s="1013"/>
      <c r="Y29" s="1013"/>
      <c r="Z29" s="1013"/>
      <c r="AA29" s="1013"/>
      <c r="AB29" s="1013"/>
      <c r="AC29" s="1013"/>
      <c r="AD29" s="1013"/>
      <c r="AE29" s="1013"/>
      <c r="AF29" s="1013"/>
      <c r="AG29" s="1013"/>
      <c r="AH29" s="1013"/>
      <c r="AI29" s="1013"/>
      <c r="AJ29" s="1013"/>
      <c r="AK29" s="1013"/>
      <c r="AL29" s="1017"/>
      <c r="AM29" s="1018"/>
      <c r="AN29" s="1013"/>
    </row>
    <row r="30" spans="1:40" ht="15.75" x14ac:dyDescent="0.25">
      <c r="A30" s="1013"/>
      <c r="B30" s="1013"/>
      <c r="C30" s="1013"/>
      <c r="D30" s="1013"/>
      <c r="E30" s="1014"/>
      <c r="F30" s="1013"/>
      <c r="G30" s="1014"/>
      <c r="H30" s="1013"/>
      <c r="I30" s="1013"/>
      <c r="J30" s="1013"/>
      <c r="K30" s="1013"/>
      <c r="L30" s="1013"/>
      <c r="M30" s="1013"/>
      <c r="N30" s="1015"/>
      <c r="O30" s="1013"/>
      <c r="P30" s="1013"/>
      <c r="Q30" s="1013"/>
      <c r="R30" s="1016"/>
      <c r="S30" s="1016"/>
      <c r="T30" s="1016"/>
      <c r="U30" s="1016"/>
      <c r="V30" s="1013"/>
      <c r="W30" s="1013"/>
      <c r="X30" s="1013"/>
      <c r="Y30" s="1013"/>
      <c r="Z30" s="1013"/>
      <c r="AA30" s="1013"/>
      <c r="AB30" s="1013"/>
      <c r="AC30" s="1013"/>
      <c r="AD30" s="1013"/>
      <c r="AE30" s="1013"/>
      <c r="AF30" s="1013"/>
      <c r="AG30" s="1013"/>
      <c r="AH30" s="1013"/>
      <c r="AI30" s="1013"/>
      <c r="AJ30" s="1013"/>
      <c r="AK30" s="1013"/>
      <c r="AL30" s="1017"/>
      <c r="AM30" s="1018"/>
      <c r="AN30" s="1013"/>
    </row>
    <row r="31" spans="1:40" ht="15.75" x14ac:dyDescent="0.25">
      <c r="A31" s="1013"/>
      <c r="B31" s="1013"/>
      <c r="C31" s="1013"/>
      <c r="D31" s="1013"/>
      <c r="E31" s="1014"/>
      <c r="F31" s="1013"/>
      <c r="G31" s="1014"/>
      <c r="H31" s="1013"/>
      <c r="I31" s="1013"/>
      <c r="J31" s="1013"/>
      <c r="K31" s="1013"/>
      <c r="L31" s="1013"/>
      <c r="M31" s="1013"/>
      <c r="N31" s="1015"/>
      <c r="O31" s="1013"/>
      <c r="P31" s="1013"/>
      <c r="Q31" s="1013"/>
      <c r="R31" s="1016"/>
      <c r="S31" s="1016"/>
      <c r="T31" s="1016"/>
      <c r="U31" s="1016"/>
      <c r="V31" s="1013"/>
      <c r="W31" s="1013"/>
      <c r="X31" s="1013"/>
      <c r="Y31" s="1013"/>
      <c r="Z31" s="1013"/>
      <c r="AA31" s="1013"/>
      <c r="AB31" s="1013"/>
      <c r="AC31" s="1013"/>
      <c r="AD31" s="1013"/>
      <c r="AE31" s="1013"/>
      <c r="AF31" s="1013"/>
      <c r="AG31" s="1013"/>
      <c r="AH31" s="1013"/>
      <c r="AI31" s="1013"/>
      <c r="AJ31" s="1013"/>
      <c r="AK31" s="1013"/>
      <c r="AL31" s="1017"/>
      <c r="AM31" s="1018"/>
      <c r="AN31" s="1013"/>
    </row>
    <row r="32" spans="1:40" ht="15.75" x14ac:dyDescent="0.25">
      <c r="A32" s="1013"/>
      <c r="B32" s="1013"/>
      <c r="C32" s="1013"/>
      <c r="D32" s="1013"/>
      <c r="E32" s="1014"/>
      <c r="F32" s="1013"/>
      <c r="G32" s="1014"/>
      <c r="H32" s="1013"/>
      <c r="I32" s="1013"/>
      <c r="J32" s="1013"/>
      <c r="K32" s="1013"/>
      <c r="L32" s="1013"/>
      <c r="M32" s="1013"/>
      <c r="N32" s="1015"/>
      <c r="O32" s="1013"/>
      <c r="P32" s="1013"/>
      <c r="Q32" s="1013"/>
      <c r="R32" s="1016"/>
      <c r="S32" s="1016"/>
      <c r="T32" s="1016"/>
      <c r="U32" s="1016"/>
      <c r="V32" s="1013"/>
      <c r="W32" s="1013"/>
      <c r="X32" s="1013"/>
      <c r="Y32" s="1013"/>
      <c r="Z32" s="1013"/>
      <c r="AA32" s="1013"/>
      <c r="AB32" s="1013"/>
      <c r="AC32" s="1013"/>
      <c r="AD32" s="1013"/>
      <c r="AE32" s="1013"/>
      <c r="AF32" s="1013"/>
      <c r="AG32" s="1013"/>
      <c r="AH32" s="1013"/>
      <c r="AI32" s="1013"/>
      <c r="AJ32" s="1013"/>
      <c r="AK32" s="1013"/>
      <c r="AL32" s="1017"/>
      <c r="AM32" s="1018"/>
      <c r="AN32" s="1013"/>
    </row>
    <row r="33" spans="1:40" ht="15.75" x14ac:dyDescent="0.25">
      <c r="A33" s="1013"/>
      <c r="B33" s="1013"/>
      <c r="C33" s="1013"/>
      <c r="D33" s="1013"/>
      <c r="E33" s="1014"/>
      <c r="F33" s="1013"/>
      <c r="G33" s="1014"/>
      <c r="H33" s="1013"/>
      <c r="I33" s="1013"/>
      <c r="J33" s="1013"/>
      <c r="K33" s="1013"/>
      <c r="L33" s="1013"/>
      <c r="M33" s="1013"/>
      <c r="N33" s="1015"/>
      <c r="O33" s="1013"/>
      <c r="P33" s="1013"/>
      <c r="Q33" s="1013"/>
      <c r="R33" s="1016"/>
      <c r="S33" s="1016"/>
      <c r="T33" s="1016"/>
      <c r="U33" s="1016"/>
      <c r="V33" s="1013"/>
      <c r="W33" s="1013"/>
      <c r="X33" s="1013"/>
      <c r="Y33" s="1013"/>
      <c r="Z33" s="1013"/>
      <c r="AA33" s="1013"/>
      <c r="AB33" s="1013"/>
      <c r="AC33" s="1013"/>
      <c r="AD33" s="1013"/>
      <c r="AE33" s="1013"/>
      <c r="AF33" s="1013"/>
      <c r="AG33" s="1013"/>
      <c r="AH33" s="1013"/>
      <c r="AI33" s="1013"/>
      <c r="AJ33" s="1013"/>
      <c r="AK33" s="1013"/>
      <c r="AL33" s="1017"/>
      <c r="AM33" s="1018"/>
      <c r="AN33" s="1013"/>
    </row>
    <row r="34" spans="1:40" ht="15.75" x14ac:dyDescent="0.25">
      <c r="A34" s="1013"/>
      <c r="B34" s="1013"/>
      <c r="C34" s="1013"/>
      <c r="D34" s="1013"/>
      <c r="E34" s="1014"/>
      <c r="F34" s="1013"/>
      <c r="G34" s="1014"/>
      <c r="H34" s="1013"/>
      <c r="I34" s="1013"/>
      <c r="J34" s="1013"/>
      <c r="K34" s="1013"/>
      <c r="L34" s="1013"/>
      <c r="M34" s="1013"/>
      <c r="N34" s="1015"/>
      <c r="O34" s="1013"/>
      <c r="P34" s="1013"/>
      <c r="Q34" s="1013"/>
      <c r="R34" s="1016"/>
      <c r="S34" s="1016"/>
      <c r="T34" s="1016"/>
      <c r="U34" s="1016"/>
      <c r="V34" s="1013"/>
      <c r="W34" s="1013"/>
      <c r="X34" s="1013"/>
      <c r="Y34" s="1013"/>
      <c r="Z34" s="1013"/>
      <c r="AA34" s="1013"/>
      <c r="AB34" s="1013"/>
      <c r="AC34" s="1013"/>
      <c r="AD34" s="1013"/>
      <c r="AE34" s="1013"/>
      <c r="AF34" s="1013"/>
      <c r="AG34" s="1013"/>
      <c r="AH34" s="1013"/>
      <c r="AI34" s="1013"/>
      <c r="AJ34" s="1013"/>
      <c r="AK34" s="1013"/>
      <c r="AL34" s="1017"/>
      <c r="AM34" s="1018"/>
      <c r="AN34" s="1013"/>
    </row>
    <row r="35" spans="1:40" ht="15.75" x14ac:dyDescent="0.25">
      <c r="A35" s="1013"/>
      <c r="B35" s="1013"/>
      <c r="C35" s="1013"/>
      <c r="D35" s="1013"/>
      <c r="E35" s="1014"/>
      <c r="F35" s="1013"/>
      <c r="G35" s="1014"/>
      <c r="H35" s="1013"/>
      <c r="I35" s="1013"/>
      <c r="J35" s="1013"/>
      <c r="K35" s="1013"/>
      <c r="L35" s="1013"/>
      <c r="M35" s="1013"/>
      <c r="N35" s="1015"/>
      <c r="O35" s="1013"/>
      <c r="P35" s="1013"/>
      <c r="Q35" s="1013"/>
      <c r="R35" s="1016"/>
      <c r="S35" s="1016"/>
      <c r="T35" s="1016"/>
      <c r="U35" s="1016"/>
      <c r="V35" s="1013"/>
      <c r="W35" s="1013"/>
      <c r="X35" s="1013"/>
      <c r="Y35" s="1013"/>
      <c r="Z35" s="1013"/>
      <c r="AA35" s="1013"/>
      <c r="AB35" s="1013"/>
      <c r="AC35" s="1013"/>
      <c r="AD35" s="1013"/>
      <c r="AE35" s="1013"/>
      <c r="AF35" s="1013"/>
      <c r="AG35" s="1013"/>
      <c r="AH35" s="1013"/>
      <c r="AI35" s="1013"/>
      <c r="AJ35" s="1013"/>
      <c r="AK35" s="1013"/>
      <c r="AL35" s="1017"/>
      <c r="AM35" s="1018"/>
      <c r="AN35" s="1013"/>
    </row>
    <row r="36" spans="1:40" ht="15.75" x14ac:dyDescent="0.25">
      <c r="A36" s="1013"/>
      <c r="B36" s="1013"/>
      <c r="C36" s="1013"/>
      <c r="D36" s="1013"/>
      <c r="E36" s="1014"/>
      <c r="F36" s="1013"/>
      <c r="G36" s="1014"/>
      <c r="H36" s="1013"/>
      <c r="I36" s="1013"/>
      <c r="J36" s="1013"/>
      <c r="K36" s="1013"/>
      <c r="L36" s="1013"/>
      <c r="M36" s="1013"/>
      <c r="N36" s="1015"/>
      <c r="O36" s="1013"/>
      <c r="P36" s="1013"/>
      <c r="Q36" s="1013"/>
      <c r="R36" s="1016"/>
      <c r="S36" s="1016"/>
      <c r="T36" s="1016"/>
      <c r="U36" s="1016"/>
      <c r="V36" s="1013"/>
      <c r="W36" s="1013"/>
      <c r="X36" s="1013"/>
      <c r="Y36" s="1013"/>
      <c r="Z36" s="1013"/>
      <c r="AA36" s="1013"/>
      <c r="AB36" s="1013"/>
      <c r="AC36" s="1013"/>
      <c r="AD36" s="1013"/>
      <c r="AE36" s="1013"/>
      <c r="AF36" s="1013"/>
      <c r="AG36" s="1013"/>
      <c r="AH36" s="1013"/>
      <c r="AI36" s="1013"/>
      <c r="AJ36" s="1013"/>
      <c r="AK36" s="1013"/>
      <c r="AL36" s="1017"/>
      <c r="AM36" s="1018"/>
      <c r="AN36" s="1013"/>
    </row>
    <row r="37" spans="1:40" ht="16.5" x14ac:dyDescent="0.25">
      <c r="A37" s="1019"/>
      <c r="B37" s="1019"/>
      <c r="C37" s="1019"/>
      <c r="D37" s="1019"/>
      <c r="E37" s="1020"/>
      <c r="F37" s="1019"/>
      <c r="G37" s="1020"/>
      <c r="H37" s="1019"/>
      <c r="I37" s="1019"/>
      <c r="J37" s="1019"/>
      <c r="K37" s="1019"/>
      <c r="L37" s="1019"/>
      <c r="M37" s="1021"/>
      <c r="N37" s="1019"/>
      <c r="O37" s="1019"/>
      <c r="P37" s="1019"/>
      <c r="Q37" s="1022"/>
      <c r="R37" s="1022"/>
      <c r="S37" s="1022"/>
      <c r="T37" s="1019"/>
      <c r="U37" s="1019"/>
      <c r="V37" s="1019"/>
      <c r="W37" s="1019"/>
      <c r="X37" s="1019"/>
      <c r="Y37" s="1019"/>
      <c r="Z37" s="1019"/>
      <c r="AA37" s="1019"/>
      <c r="AB37" s="1019"/>
      <c r="AC37" s="1019"/>
      <c r="AD37" s="1019"/>
      <c r="AE37" s="1019"/>
      <c r="AF37" s="1023"/>
      <c r="AG37" s="1024"/>
      <c r="AH37" s="1025"/>
      <c r="AI37" s="1019"/>
      <c r="AJ37" s="1019"/>
      <c r="AK37" s="1019"/>
      <c r="AL37" s="1019"/>
      <c r="AM37" s="1019"/>
      <c r="AN37" s="1019"/>
    </row>
    <row r="38" spans="1:40" ht="25.5" x14ac:dyDescent="0.35">
      <c r="A38" s="1103" t="s">
        <v>2503</v>
      </c>
      <c r="B38" s="1104"/>
      <c r="C38" s="1104"/>
      <c r="D38" s="1104"/>
      <c r="E38" s="1105"/>
      <c r="F38" s="1104"/>
      <c r="G38" s="1105"/>
      <c r="H38" s="1104"/>
      <c r="I38" s="1104"/>
      <c r="J38" s="1019"/>
      <c r="K38" s="1019"/>
      <c r="L38" s="1019"/>
      <c r="M38" s="1021"/>
      <c r="N38" s="1019"/>
      <c r="O38" s="1019"/>
      <c r="P38" s="1019"/>
      <c r="Q38" s="1022"/>
      <c r="R38" s="1022"/>
      <c r="S38" s="1022"/>
      <c r="T38" s="1019"/>
      <c r="U38" s="1019"/>
      <c r="V38" s="1019"/>
      <c r="W38" s="1019"/>
      <c r="X38" s="1019"/>
      <c r="Y38" s="1019"/>
      <c r="Z38" s="1019"/>
      <c r="AA38" s="1019"/>
      <c r="AB38" s="1019"/>
      <c r="AC38" s="1019"/>
      <c r="AD38" s="1019"/>
      <c r="AE38" s="1019"/>
      <c r="AF38" s="1023"/>
      <c r="AG38" s="1024"/>
      <c r="AH38" s="1025"/>
      <c r="AI38" s="1019"/>
      <c r="AJ38" s="1019"/>
      <c r="AK38" s="1019"/>
      <c r="AL38" s="1019"/>
      <c r="AM38" s="1019"/>
      <c r="AN38" s="1019"/>
    </row>
    <row r="39" spans="1:40" ht="25.5" x14ac:dyDescent="0.35">
      <c r="A39" s="1103" t="s">
        <v>2504</v>
      </c>
      <c r="B39" s="1104"/>
      <c r="C39" s="1104"/>
      <c r="D39" s="1104"/>
      <c r="E39" s="1105"/>
      <c r="F39" s="1104"/>
      <c r="G39" s="1105"/>
      <c r="H39" s="1104"/>
      <c r="I39" s="1104"/>
      <c r="J39" s="1019"/>
      <c r="K39" s="1019"/>
      <c r="L39" s="1019"/>
      <c r="M39" s="1021"/>
      <c r="N39" s="1019"/>
      <c r="O39" s="1019"/>
      <c r="P39" s="1019"/>
      <c r="Q39" s="1022"/>
      <c r="R39" s="1022"/>
      <c r="S39" s="1022"/>
      <c r="T39" s="1019"/>
      <c r="U39" s="1019"/>
      <c r="V39" s="1019"/>
      <c r="W39" s="1019"/>
      <c r="X39" s="1019"/>
      <c r="Y39" s="1019"/>
      <c r="Z39" s="1019"/>
      <c r="AA39" s="1019"/>
      <c r="AB39" s="1019"/>
      <c r="AC39" s="1019"/>
      <c r="AD39" s="1019"/>
      <c r="AE39" s="1019"/>
      <c r="AF39" s="1023"/>
      <c r="AG39" s="1024"/>
      <c r="AH39" s="1025"/>
      <c r="AI39" s="1019"/>
      <c r="AJ39" s="1019"/>
      <c r="AK39" s="1019"/>
      <c r="AL39" s="1019"/>
      <c r="AM39" s="1019"/>
      <c r="AN39" s="1019"/>
    </row>
    <row r="40" spans="1:40" ht="16.5" x14ac:dyDescent="0.25">
      <c r="A40" s="1019"/>
      <c r="B40" s="1019"/>
      <c r="C40" s="1019"/>
      <c r="D40" s="1019"/>
      <c r="E40" s="1020"/>
      <c r="F40" s="1019"/>
      <c r="G40" s="1020"/>
      <c r="H40" s="1019"/>
      <c r="I40" s="1019"/>
      <c r="J40" s="1019"/>
      <c r="K40" s="1019"/>
      <c r="L40" s="1019"/>
      <c r="M40" s="1021"/>
      <c r="N40" s="1019"/>
      <c r="O40" s="1019"/>
      <c r="P40" s="1019"/>
      <c r="Q40" s="1022"/>
      <c r="R40" s="1022"/>
      <c r="S40" s="1022"/>
      <c r="T40" s="1019"/>
      <c r="U40" s="1019"/>
      <c r="V40" s="1019"/>
      <c r="W40" s="1019"/>
      <c r="X40" s="1019"/>
      <c r="Y40" s="1019"/>
      <c r="Z40" s="1019"/>
      <c r="AA40" s="1019"/>
      <c r="AB40" s="1019"/>
      <c r="AC40" s="1019"/>
      <c r="AD40" s="1019"/>
      <c r="AE40" s="1019"/>
      <c r="AF40" s="1023"/>
      <c r="AG40" s="1024"/>
      <c r="AH40" s="1025"/>
      <c r="AI40" s="1019"/>
      <c r="AJ40" s="1019"/>
      <c r="AK40" s="1019"/>
      <c r="AL40" s="1019"/>
      <c r="AM40" s="1019"/>
      <c r="AN40" s="1019"/>
    </row>
    <row r="41" spans="1:40" ht="16.5" x14ac:dyDescent="0.25">
      <c r="A41" s="1019"/>
      <c r="B41" s="1019"/>
      <c r="C41" s="1019"/>
      <c r="D41" s="1019"/>
      <c r="E41" s="1020"/>
      <c r="F41" s="1019"/>
      <c r="G41" s="1020"/>
      <c r="H41" s="1019"/>
      <c r="I41" s="1019"/>
      <c r="J41" s="1019"/>
      <c r="K41" s="1019"/>
      <c r="L41" s="1019"/>
      <c r="M41" s="1021"/>
      <c r="N41" s="1019"/>
      <c r="O41" s="1019"/>
      <c r="P41" s="1019"/>
      <c r="Q41" s="1022"/>
      <c r="R41" s="1022"/>
      <c r="S41" s="1022"/>
      <c r="T41" s="1019"/>
      <c r="U41" s="1019"/>
      <c r="V41" s="1019"/>
      <c r="W41" s="1019"/>
      <c r="X41" s="1019"/>
      <c r="Y41" s="1019"/>
      <c r="Z41" s="1019"/>
      <c r="AA41" s="1019"/>
      <c r="AB41" s="1019"/>
      <c r="AC41" s="1019"/>
      <c r="AD41" s="1019"/>
      <c r="AE41" s="1019"/>
      <c r="AF41" s="1023"/>
      <c r="AG41" s="1024"/>
      <c r="AH41" s="1025"/>
      <c r="AI41" s="1019"/>
      <c r="AJ41" s="1019"/>
      <c r="AK41" s="1019"/>
      <c r="AL41" s="1019"/>
      <c r="AM41" s="1019"/>
      <c r="AN41" s="1019"/>
    </row>
    <row r="42" spans="1:40" ht="18" x14ac:dyDescent="0.25">
      <c r="A42" s="1106" t="s">
        <v>2505</v>
      </c>
      <c r="B42" s="1107"/>
      <c r="C42" s="1107"/>
      <c r="D42" s="1107"/>
      <c r="E42" s="1108"/>
      <c r="F42" s="1107"/>
      <c r="G42" s="1108"/>
      <c r="H42" s="1019"/>
      <c r="I42" s="1019"/>
      <c r="J42" s="1019"/>
      <c r="K42" s="1019"/>
      <c r="L42" s="1019"/>
      <c r="M42" s="1021"/>
      <c r="N42" s="1019"/>
      <c r="O42" s="1019"/>
      <c r="P42" s="1019"/>
      <c r="Q42" s="1022"/>
      <c r="R42" s="1022"/>
      <c r="S42" s="1022"/>
      <c r="T42" s="1019"/>
      <c r="U42" s="1019"/>
      <c r="V42" s="1019"/>
      <c r="W42" s="1019"/>
      <c r="X42" s="1019"/>
      <c r="Y42" s="1019"/>
      <c r="Z42" s="1019"/>
      <c r="AA42" s="1019"/>
      <c r="AB42" s="1019"/>
      <c r="AC42" s="1019"/>
      <c r="AD42" s="1019"/>
      <c r="AE42" s="1019"/>
      <c r="AF42" s="1023"/>
      <c r="AG42" s="1024"/>
      <c r="AH42" s="1025"/>
      <c r="AI42" s="1019"/>
      <c r="AJ42" s="1019"/>
      <c r="AK42" s="1019"/>
      <c r="AL42" s="1019"/>
      <c r="AM42" s="1019"/>
      <c r="AN42" s="1019"/>
    </row>
    <row r="43" spans="1:40" ht="18" x14ac:dyDescent="0.25">
      <c r="A43" s="1106" t="s">
        <v>2506</v>
      </c>
      <c r="B43" s="1107"/>
      <c r="C43" s="1107"/>
      <c r="D43" s="1107"/>
      <c r="E43" s="1108"/>
      <c r="F43" s="1107"/>
      <c r="G43" s="1108"/>
      <c r="H43" s="1019"/>
      <c r="I43" s="1019"/>
      <c r="J43" s="1019"/>
      <c r="K43" s="1019"/>
      <c r="L43" s="1019"/>
      <c r="M43" s="1021"/>
      <c r="N43" s="1019"/>
      <c r="O43" s="1019"/>
      <c r="P43" s="1019"/>
      <c r="Q43" s="1022"/>
      <c r="R43" s="1022"/>
      <c r="S43" s="1022"/>
      <c r="T43" s="1019"/>
      <c r="U43" s="1019"/>
      <c r="V43" s="1019"/>
      <c r="W43" s="1019"/>
      <c r="X43" s="1019"/>
      <c r="Y43" s="1019"/>
      <c r="Z43" s="1019"/>
      <c r="AA43" s="1019"/>
      <c r="AB43" s="1019"/>
      <c r="AC43" s="1019"/>
      <c r="AD43" s="1019"/>
      <c r="AE43" s="1019"/>
      <c r="AF43" s="1023"/>
      <c r="AG43" s="1024"/>
      <c r="AH43" s="1025"/>
      <c r="AI43" s="1019"/>
      <c r="AJ43" s="1019"/>
      <c r="AK43" s="1019"/>
      <c r="AL43" s="1019"/>
      <c r="AM43" s="1019"/>
      <c r="AN43" s="1019"/>
    </row>
  </sheetData>
  <sheetProtection password="A60F" sheet="1" objects="1" scenarios="1"/>
  <mergeCells count="124">
    <mergeCell ref="AC15:AC21"/>
    <mergeCell ref="AD15:AD21"/>
    <mergeCell ref="AE15:AE21"/>
    <mergeCell ref="AF15:AF21"/>
    <mergeCell ref="AG15:AG21"/>
    <mergeCell ref="AH15:AH21"/>
    <mergeCell ref="AI15:AI21"/>
    <mergeCell ref="AJ15:AJ21"/>
    <mergeCell ref="AK15:AK21"/>
    <mergeCell ref="A1:AL4"/>
    <mergeCell ref="K5:AK5"/>
    <mergeCell ref="AL5:AN5"/>
    <mergeCell ref="V6:AK6"/>
    <mergeCell ref="AL6:AL8"/>
    <mergeCell ref="AM6:AM8"/>
    <mergeCell ref="AN6:AN8"/>
    <mergeCell ref="H7:H8"/>
    <mergeCell ref="I7:I8"/>
    <mergeCell ref="V7:W7"/>
    <mergeCell ref="X7:AA7"/>
    <mergeCell ref="T7:T8"/>
    <mergeCell ref="J7:J8"/>
    <mergeCell ref="K7:K8"/>
    <mergeCell ref="L7:L8"/>
    <mergeCell ref="M7:M8"/>
    <mergeCell ref="N7:N8"/>
    <mergeCell ref="O7:O8"/>
    <mergeCell ref="P7:P8"/>
    <mergeCell ref="AB7:AG7"/>
    <mergeCell ref="AH7:AJ7"/>
    <mergeCell ref="S7:S8"/>
    <mergeCell ref="U7:U8"/>
    <mergeCell ref="G7:G8"/>
    <mergeCell ref="A5:J6"/>
    <mergeCell ref="K6:U6"/>
    <mergeCell ref="B9:D9"/>
    <mergeCell ref="D10:AN10"/>
    <mergeCell ref="F11:AN11"/>
    <mergeCell ref="E12:E13"/>
    <mergeCell ref="F12:F13"/>
    <mergeCell ref="G12:G13"/>
    <mergeCell ref="H12:H13"/>
    <mergeCell ref="I12:I13"/>
    <mergeCell ref="J12:J13"/>
    <mergeCell ref="K12:K13"/>
    <mergeCell ref="L12:L13"/>
    <mergeCell ref="M12:M13"/>
    <mergeCell ref="N12:N13"/>
    <mergeCell ref="A7:A8"/>
    <mergeCell ref="D7:D8"/>
    <mergeCell ref="B7:B8"/>
    <mergeCell ref="C7:C8"/>
    <mergeCell ref="E7:E8"/>
    <mergeCell ref="F7:F8"/>
    <mergeCell ref="Q7:Q8"/>
    <mergeCell ref="R7:R8"/>
    <mergeCell ref="AG12:AG13"/>
    <mergeCell ref="AH12:AH13"/>
    <mergeCell ref="Y12:Y13"/>
    <mergeCell ref="Z12:Z13"/>
    <mergeCell ref="AA12:AA13"/>
    <mergeCell ref="AB12:AB13"/>
    <mergeCell ref="AC12:AC13"/>
    <mergeCell ref="V12:V13"/>
    <mergeCell ref="W12:W13"/>
    <mergeCell ref="X12:X13"/>
    <mergeCell ref="O12:O13"/>
    <mergeCell ref="P12:P13"/>
    <mergeCell ref="Q12:Q13"/>
    <mergeCell ref="R12:R13"/>
    <mergeCell ref="AN12:AN13"/>
    <mergeCell ref="F14:J14"/>
    <mergeCell ref="E15:E21"/>
    <mergeCell ref="F15:F21"/>
    <mergeCell ref="G15:G16"/>
    <mergeCell ref="H15:H16"/>
    <mergeCell ref="I15:I16"/>
    <mergeCell ref="J15:J16"/>
    <mergeCell ref="K15:K16"/>
    <mergeCell ref="L15:L21"/>
    <mergeCell ref="M15:M21"/>
    <mergeCell ref="N15:N16"/>
    <mergeCell ref="O15:O16"/>
    <mergeCell ref="P15:P21"/>
    <mergeCell ref="Q15:Q21"/>
    <mergeCell ref="R15:R16"/>
    <mergeCell ref="AI12:AI13"/>
    <mergeCell ref="AJ12:AJ13"/>
    <mergeCell ref="AK12:AK13"/>
    <mergeCell ref="AL12:AL13"/>
    <mergeCell ref="AM12:AM13"/>
    <mergeCell ref="AD12:AD13"/>
    <mergeCell ref="AE12:AE13"/>
    <mergeCell ref="AF12:AF13"/>
    <mergeCell ref="AL15:AL21"/>
    <mergeCell ref="AM15:AM21"/>
    <mergeCell ref="AN15:AN21"/>
    <mergeCell ref="G18:G19"/>
    <mergeCell ref="H18:H19"/>
    <mergeCell ref="I18:I19"/>
    <mergeCell ref="J18:J19"/>
    <mergeCell ref="K18:K19"/>
    <mergeCell ref="N18:N19"/>
    <mergeCell ref="O18:O19"/>
    <mergeCell ref="R18:R19"/>
    <mergeCell ref="G20:G21"/>
    <mergeCell ref="H20:H21"/>
    <mergeCell ref="X15:X21"/>
    <mergeCell ref="Y15:Y21"/>
    <mergeCell ref="Z15:Z21"/>
    <mergeCell ref="AA15:AA21"/>
    <mergeCell ref="AB15:AB21"/>
    <mergeCell ref="S15:S16"/>
    <mergeCell ref="T15:T16"/>
    <mergeCell ref="U15:U16"/>
    <mergeCell ref="V15:V21"/>
    <mergeCell ref="W15:W21"/>
    <mergeCell ref="R20:R21"/>
    <mergeCell ref="A22:N22"/>
    <mergeCell ref="I20:I21"/>
    <mergeCell ref="J20:J21"/>
    <mergeCell ref="K20:K21"/>
    <mergeCell ref="N20:N21"/>
    <mergeCell ref="O20:O2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Q29"/>
  <sheetViews>
    <sheetView showGridLines="0" zoomScale="80" zoomScaleNormal="80" workbookViewId="0">
      <selection activeCell="A15" sqref="A15"/>
    </sheetView>
  </sheetViews>
  <sheetFormatPr baseColWidth="10" defaultColWidth="11.42578125" defaultRowHeight="27" customHeight="1" x14ac:dyDescent="0.2"/>
  <cols>
    <col min="1" max="1" width="12.7109375" style="389" customWidth="1"/>
    <col min="2" max="10" width="12.7109375" style="362" customWidth="1"/>
    <col min="11" max="11" width="25" style="390" customWidth="1"/>
    <col min="12" max="12" width="20.28515625" style="369" customWidth="1"/>
    <col min="13" max="13" width="21.140625" style="369" customWidth="1"/>
    <col min="14" max="14" width="22.140625" style="369" customWidth="1"/>
    <col min="15" max="15" width="19.7109375" style="391" customWidth="1"/>
    <col min="16" max="16" width="19.42578125" style="390" customWidth="1"/>
    <col min="17" max="17" width="16.5703125" style="392" customWidth="1"/>
    <col min="18" max="18" width="24.85546875" style="396" bestFit="1" customWidth="1"/>
    <col min="19" max="19" width="29" style="390" customWidth="1"/>
    <col min="20" max="20" width="31.7109375" style="390" customWidth="1"/>
    <col min="21" max="21" width="25.85546875" style="390" customWidth="1"/>
    <col min="22" max="22" width="24.85546875" style="397" bestFit="1" customWidth="1"/>
    <col min="23" max="23" width="11.7109375" style="393" customWidth="1"/>
    <col min="24" max="24" width="18" style="394" customWidth="1"/>
    <col min="25" max="25" width="8.7109375" style="362" customWidth="1"/>
    <col min="26" max="26" width="8" style="362" customWidth="1"/>
    <col min="27" max="27" width="10.5703125" style="362" customWidth="1"/>
    <col min="28" max="28" width="7.28515625" style="362" customWidth="1"/>
    <col min="29" max="29" width="8.42578125" style="362" customWidth="1"/>
    <col min="30" max="30" width="9.5703125" style="362" customWidth="1"/>
    <col min="31" max="31" width="6.28515625" style="362" customWidth="1"/>
    <col min="32" max="32" width="5.85546875" style="362" customWidth="1"/>
    <col min="33" max="34" width="4.42578125" style="362" customWidth="1"/>
    <col min="35" max="35" width="5" style="362" customWidth="1"/>
    <col min="36" max="36" width="5.85546875" style="362" customWidth="1"/>
    <col min="37" max="37" width="6.140625" style="362" customWidth="1"/>
    <col min="38" max="38" width="10.140625" style="362" customWidth="1"/>
    <col min="39" max="39" width="4.85546875" style="362" customWidth="1"/>
    <col min="40" max="40" width="14.28515625" style="362" customWidth="1"/>
    <col min="41" max="41" width="16" style="690" customWidth="1"/>
    <col min="42" max="42" width="18.5703125" style="395" customWidth="1"/>
    <col min="43" max="43" width="20.85546875" style="691" customWidth="1"/>
    <col min="44" max="16384" width="11.42578125" style="362"/>
  </cols>
  <sheetData>
    <row r="1" spans="1:43" ht="18.75" customHeight="1" x14ac:dyDescent="0.2">
      <c r="A1" s="2923" t="s">
        <v>2570</v>
      </c>
      <c r="B1" s="3641"/>
      <c r="C1" s="3641"/>
      <c r="D1" s="3641"/>
      <c r="E1" s="3641"/>
      <c r="F1" s="3641"/>
      <c r="G1" s="3641"/>
      <c r="H1" s="3641"/>
      <c r="I1" s="3641"/>
      <c r="J1" s="3641"/>
      <c r="K1" s="3641"/>
      <c r="L1" s="3641"/>
      <c r="M1" s="3641"/>
      <c r="N1" s="3641"/>
      <c r="O1" s="3641"/>
      <c r="P1" s="3641"/>
      <c r="Q1" s="3641"/>
      <c r="R1" s="3641"/>
      <c r="S1" s="3641"/>
      <c r="T1" s="3641"/>
      <c r="U1" s="3641"/>
      <c r="V1" s="3641"/>
      <c r="W1" s="3641"/>
      <c r="X1" s="3641"/>
      <c r="Y1" s="3641"/>
      <c r="Z1" s="3641"/>
      <c r="AA1" s="3641"/>
      <c r="AB1" s="3641"/>
      <c r="AC1" s="3641"/>
      <c r="AD1" s="3641"/>
      <c r="AE1" s="3641"/>
      <c r="AF1" s="3641"/>
      <c r="AG1" s="3641"/>
      <c r="AH1" s="3641"/>
      <c r="AI1" s="3641"/>
      <c r="AJ1" s="3641"/>
      <c r="AK1" s="3641"/>
      <c r="AL1" s="3641"/>
      <c r="AM1" s="3641"/>
      <c r="AN1" s="3641"/>
      <c r="AO1" s="3642"/>
      <c r="AP1" s="616" t="s">
        <v>0</v>
      </c>
      <c r="AQ1" s="616" t="s">
        <v>118</v>
      </c>
    </row>
    <row r="2" spans="1:43" ht="18.75" customHeight="1" x14ac:dyDescent="0.2">
      <c r="A2" s="3641"/>
      <c r="B2" s="3641"/>
      <c r="C2" s="3641"/>
      <c r="D2" s="3641"/>
      <c r="E2" s="3641"/>
      <c r="F2" s="3641"/>
      <c r="G2" s="3641"/>
      <c r="H2" s="3641"/>
      <c r="I2" s="3641"/>
      <c r="J2" s="3641"/>
      <c r="K2" s="3641"/>
      <c r="L2" s="3641"/>
      <c r="M2" s="3641"/>
      <c r="N2" s="3641"/>
      <c r="O2" s="3641"/>
      <c r="P2" s="3641"/>
      <c r="Q2" s="3641"/>
      <c r="R2" s="3641"/>
      <c r="S2" s="3641"/>
      <c r="T2" s="3641"/>
      <c r="U2" s="3641"/>
      <c r="V2" s="3641"/>
      <c r="W2" s="3641"/>
      <c r="X2" s="3641"/>
      <c r="Y2" s="3641"/>
      <c r="Z2" s="3641"/>
      <c r="AA2" s="3641"/>
      <c r="AB2" s="3641"/>
      <c r="AC2" s="3641"/>
      <c r="AD2" s="3641"/>
      <c r="AE2" s="3641"/>
      <c r="AF2" s="3641"/>
      <c r="AG2" s="3641"/>
      <c r="AH2" s="3641"/>
      <c r="AI2" s="3641"/>
      <c r="AJ2" s="3641"/>
      <c r="AK2" s="3641"/>
      <c r="AL2" s="3641"/>
      <c r="AM2" s="3641"/>
      <c r="AN2" s="3641"/>
      <c r="AO2" s="3642"/>
      <c r="AP2" s="619" t="s">
        <v>2</v>
      </c>
      <c r="AQ2" s="616" t="s">
        <v>119</v>
      </c>
    </row>
    <row r="3" spans="1:43" ht="18.75" customHeight="1" x14ac:dyDescent="0.2">
      <c r="A3" s="3641"/>
      <c r="B3" s="3641"/>
      <c r="C3" s="3641"/>
      <c r="D3" s="3641"/>
      <c r="E3" s="3641"/>
      <c r="F3" s="3641"/>
      <c r="G3" s="3641"/>
      <c r="H3" s="3641"/>
      <c r="I3" s="3641"/>
      <c r="J3" s="3641"/>
      <c r="K3" s="3641"/>
      <c r="L3" s="3641"/>
      <c r="M3" s="3641"/>
      <c r="N3" s="3641"/>
      <c r="O3" s="3641"/>
      <c r="P3" s="3641"/>
      <c r="Q3" s="3641"/>
      <c r="R3" s="3641"/>
      <c r="S3" s="3641"/>
      <c r="T3" s="3641"/>
      <c r="U3" s="3641"/>
      <c r="V3" s="3641"/>
      <c r="W3" s="3641"/>
      <c r="X3" s="3641"/>
      <c r="Y3" s="3641"/>
      <c r="Z3" s="3641"/>
      <c r="AA3" s="3641"/>
      <c r="AB3" s="3641"/>
      <c r="AC3" s="3641"/>
      <c r="AD3" s="3641"/>
      <c r="AE3" s="3641"/>
      <c r="AF3" s="3641"/>
      <c r="AG3" s="3641"/>
      <c r="AH3" s="3641"/>
      <c r="AI3" s="3641"/>
      <c r="AJ3" s="3641"/>
      <c r="AK3" s="3641"/>
      <c r="AL3" s="3641"/>
      <c r="AM3" s="3641"/>
      <c r="AN3" s="3641"/>
      <c r="AO3" s="3642"/>
      <c r="AP3" s="616" t="s">
        <v>4</v>
      </c>
      <c r="AQ3" s="620" t="s">
        <v>5</v>
      </c>
    </row>
    <row r="4" spans="1:43" ht="18.75" customHeight="1" x14ac:dyDescent="0.2">
      <c r="A4" s="3643"/>
      <c r="B4" s="3643"/>
      <c r="C4" s="3643"/>
      <c r="D4" s="3643"/>
      <c r="E4" s="3643"/>
      <c r="F4" s="3643"/>
      <c r="G4" s="3643"/>
      <c r="H4" s="3643"/>
      <c r="I4" s="3643"/>
      <c r="J4" s="3643"/>
      <c r="K4" s="3643"/>
      <c r="L4" s="3643"/>
      <c r="M4" s="3643"/>
      <c r="N4" s="3643"/>
      <c r="O4" s="3643"/>
      <c r="P4" s="3643"/>
      <c r="Q4" s="3643"/>
      <c r="R4" s="3643"/>
      <c r="S4" s="3643"/>
      <c r="T4" s="3643"/>
      <c r="U4" s="3643"/>
      <c r="V4" s="3643"/>
      <c r="W4" s="3643"/>
      <c r="X4" s="3643"/>
      <c r="Y4" s="3643"/>
      <c r="Z4" s="3643"/>
      <c r="AA4" s="3643"/>
      <c r="AB4" s="3643"/>
      <c r="AC4" s="3643"/>
      <c r="AD4" s="3643"/>
      <c r="AE4" s="3643"/>
      <c r="AF4" s="3643"/>
      <c r="AG4" s="3643"/>
      <c r="AH4" s="3643"/>
      <c r="AI4" s="3643"/>
      <c r="AJ4" s="3643"/>
      <c r="AK4" s="3643"/>
      <c r="AL4" s="3643"/>
      <c r="AM4" s="3643"/>
      <c r="AN4" s="3643"/>
      <c r="AO4" s="3644"/>
      <c r="AP4" s="616" t="s">
        <v>6</v>
      </c>
      <c r="AQ4" s="643" t="s">
        <v>7</v>
      </c>
    </row>
    <row r="5" spans="1:43" ht="18.75" customHeight="1" x14ac:dyDescent="0.2">
      <c r="A5" s="3086" t="s">
        <v>8</v>
      </c>
      <c r="B5" s="3086"/>
      <c r="C5" s="3086"/>
      <c r="D5" s="3086"/>
      <c r="E5" s="3086"/>
      <c r="F5" s="3086"/>
      <c r="G5" s="3086"/>
      <c r="H5" s="3086"/>
      <c r="I5" s="3086"/>
      <c r="J5" s="3086"/>
      <c r="K5" s="3086"/>
      <c r="L5" s="3086"/>
      <c r="M5" s="3086"/>
      <c r="N5" s="3088" t="s">
        <v>9</v>
      </c>
      <c r="O5" s="3088"/>
      <c r="P5" s="3088"/>
      <c r="Q5" s="3088"/>
      <c r="R5" s="3088"/>
      <c r="S5" s="3088"/>
      <c r="T5" s="3088"/>
      <c r="U5" s="3088"/>
      <c r="V5" s="3088"/>
      <c r="W5" s="3088"/>
      <c r="X5" s="3088"/>
      <c r="Y5" s="3088"/>
      <c r="Z5" s="3088"/>
      <c r="AA5" s="3088"/>
      <c r="AB5" s="3088"/>
      <c r="AC5" s="3088"/>
      <c r="AD5" s="3088"/>
      <c r="AE5" s="3088"/>
      <c r="AF5" s="3088"/>
      <c r="AG5" s="3088"/>
      <c r="AH5" s="3088"/>
      <c r="AI5" s="3088"/>
      <c r="AJ5" s="3088"/>
      <c r="AK5" s="3088"/>
      <c r="AL5" s="3088"/>
      <c r="AM5" s="3088"/>
      <c r="AN5" s="3088"/>
      <c r="AO5" s="3088"/>
      <c r="AP5" s="3088"/>
      <c r="AQ5" s="3088"/>
    </row>
    <row r="6" spans="1:43" ht="18.75" customHeight="1" x14ac:dyDescent="0.2">
      <c r="A6" s="3070"/>
      <c r="B6" s="3070"/>
      <c r="C6" s="3070"/>
      <c r="D6" s="3070"/>
      <c r="E6" s="3070"/>
      <c r="F6" s="3070"/>
      <c r="G6" s="3070"/>
      <c r="H6" s="3070"/>
      <c r="I6" s="3070"/>
      <c r="J6" s="3070"/>
      <c r="K6" s="3070"/>
      <c r="L6" s="3070"/>
      <c r="M6" s="3070"/>
      <c r="N6" s="644"/>
      <c r="O6" s="645"/>
      <c r="P6" s="645"/>
      <c r="Q6" s="645"/>
      <c r="R6" s="645"/>
      <c r="S6" s="645"/>
      <c r="T6" s="645"/>
      <c r="U6" s="645"/>
      <c r="V6" s="645"/>
      <c r="W6" s="645"/>
      <c r="X6" s="645"/>
      <c r="Y6" s="3069" t="s">
        <v>10</v>
      </c>
      <c r="Z6" s="3070"/>
      <c r="AA6" s="3070"/>
      <c r="AB6" s="3070"/>
      <c r="AC6" s="3070"/>
      <c r="AD6" s="3070"/>
      <c r="AE6" s="3070"/>
      <c r="AF6" s="3070"/>
      <c r="AG6" s="3070"/>
      <c r="AH6" s="3070"/>
      <c r="AI6" s="3070"/>
      <c r="AJ6" s="3070"/>
      <c r="AK6" s="3070"/>
      <c r="AL6" s="3070"/>
      <c r="AM6" s="3071"/>
      <c r="AN6" s="1764"/>
      <c r="AO6" s="645"/>
      <c r="AP6" s="645"/>
      <c r="AQ6" s="646"/>
    </row>
    <row r="7" spans="1:43" ht="18.75" customHeight="1" x14ac:dyDescent="0.2">
      <c r="A7" s="3621" t="s">
        <v>11</v>
      </c>
      <c r="B7" s="3092" t="s">
        <v>12</v>
      </c>
      <c r="C7" s="3093"/>
      <c r="D7" s="3093" t="s">
        <v>11</v>
      </c>
      <c r="E7" s="3092" t="s">
        <v>13</v>
      </c>
      <c r="F7" s="3093"/>
      <c r="G7" s="3093" t="s">
        <v>11</v>
      </c>
      <c r="H7" s="3092" t="s">
        <v>14</v>
      </c>
      <c r="I7" s="3093"/>
      <c r="J7" s="3093" t="s">
        <v>11</v>
      </c>
      <c r="K7" s="3627" t="s">
        <v>15</v>
      </c>
      <c r="L7" s="3062" t="s">
        <v>16</v>
      </c>
      <c r="M7" s="3062" t="s">
        <v>17</v>
      </c>
      <c r="N7" s="3062" t="s">
        <v>18</v>
      </c>
      <c r="O7" s="3062" t="s">
        <v>19</v>
      </c>
      <c r="P7" s="3062" t="s">
        <v>9</v>
      </c>
      <c r="Q7" s="3096" t="s">
        <v>20</v>
      </c>
      <c r="R7" s="3098" t="s">
        <v>21</v>
      </c>
      <c r="S7" s="3627" t="s">
        <v>22</v>
      </c>
      <c r="T7" s="3092" t="s">
        <v>23</v>
      </c>
      <c r="U7" s="3062" t="s">
        <v>24</v>
      </c>
      <c r="V7" s="3619" t="s">
        <v>21</v>
      </c>
      <c r="W7" s="1857"/>
      <c r="X7" s="3062" t="s">
        <v>25</v>
      </c>
      <c r="Y7" s="3056" t="s">
        <v>26</v>
      </c>
      <c r="Z7" s="3056"/>
      <c r="AA7" s="3072" t="s">
        <v>27</v>
      </c>
      <c r="AB7" s="3072"/>
      <c r="AC7" s="3072"/>
      <c r="AD7" s="3072"/>
      <c r="AE7" s="3075" t="s">
        <v>28</v>
      </c>
      <c r="AF7" s="3076"/>
      <c r="AG7" s="3076"/>
      <c r="AH7" s="3076"/>
      <c r="AI7" s="3076"/>
      <c r="AJ7" s="3077"/>
      <c r="AK7" s="3072" t="s">
        <v>29</v>
      </c>
      <c r="AL7" s="3072"/>
      <c r="AM7" s="3072"/>
      <c r="AN7" s="1771" t="s">
        <v>30</v>
      </c>
      <c r="AO7" s="3078" t="s">
        <v>31</v>
      </c>
      <c r="AP7" s="3078" t="s">
        <v>32</v>
      </c>
      <c r="AQ7" s="3648" t="s">
        <v>33</v>
      </c>
    </row>
    <row r="8" spans="1:43" ht="91.5" customHeight="1" x14ac:dyDescent="0.2">
      <c r="A8" s="3622"/>
      <c r="B8" s="3094"/>
      <c r="C8" s="3095"/>
      <c r="D8" s="3095"/>
      <c r="E8" s="3094"/>
      <c r="F8" s="3095"/>
      <c r="G8" s="3095"/>
      <c r="H8" s="3094"/>
      <c r="I8" s="3095"/>
      <c r="J8" s="3095"/>
      <c r="K8" s="3628"/>
      <c r="L8" s="3063"/>
      <c r="M8" s="3063"/>
      <c r="N8" s="3063"/>
      <c r="O8" s="3063"/>
      <c r="P8" s="3063"/>
      <c r="Q8" s="3097"/>
      <c r="R8" s="3099"/>
      <c r="S8" s="3628"/>
      <c r="T8" s="3094"/>
      <c r="U8" s="3063"/>
      <c r="V8" s="3620"/>
      <c r="W8" s="647" t="s">
        <v>11</v>
      </c>
      <c r="X8" s="3063"/>
      <c r="Y8" s="648" t="s">
        <v>34</v>
      </c>
      <c r="Z8" s="649" t="s">
        <v>35</v>
      </c>
      <c r="AA8" s="650" t="s">
        <v>36</v>
      </c>
      <c r="AB8" s="650" t="s">
        <v>121</v>
      </c>
      <c r="AC8" s="650" t="s">
        <v>164</v>
      </c>
      <c r="AD8" s="650" t="s">
        <v>123</v>
      </c>
      <c r="AE8" s="650" t="s">
        <v>40</v>
      </c>
      <c r="AF8" s="650" t="s">
        <v>41</v>
      </c>
      <c r="AG8" s="650" t="s">
        <v>42</v>
      </c>
      <c r="AH8" s="650" t="s">
        <v>43</v>
      </c>
      <c r="AI8" s="650" t="s">
        <v>44</v>
      </c>
      <c r="AJ8" s="650" t="s">
        <v>45</v>
      </c>
      <c r="AK8" s="650" t="s">
        <v>46</v>
      </c>
      <c r="AL8" s="650" t="s">
        <v>47</v>
      </c>
      <c r="AM8" s="650" t="s">
        <v>48</v>
      </c>
      <c r="AN8" s="650" t="s">
        <v>30</v>
      </c>
      <c r="AO8" s="3079"/>
      <c r="AP8" s="3079"/>
      <c r="AQ8" s="3649"/>
    </row>
    <row r="9" spans="1:43" s="1" customFormat="1" ht="15.75" x14ac:dyDescent="0.2">
      <c r="A9" s="7">
        <v>4</v>
      </c>
      <c r="B9" s="8" t="s">
        <v>2507</v>
      </c>
      <c r="C9" s="9"/>
      <c r="D9" s="9"/>
      <c r="E9" s="9"/>
      <c r="F9" s="9"/>
      <c r="G9" s="9"/>
      <c r="H9" s="9"/>
      <c r="I9" s="9"/>
      <c r="J9" s="9"/>
      <c r="K9" s="10"/>
      <c r="L9" s="9"/>
      <c r="M9" s="9"/>
      <c r="N9" s="9"/>
      <c r="O9" s="9"/>
      <c r="P9" s="11"/>
      <c r="Q9" s="10"/>
      <c r="R9" s="12"/>
      <c r="S9" s="13"/>
      <c r="T9" s="10"/>
      <c r="U9" s="10"/>
      <c r="V9" s="10"/>
      <c r="W9" s="14"/>
      <c r="X9" s="14"/>
      <c r="Y9" s="14"/>
      <c r="Z9" s="15"/>
      <c r="AA9" s="11"/>
      <c r="AB9" s="9"/>
      <c r="AC9" s="9"/>
      <c r="AD9" s="9"/>
      <c r="AE9" s="9"/>
      <c r="AF9" s="9"/>
      <c r="AG9" s="9"/>
      <c r="AH9" s="9"/>
      <c r="AI9" s="9"/>
      <c r="AJ9" s="9"/>
      <c r="AK9" s="9"/>
      <c r="AL9" s="9"/>
      <c r="AM9" s="9"/>
      <c r="AN9" s="9"/>
      <c r="AO9" s="9"/>
      <c r="AP9" s="9"/>
      <c r="AQ9" s="9"/>
    </row>
    <row r="10" spans="1:43" s="369" customFormat="1" ht="15" x14ac:dyDescent="0.2">
      <c r="A10" s="1029"/>
      <c r="B10" s="1820"/>
      <c r="C10" s="1820"/>
      <c r="D10" s="660">
        <v>23</v>
      </c>
      <c r="E10" s="857" t="s">
        <v>2508</v>
      </c>
      <c r="F10" s="857"/>
      <c r="G10" s="857"/>
      <c r="H10" s="857"/>
      <c r="I10" s="857"/>
      <c r="J10" s="857"/>
      <c r="K10" s="848"/>
      <c r="L10" s="857"/>
      <c r="M10" s="857"/>
      <c r="N10" s="857"/>
      <c r="O10" s="849"/>
      <c r="P10" s="848"/>
      <c r="Q10" s="1030"/>
      <c r="R10" s="1031"/>
      <c r="S10" s="848"/>
      <c r="T10" s="848"/>
      <c r="U10" s="848"/>
      <c r="V10" s="1032"/>
      <c r="W10" s="892"/>
      <c r="X10" s="849"/>
      <c r="Y10" s="857"/>
      <c r="Z10" s="857"/>
      <c r="AA10" s="857"/>
      <c r="AB10" s="857"/>
      <c r="AC10" s="857"/>
      <c r="AD10" s="857"/>
      <c r="AE10" s="857"/>
      <c r="AF10" s="857"/>
      <c r="AG10" s="857"/>
      <c r="AH10" s="857"/>
      <c r="AI10" s="857"/>
      <c r="AJ10" s="857"/>
      <c r="AK10" s="857"/>
      <c r="AL10" s="857"/>
      <c r="AM10" s="857"/>
      <c r="AN10" s="857"/>
      <c r="AO10" s="1033"/>
      <c r="AP10" s="1033"/>
      <c r="AQ10" s="1034"/>
    </row>
    <row r="11" spans="1:43" s="369" customFormat="1" ht="15" x14ac:dyDescent="0.2">
      <c r="A11" s="1035"/>
      <c r="B11" s="1821"/>
      <c r="C11" s="1821"/>
      <c r="D11" s="903"/>
      <c r="E11" s="1821"/>
      <c r="F11" s="1821"/>
      <c r="G11" s="665">
        <v>77</v>
      </c>
      <c r="H11" s="717" t="s">
        <v>2509</v>
      </c>
      <c r="I11" s="719"/>
      <c r="J11" s="719"/>
      <c r="K11" s="719"/>
      <c r="L11" s="717"/>
      <c r="M11" s="717"/>
      <c r="N11" s="717"/>
      <c r="O11" s="718"/>
      <c r="P11" s="719"/>
      <c r="Q11" s="1036"/>
      <c r="R11" s="721"/>
      <c r="S11" s="719"/>
      <c r="T11" s="719"/>
      <c r="U11" s="719"/>
      <c r="V11" s="722"/>
      <c r="W11" s="723"/>
      <c r="X11" s="718"/>
      <c r="Y11" s="717"/>
      <c r="Z11" s="717"/>
      <c r="AA11" s="717"/>
      <c r="AB11" s="717"/>
      <c r="AC11" s="717"/>
      <c r="AD11" s="717"/>
      <c r="AE11" s="717"/>
      <c r="AF11" s="717"/>
      <c r="AG11" s="717"/>
      <c r="AH11" s="717"/>
      <c r="AI11" s="717"/>
      <c r="AJ11" s="717"/>
      <c r="AK11" s="717"/>
      <c r="AL11" s="717"/>
      <c r="AM11" s="717"/>
      <c r="AN11" s="717"/>
      <c r="AO11" s="724"/>
      <c r="AP11" s="724"/>
      <c r="AQ11" s="725"/>
    </row>
    <row r="12" spans="1:43" s="369" customFormat="1" ht="50.25" customHeight="1" x14ac:dyDescent="0.25">
      <c r="A12" s="1026"/>
      <c r="B12" s="1856"/>
      <c r="C12" s="1856"/>
      <c r="D12" s="1823"/>
      <c r="E12" s="1856"/>
      <c r="F12" s="1856"/>
      <c r="G12" s="1822"/>
      <c r="H12" s="1856"/>
      <c r="I12" s="1856"/>
      <c r="J12" s="3049">
        <v>223</v>
      </c>
      <c r="K12" s="2767" t="s">
        <v>2510</v>
      </c>
      <c r="L12" s="3052" t="s">
        <v>2511</v>
      </c>
      <c r="M12" s="2795">
        <v>1</v>
      </c>
      <c r="N12" s="2795">
        <v>2301010423</v>
      </c>
      <c r="O12" s="3059" t="s">
        <v>2512</v>
      </c>
      <c r="P12" s="2767" t="s">
        <v>2513</v>
      </c>
      <c r="Q12" s="4531">
        <f>SUM(V12:V14)/R$12</f>
        <v>0.94892915980230641</v>
      </c>
      <c r="R12" s="4537">
        <f>SUM(V12:V19)</f>
        <v>607000000</v>
      </c>
      <c r="S12" s="3052" t="s">
        <v>2514</v>
      </c>
      <c r="T12" s="3479" t="s">
        <v>2515</v>
      </c>
      <c r="U12" s="4534" t="s">
        <v>2516</v>
      </c>
      <c r="V12" s="1914">
        <v>290000000</v>
      </c>
      <c r="W12" s="1825">
        <v>20</v>
      </c>
      <c r="X12" s="726" t="s">
        <v>2517</v>
      </c>
      <c r="Y12" s="3467">
        <v>57041</v>
      </c>
      <c r="Z12" s="3467">
        <v>57731</v>
      </c>
      <c r="AA12" s="3467">
        <v>27907</v>
      </c>
      <c r="AB12" s="3467">
        <v>8963</v>
      </c>
      <c r="AC12" s="3467">
        <v>60564</v>
      </c>
      <c r="AD12" s="3467">
        <v>17338</v>
      </c>
      <c r="AE12" s="3467"/>
      <c r="AF12" s="3467"/>
      <c r="AG12" s="3467"/>
      <c r="AH12" s="1772"/>
      <c r="AI12" s="1772"/>
      <c r="AJ12" s="1772"/>
      <c r="AK12" s="3467"/>
      <c r="AL12" s="3467">
        <v>2944</v>
      </c>
      <c r="AM12" s="3467"/>
      <c r="AN12" s="3618">
        <f>Y12+Z12</f>
        <v>114772</v>
      </c>
      <c r="AO12" s="3598">
        <v>43466</v>
      </c>
      <c r="AP12" s="3598">
        <v>43830</v>
      </c>
      <c r="AQ12" s="4538" t="s">
        <v>2518</v>
      </c>
    </row>
    <row r="13" spans="1:43" s="369" customFormat="1" ht="50.25" customHeight="1" x14ac:dyDescent="0.25">
      <c r="A13" s="1026"/>
      <c r="B13" s="1856"/>
      <c r="C13" s="1856"/>
      <c r="D13" s="1823"/>
      <c r="E13" s="1856"/>
      <c r="F13" s="1856"/>
      <c r="G13" s="1823"/>
      <c r="H13" s="1856"/>
      <c r="I13" s="1856"/>
      <c r="J13" s="3049"/>
      <c r="K13" s="2767"/>
      <c r="L13" s="3052"/>
      <c r="M13" s="2914"/>
      <c r="N13" s="2914"/>
      <c r="O13" s="3060"/>
      <c r="P13" s="2767"/>
      <c r="Q13" s="4532"/>
      <c r="R13" s="4537"/>
      <c r="S13" s="3052"/>
      <c r="T13" s="3480"/>
      <c r="U13" s="4535"/>
      <c r="V13" s="1914">
        <v>100000000</v>
      </c>
      <c r="W13" s="1825">
        <v>23</v>
      </c>
      <c r="X13" s="726" t="s">
        <v>2519</v>
      </c>
      <c r="Y13" s="4529"/>
      <c r="Z13" s="4529"/>
      <c r="AA13" s="4529"/>
      <c r="AB13" s="4529"/>
      <c r="AC13" s="4529"/>
      <c r="AD13" s="4529"/>
      <c r="AE13" s="4529"/>
      <c r="AF13" s="4529"/>
      <c r="AG13" s="4529"/>
      <c r="AH13" s="1773"/>
      <c r="AI13" s="1773"/>
      <c r="AJ13" s="1773"/>
      <c r="AK13" s="4529"/>
      <c r="AL13" s="4529"/>
      <c r="AM13" s="4529"/>
      <c r="AN13" s="4541"/>
      <c r="AO13" s="3599"/>
      <c r="AP13" s="3599"/>
      <c r="AQ13" s="4539"/>
    </row>
    <row r="14" spans="1:43" s="369" customFormat="1" ht="50.25" customHeight="1" x14ac:dyDescent="0.25">
      <c r="A14" s="1026"/>
      <c r="B14" s="4458"/>
      <c r="C14" s="4458"/>
      <c r="D14" s="1823"/>
      <c r="E14" s="4458"/>
      <c r="F14" s="4458"/>
      <c r="G14" s="1823"/>
      <c r="H14" s="4458"/>
      <c r="I14" s="4458"/>
      <c r="J14" s="3049"/>
      <c r="K14" s="2767"/>
      <c r="L14" s="3052"/>
      <c r="M14" s="2914"/>
      <c r="N14" s="2914"/>
      <c r="O14" s="3060"/>
      <c r="P14" s="2767"/>
      <c r="Q14" s="4533"/>
      <c r="R14" s="4537"/>
      <c r="S14" s="3052"/>
      <c r="T14" s="3480"/>
      <c r="U14" s="4536"/>
      <c r="V14" s="1914">
        <v>186000000</v>
      </c>
      <c r="W14" s="1825">
        <v>88</v>
      </c>
      <c r="X14" s="726" t="s">
        <v>2520</v>
      </c>
      <c r="Y14" s="4529"/>
      <c r="Z14" s="4529"/>
      <c r="AA14" s="4529"/>
      <c r="AB14" s="4529"/>
      <c r="AC14" s="4529"/>
      <c r="AD14" s="4529"/>
      <c r="AE14" s="4529"/>
      <c r="AF14" s="4529"/>
      <c r="AG14" s="4529"/>
      <c r="AH14" s="1773"/>
      <c r="AI14" s="1773"/>
      <c r="AJ14" s="1773"/>
      <c r="AK14" s="4529"/>
      <c r="AL14" s="4529"/>
      <c r="AM14" s="4529"/>
      <c r="AN14" s="4541"/>
      <c r="AO14" s="3599"/>
      <c r="AP14" s="3599"/>
      <c r="AQ14" s="4539"/>
    </row>
    <row r="15" spans="1:43" s="369" customFormat="1" ht="40.5" customHeight="1" x14ac:dyDescent="0.25">
      <c r="A15" s="1026"/>
      <c r="B15" s="1856"/>
      <c r="C15" s="1856"/>
      <c r="D15" s="1823"/>
      <c r="E15" s="1856"/>
      <c r="F15" s="1856"/>
      <c r="G15" s="1823"/>
      <c r="H15" s="1856"/>
      <c r="I15" s="1856"/>
      <c r="J15" s="3049">
        <v>224</v>
      </c>
      <c r="K15" s="2767" t="s">
        <v>2521</v>
      </c>
      <c r="L15" s="3052" t="s">
        <v>2522</v>
      </c>
      <c r="M15" s="2914">
        <v>1</v>
      </c>
      <c r="N15" s="2914"/>
      <c r="O15" s="3060"/>
      <c r="P15" s="2767"/>
      <c r="Q15" s="3868">
        <f>SUM(V15:V17)/R12</f>
        <v>3.459637561779242E-2</v>
      </c>
      <c r="R15" s="4537"/>
      <c r="S15" s="3052"/>
      <c r="T15" s="3480"/>
      <c r="U15" s="4534" t="s">
        <v>2523</v>
      </c>
      <c r="V15" s="1914">
        <v>800000</v>
      </c>
      <c r="W15" s="1825">
        <v>20</v>
      </c>
      <c r="X15" s="726" t="s">
        <v>2517</v>
      </c>
      <c r="Y15" s="4529"/>
      <c r="Z15" s="4529"/>
      <c r="AA15" s="4529"/>
      <c r="AB15" s="4529"/>
      <c r="AC15" s="4529"/>
      <c r="AD15" s="4529"/>
      <c r="AE15" s="4529"/>
      <c r="AF15" s="4529"/>
      <c r="AG15" s="4529"/>
      <c r="AH15" s="1773"/>
      <c r="AI15" s="1773"/>
      <c r="AJ15" s="1773"/>
      <c r="AK15" s="4529"/>
      <c r="AL15" s="4529"/>
      <c r="AM15" s="4529"/>
      <c r="AN15" s="4541"/>
      <c r="AO15" s="3599"/>
      <c r="AP15" s="3599"/>
      <c r="AQ15" s="4539"/>
    </row>
    <row r="16" spans="1:43" s="369" customFormat="1" ht="40.5" customHeight="1" x14ac:dyDescent="0.25">
      <c r="A16" s="1026"/>
      <c r="B16" s="1856"/>
      <c r="C16" s="1856"/>
      <c r="D16" s="1823"/>
      <c r="E16" s="1856"/>
      <c r="F16" s="1856"/>
      <c r="G16" s="1823"/>
      <c r="H16" s="1856"/>
      <c r="I16" s="1856"/>
      <c r="J16" s="3049"/>
      <c r="K16" s="2767"/>
      <c r="L16" s="3052"/>
      <c r="M16" s="2914"/>
      <c r="N16" s="2914"/>
      <c r="O16" s="3060"/>
      <c r="P16" s="2767"/>
      <c r="Q16" s="3851"/>
      <c r="R16" s="4537"/>
      <c r="S16" s="3052"/>
      <c r="T16" s="3480"/>
      <c r="U16" s="4535"/>
      <c r="V16" s="1914">
        <v>6200000</v>
      </c>
      <c r="W16" s="1825">
        <v>23</v>
      </c>
      <c r="X16" s="726" t="s">
        <v>2524</v>
      </c>
      <c r="Y16" s="4529"/>
      <c r="Z16" s="4529"/>
      <c r="AA16" s="4529"/>
      <c r="AB16" s="4529"/>
      <c r="AC16" s="4529"/>
      <c r="AD16" s="4529"/>
      <c r="AE16" s="4529"/>
      <c r="AF16" s="4529"/>
      <c r="AG16" s="4529"/>
      <c r="AH16" s="1773"/>
      <c r="AI16" s="1773"/>
      <c r="AJ16" s="1773"/>
      <c r="AK16" s="4529"/>
      <c r="AL16" s="4529"/>
      <c r="AM16" s="4529"/>
      <c r="AN16" s="4541"/>
      <c r="AO16" s="3599"/>
      <c r="AP16" s="3599"/>
      <c r="AQ16" s="4539"/>
    </row>
    <row r="17" spans="1:43" s="369" customFormat="1" ht="62.25" customHeight="1" x14ac:dyDescent="0.25">
      <c r="A17" s="1026"/>
      <c r="B17" s="1856"/>
      <c r="C17" s="1856"/>
      <c r="D17" s="1823"/>
      <c r="E17" s="1856"/>
      <c r="F17" s="1856"/>
      <c r="G17" s="1823"/>
      <c r="H17" s="1856"/>
      <c r="I17" s="1856"/>
      <c r="J17" s="3049"/>
      <c r="K17" s="2767"/>
      <c r="L17" s="3052"/>
      <c r="M17" s="2773"/>
      <c r="N17" s="2914"/>
      <c r="O17" s="3060"/>
      <c r="P17" s="2767"/>
      <c r="Q17" s="3846"/>
      <c r="R17" s="4537"/>
      <c r="S17" s="3052"/>
      <c r="T17" s="3740"/>
      <c r="U17" s="4536"/>
      <c r="V17" s="1914">
        <v>14000000</v>
      </c>
      <c r="W17" s="1825">
        <v>88</v>
      </c>
      <c r="X17" s="726" t="s">
        <v>2520</v>
      </c>
      <c r="Y17" s="4529"/>
      <c r="Z17" s="4529"/>
      <c r="AA17" s="4529"/>
      <c r="AB17" s="4529"/>
      <c r="AC17" s="4529"/>
      <c r="AD17" s="4529"/>
      <c r="AE17" s="4529"/>
      <c r="AF17" s="4529"/>
      <c r="AG17" s="4529"/>
      <c r="AH17" s="1773"/>
      <c r="AI17" s="1773"/>
      <c r="AJ17" s="1773"/>
      <c r="AK17" s="4529"/>
      <c r="AL17" s="4529"/>
      <c r="AM17" s="4529"/>
      <c r="AN17" s="4541"/>
      <c r="AO17" s="3599"/>
      <c r="AP17" s="3599"/>
      <c r="AQ17" s="4539"/>
    </row>
    <row r="18" spans="1:43" s="369" customFormat="1" ht="55.5" customHeight="1" x14ac:dyDescent="0.25">
      <c r="A18" s="1026"/>
      <c r="B18" s="1856"/>
      <c r="C18" s="1856"/>
      <c r="D18" s="1823"/>
      <c r="E18" s="1856"/>
      <c r="F18" s="1856"/>
      <c r="G18" s="1823"/>
      <c r="H18" s="1856"/>
      <c r="I18" s="1856"/>
      <c r="J18" s="3049">
        <v>225</v>
      </c>
      <c r="K18" s="2767" t="s">
        <v>2525</v>
      </c>
      <c r="L18" s="3052" t="s">
        <v>2526</v>
      </c>
      <c r="M18" s="2795">
        <v>1</v>
      </c>
      <c r="N18" s="2914"/>
      <c r="O18" s="3060"/>
      <c r="P18" s="2767"/>
      <c r="Q18" s="3868">
        <f>(V18+V19)/R12</f>
        <v>1.6474464579901153E-2</v>
      </c>
      <c r="R18" s="4537"/>
      <c r="S18" s="3052"/>
      <c r="T18" s="3479" t="s">
        <v>2527</v>
      </c>
      <c r="U18" s="4542" t="s">
        <v>2528</v>
      </c>
      <c r="V18" s="1914">
        <v>9200000</v>
      </c>
      <c r="W18" s="1825">
        <v>20</v>
      </c>
      <c r="X18" s="726" t="s">
        <v>2517</v>
      </c>
      <c r="Y18" s="4529"/>
      <c r="Z18" s="4529"/>
      <c r="AA18" s="4529"/>
      <c r="AB18" s="4529"/>
      <c r="AC18" s="4529"/>
      <c r="AD18" s="4529"/>
      <c r="AE18" s="4529"/>
      <c r="AF18" s="4529"/>
      <c r="AG18" s="4529"/>
      <c r="AH18" s="1773"/>
      <c r="AI18" s="1773"/>
      <c r="AJ18" s="1773"/>
      <c r="AK18" s="4529"/>
      <c r="AL18" s="4529"/>
      <c r="AM18" s="4529"/>
      <c r="AN18" s="4541"/>
      <c r="AO18" s="3599"/>
      <c r="AP18" s="3599"/>
      <c r="AQ18" s="4539"/>
    </row>
    <row r="19" spans="1:43" s="369" customFormat="1" ht="54" customHeight="1" x14ac:dyDescent="0.25">
      <c r="A19" s="1027"/>
      <c r="B19" s="1028"/>
      <c r="C19" s="1028"/>
      <c r="D19" s="1824"/>
      <c r="E19" s="1028"/>
      <c r="F19" s="1028"/>
      <c r="G19" s="1824"/>
      <c r="H19" s="1028"/>
      <c r="I19" s="1028"/>
      <c r="J19" s="3049"/>
      <c r="K19" s="2767"/>
      <c r="L19" s="3052"/>
      <c r="M19" s="2773"/>
      <c r="N19" s="2773"/>
      <c r="O19" s="3061"/>
      <c r="P19" s="2767"/>
      <c r="Q19" s="3846"/>
      <c r="R19" s="4537"/>
      <c r="S19" s="3052"/>
      <c r="T19" s="3740"/>
      <c r="U19" s="4543"/>
      <c r="V19" s="1914">
        <v>800000</v>
      </c>
      <c r="W19" s="1819">
        <v>23</v>
      </c>
      <c r="X19" s="726" t="s">
        <v>2519</v>
      </c>
      <c r="Y19" s="4530"/>
      <c r="Z19" s="4530"/>
      <c r="AA19" s="4530"/>
      <c r="AB19" s="4530"/>
      <c r="AC19" s="4530"/>
      <c r="AD19" s="4530"/>
      <c r="AE19" s="4530"/>
      <c r="AF19" s="4530"/>
      <c r="AG19" s="4530"/>
      <c r="AH19" s="1778"/>
      <c r="AI19" s="1778"/>
      <c r="AJ19" s="1778"/>
      <c r="AK19" s="4530"/>
      <c r="AL19" s="4530"/>
      <c r="AM19" s="4530"/>
      <c r="AN19" s="3630"/>
      <c r="AO19" s="3600"/>
      <c r="AP19" s="3600"/>
      <c r="AQ19" s="4540"/>
    </row>
    <row r="20" spans="1:43" ht="35.25" customHeight="1" x14ac:dyDescent="0.25">
      <c r="A20" s="4544" t="s">
        <v>823</v>
      </c>
      <c r="B20" s="4544"/>
      <c r="C20" s="4544"/>
      <c r="D20" s="4544"/>
      <c r="E20" s="4544"/>
      <c r="F20" s="4544"/>
      <c r="G20" s="4544"/>
      <c r="H20" s="4544"/>
      <c r="I20" s="4544"/>
      <c r="J20" s="4544"/>
      <c r="K20" s="4544"/>
      <c r="L20" s="4544"/>
      <c r="M20" s="4544"/>
      <c r="N20" s="4544"/>
      <c r="O20" s="4544"/>
      <c r="P20" s="4544"/>
      <c r="Q20" s="4544"/>
      <c r="R20" s="1112">
        <f>SUM(R12)</f>
        <v>607000000</v>
      </c>
      <c r="S20" s="624"/>
      <c r="T20" s="624"/>
      <c r="U20" s="624"/>
      <c r="V20" s="2436">
        <f>SUM(V12:V19)</f>
        <v>607000000</v>
      </c>
      <c r="W20" s="1837"/>
      <c r="X20" s="1836"/>
      <c r="Y20" s="1066"/>
      <c r="Z20" s="1066"/>
      <c r="AA20" s="1066"/>
      <c r="AB20" s="1066"/>
      <c r="AC20" s="1066"/>
      <c r="AD20" s="1066"/>
      <c r="AE20" s="1066"/>
      <c r="AF20" s="1066"/>
      <c r="AG20" s="1066"/>
      <c r="AH20" s="1066"/>
      <c r="AI20" s="1066"/>
      <c r="AJ20" s="1066"/>
      <c r="AK20" s="1066"/>
      <c r="AL20" s="1066"/>
      <c r="AM20" s="1066"/>
      <c r="AN20" s="1066"/>
      <c r="AO20" s="1109"/>
      <c r="AP20" s="1110"/>
      <c r="AQ20" s="1111"/>
    </row>
    <row r="21" spans="1:43" ht="14.25" x14ac:dyDescent="0.2">
      <c r="X21" s="1811"/>
    </row>
    <row r="22" spans="1:43" ht="14.25" x14ac:dyDescent="0.2">
      <c r="X22" s="1811"/>
    </row>
    <row r="23" spans="1:43" ht="14.25" x14ac:dyDescent="0.2">
      <c r="X23" s="1811"/>
    </row>
    <row r="24" spans="1:43" ht="14.25" x14ac:dyDescent="0.2">
      <c r="X24" s="1811"/>
    </row>
    <row r="25" spans="1:43" ht="14.25" x14ac:dyDescent="0.2">
      <c r="X25" s="1811"/>
    </row>
    <row r="26" spans="1:43" ht="14.25" x14ac:dyDescent="0.2">
      <c r="X26" s="1811"/>
    </row>
    <row r="27" spans="1:43" ht="14.25" x14ac:dyDescent="0.2">
      <c r="X27" s="1811"/>
    </row>
    <row r="28" spans="1:43" ht="27" customHeight="1" x14ac:dyDescent="0.25">
      <c r="E28" s="692" t="s">
        <v>2529</v>
      </c>
      <c r="X28" s="1811"/>
    </row>
    <row r="29" spans="1:43" ht="27" customHeight="1" x14ac:dyDescent="0.2">
      <c r="E29" s="362" t="s">
        <v>2530</v>
      </c>
      <c r="X29" s="1811"/>
    </row>
  </sheetData>
  <sheetProtection password="A60F" sheet="1" objects="1" scenarios="1"/>
  <mergeCells count="76">
    <mergeCell ref="A20:Q20"/>
    <mergeCell ref="A1:AO4"/>
    <mergeCell ref="A5:M6"/>
    <mergeCell ref="N5:AQ5"/>
    <mergeCell ref="Y6:AM6"/>
    <mergeCell ref="A7:A8"/>
    <mergeCell ref="B7:C8"/>
    <mergeCell ref="D7:D8"/>
    <mergeCell ref="E7:F8"/>
    <mergeCell ref="G7:G8"/>
    <mergeCell ref="AO7:AO8"/>
    <mergeCell ref="AP7:AP8"/>
    <mergeCell ref="AQ7:AQ8"/>
    <mergeCell ref="U7:U8"/>
    <mergeCell ref="H7:I8"/>
    <mergeCell ref="J7:J8"/>
    <mergeCell ref="K7:K8"/>
    <mergeCell ref="L7:L8"/>
    <mergeCell ref="O7:O8"/>
    <mergeCell ref="P7:P8"/>
    <mergeCell ref="Q7:Q8"/>
    <mergeCell ref="R7:R8"/>
    <mergeCell ref="M7:M8"/>
    <mergeCell ref="N7:N8"/>
    <mergeCell ref="S7:S8"/>
    <mergeCell ref="T7:T8"/>
    <mergeCell ref="AE7:AJ7"/>
    <mergeCell ref="AK7:AM7"/>
    <mergeCell ref="V7:V8"/>
    <mergeCell ref="X7:X8"/>
    <mergeCell ref="Y7:Z7"/>
    <mergeCell ref="AA7:AD7"/>
    <mergeCell ref="K15:K17"/>
    <mergeCell ref="AQ12:AQ19"/>
    <mergeCell ref="AL12:AL19"/>
    <mergeCell ref="AM12:AM19"/>
    <mergeCell ref="AN12:AN19"/>
    <mergeCell ref="AO12:AO19"/>
    <mergeCell ref="AP12:AP19"/>
    <mergeCell ref="Y12:Y19"/>
    <mergeCell ref="Z12:Z19"/>
    <mergeCell ref="T12:T17"/>
    <mergeCell ref="U15:U17"/>
    <mergeCell ref="T18:T19"/>
    <mergeCell ref="U18:U19"/>
    <mergeCell ref="AK12:AK19"/>
    <mergeCell ref="Q15:Q17"/>
    <mergeCell ref="Q18:Q19"/>
    <mergeCell ref="B14:C14"/>
    <mergeCell ref="E14:F14"/>
    <mergeCell ref="H14:I14"/>
    <mergeCell ref="N12:N19"/>
    <mergeCell ref="O12:O19"/>
    <mergeCell ref="M12:M14"/>
    <mergeCell ref="M15:M17"/>
    <mergeCell ref="M18:M19"/>
    <mergeCell ref="J18:J19"/>
    <mergeCell ref="K18:K19"/>
    <mergeCell ref="L18:L19"/>
    <mergeCell ref="J12:J14"/>
    <mergeCell ref="L15:L17"/>
    <mergeCell ref="K12:K14"/>
    <mergeCell ref="L12:L14"/>
    <mergeCell ref="J15:J17"/>
    <mergeCell ref="AF12:AF19"/>
    <mergeCell ref="AG12:AG19"/>
    <mergeCell ref="Q12:Q14"/>
    <mergeCell ref="U12:U14"/>
    <mergeCell ref="P12:P19"/>
    <mergeCell ref="R12:R19"/>
    <mergeCell ref="S12:S19"/>
    <mergeCell ref="AA12:AA19"/>
    <mergeCell ref="AB12:AB19"/>
    <mergeCell ref="AC12:AC19"/>
    <mergeCell ref="AD12:AD19"/>
    <mergeCell ref="AE12:AE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N164"/>
  <sheetViews>
    <sheetView showGridLines="0" topLeftCell="A2" zoomScale="50" zoomScaleNormal="50" workbookViewId="0">
      <selection activeCell="K6" sqref="K6:K7"/>
    </sheetView>
  </sheetViews>
  <sheetFormatPr baseColWidth="10" defaultColWidth="20.5703125" defaultRowHeight="39.75" customHeight="1" x14ac:dyDescent="0.2"/>
  <cols>
    <col min="1" max="1" width="15.140625" style="232" customWidth="1"/>
    <col min="2" max="9" width="15.140625" style="169" customWidth="1"/>
    <col min="10" max="10" width="15.140625" style="130" customWidth="1"/>
    <col min="11" max="11" width="53.140625" style="233" customWidth="1"/>
    <col min="12" max="12" width="33.28515625" style="167" customWidth="1"/>
    <col min="13" max="13" width="15" style="167" customWidth="1"/>
    <col min="14" max="14" width="39.5703125" style="234" customWidth="1"/>
    <col min="15" max="15" width="25.85546875" style="234" customWidth="1"/>
    <col min="16" max="16" width="26.42578125" style="233" customWidth="1"/>
    <col min="17" max="17" width="14.85546875" style="235" customWidth="1"/>
    <col min="18" max="18" width="27.5703125" style="236" customWidth="1"/>
    <col min="19" max="19" width="41.7109375" style="233" hidden="1" customWidth="1"/>
    <col min="20" max="20" width="58.42578125" style="233" customWidth="1"/>
    <col min="21" max="21" width="80.28515625" style="233" customWidth="1"/>
    <col min="22" max="22" width="27.7109375" style="1122" customWidth="1"/>
    <col min="23" max="23" width="15.5703125" style="237" customWidth="1"/>
    <col min="24" max="24" width="25.7109375" style="1961" customWidth="1"/>
    <col min="25" max="25" width="10.140625" style="1" bestFit="1" customWidth="1"/>
    <col min="26" max="26" width="13.7109375" style="1" bestFit="1" customWidth="1"/>
    <col min="27" max="27" width="10.140625" style="1" bestFit="1" customWidth="1"/>
    <col min="28" max="28" width="8.7109375" style="1" bestFit="1" customWidth="1"/>
    <col min="29" max="30" width="14" style="1" bestFit="1" customWidth="1"/>
    <col min="31" max="31" width="7.28515625" style="1" bestFit="1" customWidth="1"/>
    <col min="32" max="32" width="8.7109375" style="1" bestFit="1" customWidth="1"/>
    <col min="33" max="36" width="4.7109375" style="1" bestFit="1" customWidth="1"/>
    <col min="37" max="37" width="8.7109375" style="1" bestFit="1" customWidth="1"/>
    <col min="38" max="38" width="10.42578125" style="1" bestFit="1" customWidth="1"/>
    <col min="39" max="39" width="8.7109375" style="1" bestFit="1" customWidth="1"/>
    <col min="40" max="40" width="17" style="1" bestFit="1" customWidth="1"/>
    <col min="41" max="41" width="15.5703125" style="238" customWidth="1"/>
    <col min="42" max="42" width="14.7109375" style="239" customWidth="1"/>
    <col min="43" max="43" width="24.42578125" style="191" customWidth="1"/>
    <col min="44" max="66" width="20.5703125" style="1862"/>
    <col min="67" max="16384" width="20.5703125" style="1"/>
  </cols>
  <sheetData>
    <row r="1" spans="1:66" ht="16.5" hidden="1" customHeight="1" x14ac:dyDescent="0.2">
      <c r="A1" s="2923" t="s">
        <v>2541</v>
      </c>
      <c r="B1" s="2923"/>
      <c r="C1" s="2923"/>
      <c r="D1" s="2923"/>
      <c r="E1" s="2923"/>
      <c r="F1" s="2923"/>
      <c r="G1" s="2923"/>
      <c r="H1" s="2923"/>
      <c r="I1" s="2923"/>
      <c r="J1" s="2923"/>
      <c r="K1" s="2923"/>
      <c r="L1" s="2923"/>
      <c r="M1" s="2923"/>
      <c r="N1" s="2923"/>
      <c r="O1" s="2923"/>
      <c r="P1" s="2923"/>
      <c r="Q1" s="2923"/>
      <c r="R1" s="2923"/>
      <c r="S1" s="2923"/>
      <c r="T1" s="2923"/>
      <c r="U1" s="2923"/>
      <c r="V1" s="2923"/>
      <c r="W1" s="2923"/>
      <c r="X1" s="2923"/>
      <c r="Y1" s="2923"/>
      <c r="Z1" s="2923"/>
      <c r="AA1" s="2923"/>
      <c r="AB1" s="2923"/>
      <c r="AC1" s="2923"/>
      <c r="AD1" s="2923"/>
      <c r="AE1" s="2923"/>
      <c r="AF1" s="2923"/>
      <c r="AG1" s="2923"/>
      <c r="AH1" s="2923"/>
      <c r="AI1" s="2923"/>
      <c r="AJ1" s="2923"/>
      <c r="AK1" s="2923"/>
      <c r="AL1" s="2923"/>
      <c r="AM1" s="2923"/>
      <c r="AN1" s="2923"/>
      <c r="AO1" s="2923"/>
      <c r="AP1" s="4" t="s">
        <v>0</v>
      </c>
      <c r="AQ1" s="4" t="s">
        <v>1</v>
      </c>
    </row>
    <row r="2" spans="1:66" ht="24" customHeight="1" x14ac:dyDescent="0.2">
      <c r="A2" s="2923"/>
      <c r="B2" s="2923"/>
      <c r="C2" s="2923"/>
      <c r="D2" s="2923"/>
      <c r="E2" s="2923"/>
      <c r="F2" s="2923"/>
      <c r="G2" s="2923"/>
      <c r="H2" s="2923"/>
      <c r="I2" s="2923"/>
      <c r="J2" s="2923"/>
      <c r="K2" s="2923"/>
      <c r="L2" s="2923"/>
      <c r="M2" s="2923"/>
      <c r="N2" s="2923"/>
      <c r="O2" s="2923"/>
      <c r="P2" s="2923"/>
      <c r="Q2" s="2923"/>
      <c r="R2" s="2923"/>
      <c r="S2" s="2923"/>
      <c r="T2" s="2923"/>
      <c r="U2" s="2923"/>
      <c r="V2" s="2923"/>
      <c r="W2" s="2923"/>
      <c r="X2" s="2923"/>
      <c r="Y2" s="2923"/>
      <c r="Z2" s="2923"/>
      <c r="AA2" s="2923"/>
      <c r="AB2" s="2923"/>
      <c r="AC2" s="2923"/>
      <c r="AD2" s="2923"/>
      <c r="AE2" s="2923"/>
      <c r="AF2" s="2923"/>
      <c r="AG2" s="2923"/>
      <c r="AH2" s="2923"/>
      <c r="AI2" s="2923"/>
      <c r="AJ2" s="2923"/>
      <c r="AK2" s="2923"/>
      <c r="AL2" s="2923"/>
      <c r="AM2" s="2923"/>
      <c r="AN2" s="2923"/>
      <c r="AO2" s="2923"/>
      <c r="AP2" s="125" t="s">
        <v>2</v>
      </c>
      <c r="AQ2" s="4" t="s">
        <v>119</v>
      </c>
    </row>
    <row r="3" spans="1:66" ht="31.5" customHeight="1" x14ac:dyDescent="0.2">
      <c r="A3" s="2923"/>
      <c r="B3" s="2923"/>
      <c r="C3" s="2923"/>
      <c r="D3" s="2923"/>
      <c r="E3" s="2923"/>
      <c r="F3" s="2923"/>
      <c r="G3" s="2923"/>
      <c r="H3" s="2923"/>
      <c r="I3" s="2923"/>
      <c r="J3" s="2923"/>
      <c r="K3" s="2923"/>
      <c r="L3" s="2923"/>
      <c r="M3" s="2923"/>
      <c r="N3" s="2923"/>
      <c r="O3" s="2923"/>
      <c r="P3" s="2923"/>
      <c r="Q3" s="2923"/>
      <c r="R3" s="2923"/>
      <c r="S3" s="2923"/>
      <c r="T3" s="2923"/>
      <c r="U3" s="2923"/>
      <c r="V3" s="2923"/>
      <c r="W3" s="2923"/>
      <c r="X3" s="2923"/>
      <c r="Y3" s="2923"/>
      <c r="Z3" s="2923"/>
      <c r="AA3" s="2923"/>
      <c r="AB3" s="2923"/>
      <c r="AC3" s="2923"/>
      <c r="AD3" s="2923"/>
      <c r="AE3" s="2923"/>
      <c r="AF3" s="2923"/>
      <c r="AG3" s="2923"/>
      <c r="AH3" s="2923"/>
      <c r="AI3" s="2923"/>
      <c r="AJ3" s="2923"/>
      <c r="AK3" s="2923"/>
      <c r="AL3" s="2923"/>
      <c r="AM3" s="2923"/>
      <c r="AN3" s="2923"/>
      <c r="AO3" s="2923"/>
      <c r="AP3" s="4" t="s">
        <v>4</v>
      </c>
      <c r="AQ3" s="126" t="s">
        <v>5</v>
      </c>
    </row>
    <row r="4" spans="1:66" ht="18.75" customHeight="1" x14ac:dyDescent="0.2">
      <c r="A4" s="2924"/>
      <c r="B4" s="2924"/>
      <c r="C4" s="2924"/>
      <c r="D4" s="2924"/>
      <c r="E4" s="2924"/>
      <c r="F4" s="2924"/>
      <c r="G4" s="2924"/>
      <c r="H4" s="2924"/>
      <c r="I4" s="2924"/>
      <c r="J4" s="2924"/>
      <c r="K4" s="2924"/>
      <c r="L4" s="2924"/>
      <c r="M4" s="2924"/>
      <c r="N4" s="2924"/>
      <c r="O4" s="2924"/>
      <c r="P4" s="2924"/>
      <c r="Q4" s="2924"/>
      <c r="R4" s="2924"/>
      <c r="S4" s="2924"/>
      <c r="T4" s="2924"/>
      <c r="U4" s="2924"/>
      <c r="V4" s="2924"/>
      <c r="W4" s="2924"/>
      <c r="X4" s="2924"/>
      <c r="Y4" s="2924"/>
      <c r="Z4" s="2924"/>
      <c r="AA4" s="2924"/>
      <c r="AB4" s="2924"/>
      <c r="AC4" s="2924"/>
      <c r="AD4" s="2924"/>
      <c r="AE4" s="2924"/>
      <c r="AF4" s="2924"/>
      <c r="AG4" s="2924"/>
      <c r="AH4" s="2924"/>
      <c r="AI4" s="2924"/>
      <c r="AJ4" s="2924"/>
      <c r="AK4" s="2924"/>
      <c r="AL4" s="2924"/>
      <c r="AM4" s="2924"/>
      <c r="AN4" s="2924"/>
      <c r="AO4" s="2924"/>
      <c r="AP4" s="4" t="s">
        <v>6</v>
      </c>
      <c r="AQ4" s="29" t="s">
        <v>7</v>
      </c>
    </row>
    <row r="5" spans="1:66" ht="32.25" customHeight="1" x14ac:dyDescent="0.2">
      <c r="A5" s="2925" t="s">
        <v>8</v>
      </c>
      <c r="B5" s="2925"/>
      <c r="C5" s="2925"/>
      <c r="D5" s="2925"/>
      <c r="E5" s="2925"/>
      <c r="F5" s="2925"/>
      <c r="G5" s="2925"/>
      <c r="H5" s="2925"/>
      <c r="I5" s="2925"/>
      <c r="J5" s="2925"/>
      <c r="K5" s="2925"/>
      <c r="L5" s="2925"/>
      <c r="M5" s="2925"/>
      <c r="N5" s="2926" t="s">
        <v>9</v>
      </c>
      <c r="O5" s="2926"/>
      <c r="P5" s="2926"/>
      <c r="Q5" s="2926"/>
      <c r="R5" s="2926"/>
      <c r="S5" s="2926"/>
      <c r="T5" s="2926"/>
      <c r="U5" s="2927"/>
      <c r="V5" s="2927"/>
      <c r="W5" s="2926"/>
      <c r="X5" s="2926"/>
      <c r="Y5" s="2926"/>
      <c r="Z5" s="2926"/>
      <c r="AA5" s="2926"/>
      <c r="AB5" s="2926"/>
      <c r="AC5" s="2926"/>
      <c r="AD5" s="2926"/>
      <c r="AE5" s="2926"/>
      <c r="AF5" s="2926"/>
      <c r="AG5" s="2926"/>
      <c r="AH5" s="2926"/>
      <c r="AI5" s="2926"/>
      <c r="AJ5" s="2926"/>
      <c r="AK5" s="2926"/>
      <c r="AL5" s="2926"/>
      <c r="AM5" s="2926"/>
      <c r="AN5" s="2926"/>
      <c r="AO5" s="2926"/>
      <c r="AP5" s="2926"/>
      <c r="AQ5" s="2926"/>
    </row>
    <row r="6" spans="1:66" ht="27.75" customHeight="1" x14ac:dyDescent="0.2">
      <c r="A6" s="2928" t="s">
        <v>11</v>
      </c>
      <c r="B6" s="2930" t="s">
        <v>12</v>
      </c>
      <c r="C6" s="2931"/>
      <c r="D6" s="2934" t="s">
        <v>11</v>
      </c>
      <c r="E6" s="2930" t="s">
        <v>13</v>
      </c>
      <c r="F6" s="2931"/>
      <c r="G6" s="2934" t="s">
        <v>11</v>
      </c>
      <c r="H6" s="2930" t="s">
        <v>14</v>
      </c>
      <c r="I6" s="2931"/>
      <c r="J6" s="2934" t="s">
        <v>11</v>
      </c>
      <c r="K6" s="2934" t="s">
        <v>15</v>
      </c>
      <c r="L6" s="2934" t="s">
        <v>16</v>
      </c>
      <c r="M6" s="2930" t="s">
        <v>17</v>
      </c>
      <c r="N6" s="2934" t="s">
        <v>18</v>
      </c>
      <c r="O6" s="2934" t="s">
        <v>19</v>
      </c>
      <c r="P6" s="2934" t="s">
        <v>9</v>
      </c>
      <c r="Q6" s="2950" t="s">
        <v>20</v>
      </c>
      <c r="R6" s="2954" t="s">
        <v>21</v>
      </c>
      <c r="S6" s="2934" t="s">
        <v>22</v>
      </c>
      <c r="T6" s="2930" t="s">
        <v>23</v>
      </c>
      <c r="U6" s="2952" t="s">
        <v>24</v>
      </c>
      <c r="V6" s="2953" t="s">
        <v>21</v>
      </c>
      <c r="W6" s="2928" t="s">
        <v>11</v>
      </c>
      <c r="X6" s="2934" t="s">
        <v>25</v>
      </c>
      <c r="Y6" s="2942" t="s">
        <v>26</v>
      </c>
      <c r="Z6" s="2943"/>
      <c r="AA6" s="2944" t="s">
        <v>27</v>
      </c>
      <c r="AB6" s="2945"/>
      <c r="AC6" s="2945"/>
      <c r="AD6" s="2945"/>
      <c r="AE6" s="2946" t="s">
        <v>28</v>
      </c>
      <c r="AF6" s="2947"/>
      <c r="AG6" s="2947"/>
      <c r="AH6" s="2947"/>
      <c r="AI6" s="2947"/>
      <c r="AJ6" s="2947"/>
      <c r="AK6" s="2948" t="s">
        <v>29</v>
      </c>
      <c r="AL6" s="2949"/>
      <c r="AM6" s="2949"/>
      <c r="AN6" s="2938" t="s">
        <v>30</v>
      </c>
      <c r="AO6" s="2940" t="s">
        <v>31</v>
      </c>
      <c r="AP6" s="2940" t="s">
        <v>32</v>
      </c>
      <c r="AQ6" s="2936" t="s">
        <v>33</v>
      </c>
    </row>
    <row r="7" spans="1:66" s="130" customFormat="1" ht="157.5" customHeight="1" x14ac:dyDescent="0.25">
      <c r="A7" s="2929"/>
      <c r="B7" s="2932"/>
      <c r="C7" s="2933"/>
      <c r="D7" s="2935"/>
      <c r="E7" s="2932"/>
      <c r="F7" s="2933"/>
      <c r="G7" s="2935"/>
      <c r="H7" s="2932"/>
      <c r="I7" s="2933"/>
      <c r="J7" s="2935"/>
      <c r="K7" s="2935"/>
      <c r="L7" s="2935"/>
      <c r="M7" s="2956"/>
      <c r="N7" s="2935"/>
      <c r="O7" s="2935"/>
      <c r="P7" s="2935"/>
      <c r="Q7" s="2951"/>
      <c r="R7" s="2955"/>
      <c r="S7" s="2935"/>
      <c r="T7" s="2932"/>
      <c r="U7" s="2952"/>
      <c r="V7" s="2953"/>
      <c r="W7" s="2929"/>
      <c r="X7" s="2935"/>
      <c r="Y7" s="127" t="s">
        <v>34</v>
      </c>
      <c r="Z7" s="128" t="s">
        <v>35</v>
      </c>
      <c r="AA7" s="127" t="s">
        <v>36</v>
      </c>
      <c r="AB7" s="127" t="s">
        <v>121</v>
      </c>
      <c r="AC7" s="127" t="s">
        <v>122</v>
      </c>
      <c r="AD7" s="127" t="s">
        <v>123</v>
      </c>
      <c r="AE7" s="127" t="s">
        <v>40</v>
      </c>
      <c r="AF7" s="127" t="s">
        <v>41</v>
      </c>
      <c r="AG7" s="127" t="s">
        <v>42</v>
      </c>
      <c r="AH7" s="127" t="s">
        <v>43</v>
      </c>
      <c r="AI7" s="127" t="s">
        <v>44</v>
      </c>
      <c r="AJ7" s="127" t="s">
        <v>948</v>
      </c>
      <c r="AK7" s="129" t="s">
        <v>46</v>
      </c>
      <c r="AL7" s="129" t="s">
        <v>47</v>
      </c>
      <c r="AM7" s="129" t="s">
        <v>48</v>
      </c>
      <c r="AN7" s="2939"/>
      <c r="AO7" s="2941"/>
      <c r="AP7" s="2941"/>
      <c r="AQ7" s="2937"/>
      <c r="AR7" s="1484"/>
      <c r="AS7" s="1484"/>
      <c r="AT7" s="1484"/>
      <c r="AU7" s="1484"/>
      <c r="AV7" s="1484"/>
      <c r="AW7" s="1484"/>
      <c r="AX7" s="1484"/>
      <c r="AY7" s="1484"/>
      <c r="AZ7" s="1484"/>
      <c r="BA7" s="1484"/>
      <c r="BB7" s="1484"/>
      <c r="BC7" s="1484"/>
      <c r="BD7" s="1484"/>
      <c r="BE7" s="1484"/>
      <c r="BF7" s="1484"/>
      <c r="BG7" s="1484"/>
      <c r="BH7" s="1484"/>
      <c r="BI7" s="1484"/>
      <c r="BJ7" s="1484"/>
      <c r="BK7" s="1484"/>
      <c r="BL7" s="1484"/>
      <c r="BM7" s="1484"/>
      <c r="BN7" s="1484"/>
    </row>
    <row r="8" spans="1:66" ht="15.75" x14ac:dyDescent="0.2">
      <c r="A8" s="131">
        <v>5</v>
      </c>
      <c r="B8" s="2920" t="s">
        <v>49</v>
      </c>
      <c r="C8" s="2920"/>
      <c r="D8" s="2920"/>
      <c r="E8" s="2920"/>
      <c r="F8" s="2920"/>
      <c r="G8" s="2920"/>
      <c r="H8" s="2920"/>
      <c r="I8" s="2920"/>
      <c r="J8" s="2920"/>
      <c r="K8" s="2920"/>
      <c r="L8" s="132"/>
      <c r="M8" s="132"/>
      <c r="N8" s="133"/>
      <c r="O8" s="133"/>
      <c r="P8" s="132"/>
      <c r="Q8" s="134"/>
      <c r="R8" s="135"/>
      <c r="S8" s="132"/>
      <c r="T8" s="132"/>
      <c r="U8" s="1486"/>
      <c r="V8" s="1487"/>
      <c r="W8" s="136"/>
      <c r="X8" s="133"/>
      <c r="Y8" s="137"/>
      <c r="Z8" s="137"/>
      <c r="AA8" s="137"/>
      <c r="AB8" s="137"/>
      <c r="AC8" s="137"/>
      <c r="AD8" s="137"/>
      <c r="AE8" s="137"/>
      <c r="AF8" s="137"/>
      <c r="AG8" s="137"/>
      <c r="AH8" s="137"/>
      <c r="AI8" s="137"/>
      <c r="AJ8" s="137"/>
      <c r="AK8" s="137"/>
      <c r="AL8" s="137"/>
      <c r="AM8" s="137"/>
      <c r="AN8" s="137"/>
      <c r="AO8" s="138"/>
      <c r="AP8" s="138"/>
      <c r="AQ8" s="139"/>
    </row>
    <row r="9" spans="1:66" s="124" customFormat="1" ht="23.25" customHeight="1" x14ac:dyDescent="0.2">
      <c r="A9" s="140"/>
      <c r="B9" s="141"/>
      <c r="C9" s="142"/>
      <c r="D9" s="143">
        <v>26</v>
      </c>
      <c r="E9" s="2921" t="s">
        <v>949</v>
      </c>
      <c r="F9" s="2921"/>
      <c r="G9" s="2921"/>
      <c r="H9" s="2921"/>
      <c r="I9" s="2921"/>
      <c r="J9" s="2921"/>
      <c r="K9" s="2921"/>
      <c r="L9" s="144"/>
      <c r="M9" s="144"/>
      <c r="N9" s="145"/>
      <c r="O9" s="145"/>
      <c r="P9" s="144"/>
      <c r="Q9" s="146"/>
      <c r="R9" s="147"/>
      <c r="S9" s="144"/>
      <c r="T9" s="144"/>
      <c r="U9" s="148"/>
      <c r="V9" s="1119"/>
      <c r="W9" s="149"/>
      <c r="X9" s="145"/>
      <c r="Y9" s="150"/>
      <c r="Z9" s="150"/>
      <c r="AA9" s="150"/>
      <c r="AB9" s="150"/>
      <c r="AC9" s="150"/>
      <c r="AD9" s="150"/>
      <c r="AE9" s="150"/>
      <c r="AF9" s="150"/>
      <c r="AG9" s="150"/>
      <c r="AH9" s="150"/>
      <c r="AI9" s="150"/>
      <c r="AJ9" s="150"/>
      <c r="AK9" s="150"/>
      <c r="AL9" s="150"/>
      <c r="AM9" s="150"/>
      <c r="AN9" s="150"/>
      <c r="AO9" s="151"/>
      <c r="AP9" s="151"/>
      <c r="AQ9" s="152"/>
      <c r="AR9" s="1862"/>
      <c r="AS9" s="1862"/>
      <c r="AT9" s="1862"/>
      <c r="AU9" s="1862"/>
      <c r="AV9" s="1862"/>
      <c r="AW9" s="1862"/>
      <c r="AX9" s="1862"/>
      <c r="AY9" s="1862"/>
      <c r="AZ9" s="1862"/>
      <c r="BA9" s="1862"/>
      <c r="BB9" s="1862"/>
      <c r="BC9" s="1862"/>
      <c r="BD9" s="1862"/>
      <c r="BE9" s="1862"/>
      <c r="BF9" s="1862"/>
      <c r="BG9" s="1862"/>
      <c r="BH9" s="1862"/>
      <c r="BI9" s="1862"/>
      <c r="BJ9" s="1862"/>
      <c r="BK9" s="1862"/>
      <c r="BL9" s="1862"/>
      <c r="BM9" s="1862"/>
      <c r="BN9" s="1862"/>
    </row>
    <row r="10" spans="1:66" s="124" customFormat="1" ht="25.5" customHeight="1" x14ac:dyDescent="0.2">
      <c r="A10" s="153"/>
      <c r="B10" s="154"/>
      <c r="C10" s="154"/>
      <c r="D10" s="155"/>
      <c r="E10" s="141"/>
      <c r="F10" s="142"/>
      <c r="G10" s="156">
        <v>83</v>
      </c>
      <c r="H10" s="2917" t="s">
        <v>950</v>
      </c>
      <c r="I10" s="2917"/>
      <c r="J10" s="2917"/>
      <c r="K10" s="2917"/>
      <c r="L10" s="157"/>
      <c r="M10" s="157"/>
      <c r="N10" s="158"/>
      <c r="O10" s="158"/>
      <c r="P10" s="157"/>
      <c r="Q10" s="159"/>
      <c r="R10" s="160"/>
      <c r="S10" s="263"/>
      <c r="T10" s="263"/>
      <c r="U10" s="1506"/>
      <c r="V10" s="623"/>
      <c r="W10" s="161"/>
      <c r="X10" s="158"/>
      <c r="Y10" s="162"/>
      <c r="Z10" s="162"/>
      <c r="AA10" s="162"/>
      <c r="AB10" s="162"/>
      <c r="AC10" s="162"/>
      <c r="AD10" s="162"/>
      <c r="AE10" s="162"/>
      <c r="AF10" s="162"/>
      <c r="AG10" s="162"/>
      <c r="AH10" s="162"/>
      <c r="AI10" s="162"/>
      <c r="AJ10" s="162"/>
      <c r="AK10" s="162"/>
      <c r="AL10" s="162"/>
      <c r="AM10" s="162"/>
      <c r="AN10" s="162"/>
      <c r="AO10" s="163"/>
      <c r="AP10" s="163"/>
      <c r="AQ10" s="164"/>
      <c r="AR10" s="1862"/>
      <c r="AS10" s="1862"/>
      <c r="AT10" s="1862"/>
      <c r="AU10" s="1862"/>
      <c r="AV10" s="1862"/>
      <c r="AW10" s="1862"/>
      <c r="AX10" s="1862"/>
      <c r="AY10" s="1862"/>
      <c r="AZ10" s="1862"/>
      <c r="BA10" s="1862"/>
      <c r="BB10" s="1862"/>
      <c r="BC10" s="1862"/>
      <c r="BD10" s="1862"/>
      <c r="BE10" s="1862"/>
      <c r="BF10" s="1862"/>
      <c r="BG10" s="1862"/>
      <c r="BH10" s="1862"/>
      <c r="BI10" s="1862"/>
      <c r="BJ10" s="1862"/>
      <c r="BK10" s="1862"/>
      <c r="BL10" s="1862"/>
      <c r="BM10" s="1862"/>
      <c r="BN10" s="1862"/>
    </row>
    <row r="11" spans="1:66" ht="205.5" customHeight="1" x14ac:dyDescent="0.2">
      <c r="A11" s="165"/>
      <c r="B11" s="1784"/>
      <c r="C11" s="1784"/>
      <c r="D11" s="1785"/>
      <c r="E11" s="1784"/>
      <c r="F11" s="1791"/>
      <c r="G11" s="1795"/>
      <c r="H11" s="1784"/>
      <c r="I11" s="1784"/>
      <c r="J11" s="2774">
        <v>246</v>
      </c>
      <c r="K11" s="2767" t="s">
        <v>951</v>
      </c>
      <c r="L11" s="2767" t="s">
        <v>952</v>
      </c>
      <c r="M11" s="2774">
        <v>13</v>
      </c>
      <c r="N11" s="2774" t="s">
        <v>953</v>
      </c>
      <c r="O11" s="2774" t="s">
        <v>954</v>
      </c>
      <c r="P11" s="2767" t="s">
        <v>955</v>
      </c>
      <c r="Q11" s="2922">
        <v>1</v>
      </c>
      <c r="R11" s="2882">
        <f>SUM(V11:V32)</f>
        <v>17500000</v>
      </c>
      <c r="S11" s="2776" t="s">
        <v>956</v>
      </c>
      <c r="T11" s="1490" t="s">
        <v>957</v>
      </c>
      <c r="U11" s="1925" t="s">
        <v>958</v>
      </c>
      <c r="V11" s="1489">
        <v>1200000</v>
      </c>
      <c r="W11" s="1789">
        <v>20</v>
      </c>
      <c r="X11" s="1922" t="s">
        <v>959</v>
      </c>
      <c r="Y11" s="2892">
        <v>294321</v>
      </c>
      <c r="Z11" s="2915">
        <v>283947</v>
      </c>
      <c r="AA11" s="2892">
        <v>135754</v>
      </c>
      <c r="AB11" s="2892">
        <v>44640</v>
      </c>
      <c r="AC11" s="2892">
        <v>308178</v>
      </c>
      <c r="AD11" s="2892">
        <v>89696</v>
      </c>
      <c r="AE11" s="2892">
        <v>2145</v>
      </c>
      <c r="AF11" s="2892">
        <v>12718</v>
      </c>
      <c r="AG11" s="2892">
        <v>26</v>
      </c>
      <c r="AH11" s="2892">
        <v>37</v>
      </c>
      <c r="AI11" s="2892"/>
      <c r="AJ11" s="2892"/>
      <c r="AK11" s="2892">
        <v>54612</v>
      </c>
      <c r="AL11" s="2892">
        <v>21944</v>
      </c>
      <c r="AM11" s="2892">
        <v>1010</v>
      </c>
      <c r="AN11" s="2892">
        <f>+Y11+Z11</f>
        <v>578268</v>
      </c>
      <c r="AO11" s="2819">
        <v>43102</v>
      </c>
      <c r="AP11" s="2819">
        <v>43465</v>
      </c>
      <c r="AQ11" s="2764" t="s">
        <v>960</v>
      </c>
    </row>
    <row r="12" spans="1:66" ht="28.5" x14ac:dyDescent="0.2">
      <c r="A12" s="165"/>
      <c r="B12" s="1784"/>
      <c r="C12" s="1784"/>
      <c r="D12" s="1785"/>
      <c r="E12" s="1784"/>
      <c r="F12" s="1791"/>
      <c r="G12" s="1785"/>
      <c r="H12" s="1784"/>
      <c r="I12" s="1784"/>
      <c r="J12" s="2774"/>
      <c r="K12" s="2767"/>
      <c r="L12" s="2767"/>
      <c r="M12" s="2774"/>
      <c r="N12" s="2774"/>
      <c r="O12" s="2774"/>
      <c r="P12" s="2767"/>
      <c r="Q12" s="2922"/>
      <c r="R12" s="2882"/>
      <c r="S12" s="2776"/>
      <c r="T12" s="2903" t="s">
        <v>961</v>
      </c>
      <c r="U12" s="1491" t="s">
        <v>962</v>
      </c>
      <c r="V12" s="1489">
        <v>360000</v>
      </c>
      <c r="W12" s="1789">
        <v>20</v>
      </c>
      <c r="X12" s="1922" t="s">
        <v>959</v>
      </c>
      <c r="Y12" s="2892"/>
      <c r="Z12" s="2915"/>
      <c r="AA12" s="2892"/>
      <c r="AB12" s="2892"/>
      <c r="AC12" s="2892"/>
      <c r="AD12" s="2892"/>
      <c r="AE12" s="2892"/>
      <c r="AF12" s="2892"/>
      <c r="AG12" s="2892"/>
      <c r="AH12" s="2892"/>
      <c r="AI12" s="2892"/>
      <c r="AJ12" s="2892"/>
      <c r="AK12" s="2892"/>
      <c r="AL12" s="2892"/>
      <c r="AM12" s="2892"/>
      <c r="AN12" s="2892"/>
      <c r="AO12" s="2819"/>
      <c r="AP12" s="2819"/>
      <c r="AQ12" s="2764"/>
    </row>
    <row r="13" spans="1:66" ht="28.5" x14ac:dyDescent="0.2">
      <c r="A13" s="165"/>
      <c r="B13" s="1784"/>
      <c r="C13" s="1784"/>
      <c r="D13" s="1785"/>
      <c r="E13" s="1784"/>
      <c r="F13" s="1791"/>
      <c r="G13" s="1785"/>
      <c r="H13" s="1784"/>
      <c r="I13" s="1784"/>
      <c r="J13" s="2774"/>
      <c r="K13" s="2767"/>
      <c r="L13" s="2767"/>
      <c r="M13" s="2774"/>
      <c r="N13" s="2774"/>
      <c r="O13" s="2774"/>
      <c r="P13" s="2767"/>
      <c r="Q13" s="2922"/>
      <c r="R13" s="2882"/>
      <c r="S13" s="2776"/>
      <c r="T13" s="2903"/>
      <c r="U13" s="1491" t="s">
        <v>963</v>
      </c>
      <c r="V13" s="1489">
        <v>300000</v>
      </c>
      <c r="W13" s="1789">
        <v>20</v>
      </c>
      <c r="X13" s="1922" t="s">
        <v>959</v>
      </c>
      <c r="Y13" s="2892"/>
      <c r="Z13" s="2915"/>
      <c r="AA13" s="2892"/>
      <c r="AB13" s="2892"/>
      <c r="AC13" s="2892"/>
      <c r="AD13" s="2892"/>
      <c r="AE13" s="2892"/>
      <c r="AF13" s="2892"/>
      <c r="AG13" s="2892"/>
      <c r="AH13" s="2892"/>
      <c r="AI13" s="2892"/>
      <c r="AJ13" s="2892"/>
      <c r="AK13" s="2892"/>
      <c r="AL13" s="2892"/>
      <c r="AM13" s="2892"/>
      <c r="AN13" s="2892"/>
      <c r="AO13" s="2819"/>
      <c r="AP13" s="2819"/>
      <c r="AQ13" s="2764"/>
    </row>
    <row r="14" spans="1:66" ht="129.75" customHeight="1" x14ac:dyDescent="0.2">
      <c r="A14" s="165"/>
      <c r="B14" s="1784"/>
      <c r="C14" s="1784"/>
      <c r="D14" s="1785"/>
      <c r="E14" s="1784"/>
      <c r="F14" s="1791"/>
      <c r="G14" s="1785"/>
      <c r="H14" s="1784"/>
      <c r="I14" s="1784"/>
      <c r="J14" s="2774"/>
      <c r="K14" s="2767"/>
      <c r="L14" s="2767"/>
      <c r="M14" s="2774"/>
      <c r="N14" s="2774"/>
      <c r="O14" s="2774"/>
      <c r="P14" s="2767"/>
      <c r="Q14" s="2922"/>
      <c r="R14" s="2882"/>
      <c r="S14" s="2776"/>
      <c r="T14" s="2903"/>
      <c r="U14" s="1492" t="s">
        <v>964</v>
      </c>
      <c r="V14" s="1489">
        <v>360000</v>
      </c>
      <c r="W14" s="1789">
        <v>20</v>
      </c>
      <c r="X14" s="1922" t="s">
        <v>959</v>
      </c>
      <c r="Y14" s="2892"/>
      <c r="Z14" s="2915"/>
      <c r="AA14" s="2892"/>
      <c r="AB14" s="2892"/>
      <c r="AC14" s="2892"/>
      <c r="AD14" s="2892"/>
      <c r="AE14" s="2892"/>
      <c r="AF14" s="2892"/>
      <c r="AG14" s="2892"/>
      <c r="AH14" s="2892"/>
      <c r="AI14" s="2892"/>
      <c r="AJ14" s="2892"/>
      <c r="AK14" s="2892"/>
      <c r="AL14" s="2892"/>
      <c r="AM14" s="2892"/>
      <c r="AN14" s="2892"/>
      <c r="AO14" s="2819"/>
      <c r="AP14" s="2819"/>
      <c r="AQ14" s="2764"/>
    </row>
    <row r="15" spans="1:66" ht="67.5" customHeight="1" x14ac:dyDescent="0.2">
      <c r="A15" s="165"/>
      <c r="B15" s="1784"/>
      <c r="C15" s="1784"/>
      <c r="D15" s="1785"/>
      <c r="E15" s="1784"/>
      <c r="F15" s="1791"/>
      <c r="G15" s="1785"/>
      <c r="H15" s="1784"/>
      <c r="I15" s="1784"/>
      <c r="J15" s="2774"/>
      <c r="K15" s="2767"/>
      <c r="L15" s="2767"/>
      <c r="M15" s="2774"/>
      <c r="N15" s="2774"/>
      <c r="O15" s="2774"/>
      <c r="P15" s="2767"/>
      <c r="Q15" s="2922"/>
      <c r="R15" s="2882"/>
      <c r="S15" s="2776"/>
      <c r="T15" s="2903"/>
      <c r="U15" s="1492" t="s">
        <v>965</v>
      </c>
      <c r="V15" s="1489">
        <v>360000</v>
      </c>
      <c r="W15" s="1789">
        <v>20</v>
      </c>
      <c r="X15" s="1922" t="s">
        <v>959</v>
      </c>
      <c r="Y15" s="2892"/>
      <c r="Z15" s="2915"/>
      <c r="AA15" s="2892"/>
      <c r="AB15" s="2892"/>
      <c r="AC15" s="2892"/>
      <c r="AD15" s="2892"/>
      <c r="AE15" s="2892"/>
      <c r="AF15" s="2892"/>
      <c r="AG15" s="2892"/>
      <c r="AH15" s="2892"/>
      <c r="AI15" s="2892"/>
      <c r="AJ15" s="2892"/>
      <c r="AK15" s="2892"/>
      <c r="AL15" s="2892"/>
      <c r="AM15" s="2892"/>
      <c r="AN15" s="2892"/>
      <c r="AO15" s="2819"/>
      <c r="AP15" s="2819"/>
      <c r="AQ15" s="2764"/>
    </row>
    <row r="16" spans="1:66" ht="208.5" customHeight="1" x14ac:dyDescent="0.2">
      <c r="A16" s="165"/>
      <c r="B16" s="1784"/>
      <c r="C16" s="1784"/>
      <c r="D16" s="1785"/>
      <c r="E16" s="1784"/>
      <c r="F16" s="1791"/>
      <c r="G16" s="1785"/>
      <c r="H16" s="1784"/>
      <c r="I16" s="1784"/>
      <c r="J16" s="2774"/>
      <c r="K16" s="2767"/>
      <c r="L16" s="2767"/>
      <c r="M16" s="2774"/>
      <c r="N16" s="2774"/>
      <c r="O16" s="2774"/>
      <c r="P16" s="2767"/>
      <c r="Q16" s="2922"/>
      <c r="R16" s="2882"/>
      <c r="S16" s="2776"/>
      <c r="T16" s="2903"/>
      <c r="U16" s="1492" t="s">
        <v>966</v>
      </c>
      <c r="V16" s="1489">
        <v>360000</v>
      </c>
      <c r="W16" s="1789">
        <v>20</v>
      </c>
      <c r="X16" s="1922" t="s">
        <v>959</v>
      </c>
      <c r="Y16" s="2892"/>
      <c r="Z16" s="2915"/>
      <c r="AA16" s="2892"/>
      <c r="AB16" s="2892"/>
      <c r="AC16" s="2892"/>
      <c r="AD16" s="2892"/>
      <c r="AE16" s="2892"/>
      <c r="AF16" s="2892"/>
      <c r="AG16" s="2892"/>
      <c r="AH16" s="2892"/>
      <c r="AI16" s="2892"/>
      <c r="AJ16" s="2892"/>
      <c r="AK16" s="2892"/>
      <c r="AL16" s="2892"/>
      <c r="AM16" s="2892"/>
      <c r="AN16" s="2892"/>
      <c r="AO16" s="2819"/>
      <c r="AP16" s="2819"/>
      <c r="AQ16" s="2764"/>
    </row>
    <row r="17" spans="1:43" ht="36" customHeight="1" x14ac:dyDescent="0.2">
      <c r="A17" s="165"/>
      <c r="B17" s="1784"/>
      <c r="C17" s="1784"/>
      <c r="D17" s="1785"/>
      <c r="E17" s="1784"/>
      <c r="F17" s="1791"/>
      <c r="G17" s="1785"/>
      <c r="H17" s="1784"/>
      <c r="I17" s="1784"/>
      <c r="J17" s="2774"/>
      <c r="K17" s="2767"/>
      <c r="L17" s="2767"/>
      <c r="M17" s="2774"/>
      <c r="N17" s="2774"/>
      <c r="O17" s="2774"/>
      <c r="P17" s="2767"/>
      <c r="Q17" s="2922"/>
      <c r="R17" s="2882"/>
      <c r="S17" s="2776"/>
      <c r="T17" s="2903"/>
      <c r="U17" s="1492" t="s">
        <v>967</v>
      </c>
      <c r="V17" s="1489">
        <v>360000</v>
      </c>
      <c r="W17" s="1789">
        <v>20</v>
      </c>
      <c r="X17" s="1922" t="s">
        <v>959</v>
      </c>
      <c r="Y17" s="2892"/>
      <c r="Z17" s="2915"/>
      <c r="AA17" s="2892"/>
      <c r="AB17" s="2892"/>
      <c r="AC17" s="2892"/>
      <c r="AD17" s="2892"/>
      <c r="AE17" s="2892"/>
      <c r="AF17" s="2892"/>
      <c r="AG17" s="2892"/>
      <c r="AH17" s="2892"/>
      <c r="AI17" s="2892"/>
      <c r="AJ17" s="2892"/>
      <c r="AK17" s="2892"/>
      <c r="AL17" s="2892"/>
      <c r="AM17" s="2892"/>
      <c r="AN17" s="2892"/>
      <c r="AO17" s="2819"/>
      <c r="AP17" s="2819"/>
      <c r="AQ17" s="2764"/>
    </row>
    <row r="18" spans="1:43" ht="36" customHeight="1" x14ac:dyDescent="0.2">
      <c r="A18" s="165"/>
      <c r="B18" s="1784"/>
      <c r="C18" s="1784"/>
      <c r="D18" s="1785"/>
      <c r="E18" s="1784"/>
      <c r="F18" s="1791"/>
      <c r="G18" s="1785"/>
      <c r="H18" s="1784"/>
      <c r="I18" s="1784"/>
      <c r="J18" s="2774"/>
      <c r="K18" s="2767"/>
      <c r="L18" s="2767"/>
      <c r="M18" s="2774"/>
      <c r="N18" s="2774"/>
      <c r="O18" s="2774"/>
      <c r="P18" s="2767"/>
      <c r="Q18" s="2922"/>
      <c r="R18" s="2882"/>
      <c r="S18" s="2776"/>
      <c r="T18" s="2903"/>
      <c r="U18" s="1492" t="s">
        <v>968</v>
      </c>
      <c r="V18" s="1489">
        <v>360000</v>
      </c>
      <c r="W18" s="1789">
        <v>20</v>
      </c>
      <c r="X18" s="1922" t="s">
        <v>959</v>
      </c>
      <c r="Y18" s="2892"/>
      <c r="Z18" s="2915"/>
      <c r="AA18" s="2892"/>
      <c r="AB18" s="2892"/>
      <c r="AC18" s="2892"/>
      <c r="AD18" s="2892"/>
      <c r="AE18" s="2892"/>
      <c r="AF18" s="2892"/>
      <c r="AG18" s="2892"/>
      <c r="AH18" s="2892"/>
      <c r="AI18" s="2892"/>
      <c r="AJ18" s="2892"/>
      <c r="AK18" s="2892"/>
      <c r="AL18" s="2892"/>
      <c r="AM18" s="2892"/>
      <c r="AN18" s="2892"/>
      <c r="AO18" s="2819"/>
      <c r="AP18" s="2819"/>
      <c r="AQ18" s="2764"/>
    </row>
    <row r="19" spans="1:43" ht="32.25" customHeight="1" x14ac:dyDescent="0.2">
      <c r="A19" s="165"/>
      <c r="B19" s="1784"/>
      <c r="C19" s="1784"/>
      <c r="D19" s="1785"/>
      <c r="E19" s="1784"/>
      <c r="F19" s="1791"/>
      <c r="G19" s="1785"/>
      <c r="H19" s="1784"/>
      <c r="I19" s="1784"/>
      <c r="J19" s="2774"/>
      <c r="K19" s="2767"/>
      <c r="L19" s="2767"/>
      <c r="M19" s="2774"/>
      <c r="N19" s="2774"/>
      <c r="O19" s="2774"/>
      <c r="P19" s="2767"/>
      <c r="Q19" s="2922"/>
      <c r="R19" s="2882"/>
      <c r="S19" s="2776"/>
      <c r="T19" s="2903"/>
      <c r="U19" s="1492" t="s">
        <v>969</v>
      </c>
      <c r="V19" s="1489">
        <v>360000</v>
      </c>
      <c r="W19" s="1789">
        <v>20</v>
      </c>
      <c r="X19" s="1922" t="s">
        <v>959</v>
      </c>
      <c r="Y19" s="2892"/>
      <c r="Z19" s="2915"/>
      <c r="AA19" s="2892"/>
      <c r="AB19" s="2892"/>
      <c r="AC19" s="2892"/>
      <c r="AD19" s="2892"/>
      <c r="AE19" s="2892"/>
      <c r="AF19" s="2892"/>
      <c r="AG19" s="2892"/>
      <c r="AH19" s="2892"/>
      <c r="AI19" s="2892"/>
      <c r="AJ19" s="2892"/>
      <c r="AK19" s="2892"/>
      <c r="AL19" s="2892"/>
      <c r="AM19" s="2892"/>
      <c r="AN19" s="2892"/>
      <c r="AO19" s="2819"/>
      <c r="AP19" s="2819"/>
      <c r="AQ19" s="2764"/>
    </row>
    <row r="20" spans="1:43" ht="33.75" customHeight="1" x14ac:dyDescent="0.2">
      <c r="A20" s="165"/>
      <c r="B20" s="1784"/>
      <c r="C20" s="1784"/>
      <c r="D20" s="1785"/>
      <c r="E20" s="1784"/>
      <c r="F20" s="1791"/>
      <c r="G20" s="1785"/>
      <c r="H20" s="1784"/>
      <c r="I20" s="1784"/>
      <c r="J20" s="2774"/>
      <c r="K20" s="2767"/>
      <c r="L20" s="2767"/>
      <c r="M20" s="2774"/>
      <c r="N20" s="2774"/>
      <c r="O20" s="2774"/>
      <c r="P20" s="2767"/>
      <c r="Q20" s="2922"/>
      <c r="R20" s="2882"/>
      <c r="S20" s="2776"/>
      <c r="T20" s="2903"/>
      <c r="U20" s="1492" t="s">
        <v>970</v>
      </c>
      <c r="V20" s="1489">
        <v>360000</v>
      </c>
      <c r="W20" s="1789">
        <v>20</v>
      </c>
      <c r="X20" s="1922" t="s">
        <v>959</v>
      </c>
      <c r="Y20" s="2892"/>
      <c r="Z20" s="2915"/>
      <c r="AA20" s="2892"/>
      <c r="AB20" s="2892"/>
      <c r="AC20" s="2892"/>
      <c r="AD20" s="2892"/>
      <c r="AE20" s="2892"/>
      <c r="AF20" s="2892"/>
      <c r="AG20" s="2892"/>
      <c r="AH20" s="2892"/>
      <c r="AI20" s="2892"/>
      <c r="AJ20" s="2892"/>
      <c r="AK20" s="2892"/>
      <c r="AL20" s="2892"/>
      <c r="AM20" s="2892"/>
      <c r="AN20" s="2892"/>
      <c r="AO20" s="2819"/>
      <c r="AP20" s="2819"/>
      <c r="AQ20" s="2764"/>
    </row>
    <row r="21" spans="1:43" ht="57" x14ac:dyDescent="0.2">
      <c r="A21" s="165"/>
      <c r="B21" s="1784"/>
      <c r="C21" s="1784"/>
      <c r="D21" s="1785"/>
      <c r="E21" s="1784"/>
      <c r="F21" s="1791"/>
      <c r="G21" s="1785"/>
      <c r="H21" s="1784"/>
      <c r="I21" s="1784"/>
      <c r="J21" s="2774"/>
      <c r="K21" s="2767"/>
      <c r="L21" s="2767"/>
      <c r="M21" s="2774"/>
      <c r="N21" s="2774"/>
      <c r="O21" s="2774"/>
      <c r="P21" s="2767"/>
      <c r="Q21" s="2922"/>
      <c r="R21" s="2882"/>
      <c r="S21" s="2776"/>
      <c r="T21" s="2903"/>
      <c r="U21" s="1492" t="s">
        <v>971</v>
      </c>
      <c r="V21" s="1489">
        <v>360000</v>
      </c>
      <c r="W21" s="1789">
        <v>20</v>
      </c>
      <c r="X21" s="1922" t="s">
        <v>959</v>
      </c>
      <c r="Y21" s="2892"/>
      <c r="Z21" s="2915"/>
      <c r="AA21" s="2892"/>
      <c r="AB21" s="2892"/>
      <c r="AC21" s="2892"/>
      <c r="AD21" s="2892"/>
      <c r="AE21" s="2892"/>
      <c r="AF21" s="2892"/>
      <c r="AG21" s="2892"/>
      <c r="AH21" s="2892"/>
      <c r="AI21" s="2892"/>
      <c r="AJ21" s="2892"/>
      <c r="AK21" s="2892"/>
      <c r="AL21" s="2892"/>
      <c r="AM21" s="2892"/>
      <c r="AN21" s="2892"/>
      <c r="AO21" s="2819"/>
      <c r="AP21" s="2819"/>
      <c r="AQ21" s="2764"/>
    </row>
    <row r="22" spans="1:43" ht="15" x14ac:dyDescent="0.2">
      <c r="A22" s="165"/>
      <c r="B22" s="1784"/>
      <c r="C22" s="1784"/>
      <c r="D22" s="1785"/>
      <c r="E22" s="1784"/>
      <c r="F22" s="1791"/>
      <c r="G22" s="1785"/>
      <c r="H22" s="1784"/>
      <c r="I22" s="1784"/>
      <c r="J22" s="2774"/>
      <c r="K22" s="2767"/>
      <c r="L22" s="2767"/>
      <c r="M22" s="2774"/>
      <c r="N22" s="2774"/>
      <c r="O22" s="2774"/>
      <c r="P22" s="2767"/>
      <c r="Q22" s="2922"/>
      <c r="R22" s="2882"/>
      <c r="S22" s="2776"/>
      <c r="T22" s="2903"/>
      <c r="U22" s="1492" t="s">
        <v>972</v>
      </c>
      <c r="V22" s="1501">
        <v>360000</v>
      </c>
      <c r="W22" s="1789">
        <v>20</v>
      </c>
      <c r="X22" s="1922" t="s">
        <v>959</v>
      </c>
      <c r="Y22" s="2892"/>
      <c r="Z22" s="2915"/>
      <c r="AA22" s="2892"/>
      <c r="AB22" s="2892"/>
      <c r="AC22" s="2892"/>
      <c r="AD22" s="2892"/>
      <c r="AE22" s="2892"/>
      <c r="AF22" s="2892"/>
      <c r="AG22" s="2892"/>
      <c r="AH22" s="2892"/>
      <c r="AI22" s="2892"/>
      <c r="AJ22" s="2892"/>
      <c r="AK22" s="2892"/>
      <c r="AL22" s="2892"/>
      <c r="AM22" s="2892"/>
      <c r="AN22" s="2892"/>
      <c r="AO22" s="2819"/>
      <c r="AP22" s="2819"/>
      <c r="AQ22" s="2764"/>
    </row>
    <row r="23" spans="1:43" ht="22.5" customHeight="1" x14ac:dyDescent="0.2">
      <c r="A23" s="165"/>
      <c r="B23" s="1784"/>
      <c r="C23" s="1784"/>
      <c r="D23" s="1785"/>
      <c r="E23" s="1784"/>
      <c r="F23" s="1791"/>
      <c r="G23" s="1785"/>
      <c r="H23" s="1784"/>
      <c r="I23" s="1784"/>
      <c r="J23" s="2774"/>
      <c r="K23" s="2767"/>
      <c r="L23" s="2767"/>
      <c r="M23" s="2774"/>
      <c r="N23" s="2774"/>
      <c r="O23" s="2774"/>
      <c r="P23" s="2767"/>
      <c r="Q23" s="2922"/>
      <c r="R23" s="2882"/>
      <c r="S23" s="2776"/>
      <c r="T23" s="2903"/>
      <c r="U23" s="1492" t="s">
        <v>973</v>
      </c>
      <c r="V23" s="1501">
        <v>360000</v>
      </c>
      <c r="W23" s="1789">
        <v>20</v>
      </c>
      <c r="X23" s="1922" t="s">
        <v>959</v>
      </c>
      <c r="Y23" s="2892"/>
      <c r="Z23" s="2915"/>
      <c r="AA23" s="2892"/>
      <c r="AB23" s="2892"/>
      <c r="AC23" s="2892"/>
      <c r="AD23" s="2892"/>
      <c r="AE23" s="2892"/>
      <c r="AF23" s="2892"/>
      <c r="AG23" s="2892"/>
      <c r="AH23" s="2892"/>
      <c r="AI23" s="2892"/>
      <c r="AJ23" s="2892"/>
      <c r="AK23" s="2892"/>
      <c r="AL23" s="2892"/>
      <c r="AM23" s="2892"/>
      <c r="AN23" s="2892"/>
      <c r="AO23" s="2819"/>
      <c r="AP23" s="2819"/>
      <c r="AQ23" s="2764"/>
    </row>
    <row r="24" spans="1:43" ht="22.5" customHeight="1" x14ac:dyDescent="0.2">
      <c r="A24" s="165"/>
      <c r="B24" s="1784"/>
      <c r="C24" s="1784"/>
      <c r="D24" s="1785"/>
      <c r="E24" s="1784"/>
      <c r="F24" s="1791"/>
      <c r="G24" s="1785"/>
      <c r="H24" s="1784"/>
      <c r="I24" s="1784"/>
      <c r="J24" s="2774"/>
      <c r="K24" s="2767"/>
      <c r="L24" s="2767"/>
      <c r="M24" s="2774"/>
      <c r="N24" s="2774"/>
      <c r="O24" s="2774"/>
      <c r="P24" s="2767"/>
      <c r="Q24" s="2922"/>
      <c r="R24" s="2882"/>
      <c r="S24" s="2776"/>
      <c r="T24" s="2903"/>
      <c r="U24" s="1492" t="s">
        <v>974</v>
      </c>
      <c r="V24" s="1501">
        <v>360000</v>
      </c>
      <c r="W24" s="1789">
        <v>20</v>
      </c>
      <c r="X24" s="1922" t="s">
        <v>959</v>
      </c>
      <c r="Y24" s="2892"/>
      <c r="Z24" s="2915"/>
      <c r="AA24" s="2892"/>
      <c r="AB24" s="2892"/>
      <c r="AC24" s="2892"/>
      <c r="AD24" s="2892"/>
      <c r="AE24" s="2892"/>
      <c r="AF24" s="2892"/>
      <c r="AG24" s="2892"/>
      <c r="AH24" s="2892"/>
      <c r="AI24" s="2892"/>
      <c r="AJ24" s="2892"/>
      <c r="AK24" s="2892"/>
      <c r="AL24" s="2892"/>
      <c r="AM24" s="2892"/>
      <c r="AN24" s="2892"/>
      <c r="AO24" s="2819"/>
      <c r="AP24" s="2819"/>
      <c r="AQ24" s="2764"/>
    </row>
    <row r="25" spans="1:43" ht="28.5" x14ac:dyDescent="0.2">
      <c r="A25" s="165"/>
      <c r="B25" s="1784"/>
      <c r="C25" s="1784"/>
      <c r="D25" s="1785"/>
      <c r="E25" s="1784"/>
      <c r="F25" s="1791"/>
      <c r="G25" s="1785"/>
      <c r="H25" s="1784"/>
      <c r="I25" s="1784"/>
      <c r="J25" s="2774"/>
      <c r="K25" s="2767"/>
      <c r="L25" s="2767"/>
      <c r="M25" s="2774"/>
      <c r="N25" s="2774"/>
      <c r="O25" s="2774"/>
      <c r="P25" s="2767"/>
      <c r="Q25" s="2922"/>
      <c r="R25" s="2882"/>
      <c r="S25" s="2776"/>
      <c r="T25" s="2903"/>
      <c r="U25" s="1492" t="s">
        <v>975</v>
      </c>
      <c r="V25" s="1501">
        <v>360000</v>
      </c>
      <c r="W25" s="1789">
        <v>20</v>
      </c>
      <c r="X25" s="1922" t="s">
        <v>959</v>
      </c>
      <c r="Y25" s="2892"/>
      <c r="Z25" s="2915"/>
      <c r="AA25" s="2892"/>
      <c r="AB25" s="2892"/>
      <c r="AC25" s="2892"/>
      <c r="AD25" s="2892"/>
      <c r="AE25" s="2892"/>
      <c r="AF25" s="2892"/>
      <c r="AG25" s="2892"/>
      <c r="AH25" s="2892"/>
      <c r="AI25" s="2892"/>
      <c r="AJ25" s="2892"/>
      <c r="AK25" s="2892"/>
      <c r="AL25" s="2892"/>
      <c r="AM25" s="2892"/>
      <c r="AN25" s="2892"/>
      <c r="AO25" s="2819"/>
      <c r="AP25" s="2819"/>
      <c r="AQ25" s="2764"/>
    </row>
    <row r="26" spans="1:43" ht="27.75" customHeight="1" x14ac:dyDescent="0.2">
      <c r="A26" s="165"/>
      <c r="B26" s="1784"/>
      <c r="C26" s="1784"/>
      <c r="D26" s="1785"/>
      <c r="E26" s="1784"/>
      <c r="F26" s="1791"/>
      <c r="G26" s="1785"/>
      <c r="H26" s="1784"/>
      <c r="I26" s="1784"/>
      <c r="J26" s="2774"/>
      <c r="K26" s="2767"/>
      <c r="L26" s="2767"/>
      <c r="M26" s="2774"/>
      <c r="N26" s="2774"/>
      <c r="O26" s="2774"/>
      <c r="P26" s="2767"/>
      <c r="Q26" s="2922"/>
      <c r="R26" s="2882"/>
      <c r="S26" s="2776"/>
      <c r="T26" s="2903"/>
      <c r="U26" s="1492" t="s">
        <v>976</v>
      </c>
      <c r="V26" s="1501">
        <v>360000</v>
      </c>
      <c r="W26" s="1789">
        <v>20</v>
      </c>
      <c r="X26" s="1922" t="s">
        <v>959</v>
      </c>
      <c r="Y26" s="2892"/>
      <c r="Z26" s="2915"/>
      <c r="AA26" s="2892"/>
      <c r="AB26" s="2892"/>
      <c r="AC26" s="2892"/>
      <c r="AD26" s="2892"/>
      <c r="AE26" s="2892"/>
      <c r="AF26" s="2892"/>
      <c r="AG26" s="2892"/>
      <c r="AH26" s="2892"/>
      <c r="AI26" s="2892"/>
      <c r="AJ26" s="2892"/>
      <c r="AK26" s="2892"/>
      <c r="AL26" s="2892"/>
      <c r="AM26" s="2892"/>
      <c r="AN26" s="2892"/>
      <c r="AO26" s="2819"/>
      <c r="AP26" s="2819"/>
      <c r="AQ26" s="2764"/>
    </row>
    <row r="27" spans="1:43" ht="57" x14ac:dyDescent="0.2">
      <c r="A27" s="165"/>
      <c r="B27" s="1784"/>
      <c r="C27" s="1784"/>
      <c r="D27" s="1785"/>
      <c r="E27" s="1784"/>
      <c r="F27" s="1791"/>
      <c r="G27" s="1785"/>
      <c r="H27" s="1784"/>
      <c r="I27" s="1784"/>
      <c r="J27" s="2774"/>
      <c r="K27" s="2767"/>
      <c r="L27" s="2767"/>
      <c r="M27" s="2774"/>
      <c r="N27" s="2774"/>
      <c r="O27" s="2774"/>
      <c r="P27" s="2767"/>
      <c r="Q27" s="2922"/>
      <c r="R27" s="2882"/>
      <c r="S27" s="2776"/>
      <c r="T27" s="2903"/>
      <c r="U27" s="1492" t="s">
        <v>977</v>
      </c>
      <c r="V27" s="1501">
        <v>360000</v>
      </c>
      <c r="W27" s="1789">
        <v>20</v>
      </c>
      <c r="X27" s="1922" t="s">
        <v>959</v>
      </c>
      <c r="Y27" s="2892"/>
      <c r="Z27" s="2915"/>
      <c r="AA27" s="2892"/>
      <c r="AB27" s="2892"/>
      <c r="AC27" s="2892"/>
      <c r="AD27" s="2892"/>
      <c r="AE27" s="2892"/>
      <c r="AF27" s="2892"/>
      <c r="AG27" s="2892"/>
      <c r="AH27" s="2892"/>
      <c r="AI27" s="2892"/>
      <c r="AJ27" s="2892"/>
      <c r="AK27" s="2892"/>
      <c r="AL27" s="2892"/>
      <c r="AM27" s="2892"/>
      <c r="AN27" s="2892"/>
      <c r="AO27" s="2819"/>
      <c r="AP27" s="2819"/>
      <c r="AQ27" s="2764"/>
    </row>
    <row r="28" spans="1:43" ht="59.25" customHeight="1" x14ac:dyDescent="0.2">
      <c r="A28" s="165"/>
      <c r="B28" s="1784"/>
      <c r="C28" s="1784"/>
      <c r="D28" s="1785"/>
      <c r="E28" s="1784"/>
      <c r="F28" s="1791"/>
      <c r="G28" s="1785"/>
      <c r="H28" s="1784"/>
      <c r="I28" s="1784"/>
      <c r="J28" s="2774"/>
      <c r="K28" s="2767"/>
      <c r="L28" s="2767"/>
      <c r="M28" s="2774"/>
      <c r="N28" s="2774"/>
      <c r="O28" s="2774"/>
      <c r="P28" s="2767"/>
      <c r="Q28" s="2922"/>
      <c r="R28" s="2882"/>
      <c r="S28" s="2776"/>
      <c r="T28" s="2903"/>
      <c r="U28" s="1492" t="s">
        <v>978</v>
      </c>
      <c r="V28" s="1501">
        <v>360000</v>
      </c>
      <c r="W28" s="1789">
        <v>20</v>
      </c>
      <c r="X28" s="1922" t="s">
        <v>959</v>
      </c>
      <c r="Y28" s="2892"/>
      <c r="Z28" s="2915"/>
      <c r="AA28" s="2892"/>
      <c r="AB28" s="2892"/>
      <c r="AC28" s="2892"/>
      <c r="AD28" s="2892"/>
      <c r="AE28" s="2892"/>
      <c r="AF28" s="2892"/>
      <c r="AG28" s="2892"/>
      <c r="AH28" s="2892"/>
      <c r="AI28" s="2892"/>
      <c r="AJ28" s="2892"/>
      <c r="AK28" s="2892"/>
      <c r="AL28" s="2892"/>
      <c r="AM28" s="2892"/>
      <c r="AN28" s="2892"/>
      <c r="AO28" s="2819"/>
      <c r="AP28" s="2819"/>
      <c r="AQ28" s="2764"/>
    </row>
    <row r="29" spans="1:43" ht="60" customHeight="1" x14ac:dyDescent="0.2">
      <c r="A29" s="165"/>
      <c r="B29" s="1784"/>
      <c r="C29" s="1784"/>
      <c r="D29" s="1785"/>
      <c r="E29" s="1784"/>
      <c r="F29" s="1791"/>
      <c r="G29" s="1785"/>
      <c r="H29" s="1784"/>
      <c r="I29" s="1784"/>
      <c r="J29" s="2774"/>
      <c r="K29" s="2767"/>
      <c r="L29" s="2767"/>
      <c r="M29" s="2774"/>
      <c r="N29" s="2774"/>
      <c r="O29" s="2774"/>
      <c r="P29" s="2767"/>
      <c r="Q29" s="2922"/>
      <c r="R29" s="2882"/>
      <c r="S29" s="2776"/>
      <c r="T29" s="2903"/>
      <c r="U29" s="1492" t="s">
        <v>979</v>
      </c>
      <c r="V29" s="1502">
        <v>5400000</v>
      </c>
      <c r="W29" s="1789">
        <v>20</v>
      </c>
      <c r="X29" s="1922" t="s">
        <v>959</v>
      </c>
      <c r="Y29" s="2892"/>
      <c r="Z29" s="2915"/>
      <c r="AA29" s="2892"/>
      <c r="AB29" s="2892"/>
      <c r="AC29" s="2892"/>
      <c r="AD29" s="2892"/>
      <c r="AE29" s="2892"/>
      <c r="AF29" s="2892"/>
      <c r="AG29" s="2892"/>
      <c r="AH29" s="2892"/>
      <c r="AI29" s="2892"/>
      <c r="AJ29" s="2892"/>
      <c r="AK29" s="2892"/>
      <c r="AL29" s="2892"/>
      <c r="AM29" s="2892"/>
      <c r="AN29" s="2892"/>
      <c r="AO29" s="2819"/>
      <c r="AP29" s="2819"/>
      <c r="AQ29" s="2764"/>
    </row>
    <row r="30" spans="1:43" ht="174" customHeight="1" x14ac:dyDescent="0.2">
      <c r="A30" s="165"/>
      <c r="B30" s="1784"/>
      <c r="C30" s="1784"/>
      <c r="D30" s="1785"/>
      <c r="E30" s="1784"/>
      <c r="F30" s="1791"/>
      <c r="G30" s="1785"/>
      <c r="H30" s="1784"/>
      <c r="I30" s="1784"/>
      <c r="J30" s="2774"/>
      <c r="K30" s="2767"/>
      <c r="L30" s="2767"/>
      <c r="M30" s="2774"/>
      <c r="N30" s="2774"/>
      <c r="O30" s="2774"/>
      <c r="P30" s="2767"/>
      <c r="Q30" s="2922"/>
      <c r="R30" s="2882"/>
      <c r="S30" s="2776"/>
      <c r="T30" s="2903"/>
      <c r="U30" s="1492" t="s">
        <v>980</v>
      </c>
      <c r="V30" s="1502">
        <v>3600000</v>
      </c>
      <c r="W30" s="1789">
        <v>20</v>
      </c>
      <c r="X30" s="1922" t="s">
        <v>959</v>
      </c>
      <c r="Y30" s="2892"/>
      <c r="Z30" s="2915"/>
      <c r="AA30" s="2892"/>
      <c r="AB30" s="2892"/>
      <c r="AC30" s="2892"/>
      <c r="AD30" s="2892"/>
      <c r="AE30" s="2892"/>
      <c r="AF30" s="2892"/>
      <c r="AG30" s="2892"/>
      <c r="AH30" s="2892"/>
      <c r="AI30" s="2892"/>
      <c r="AJ30" s="2892"/>
      <c r="AK30" s="2892"/>
      <c r="AL30" s="2892"/>
      <c r="AM30" s="2892"/>
      <c r="AN30" s="2892"/>
      <c r="AO30" s="2819"/>
      <c r="AP30" s="2819"/>
      <c r="AQ30" s="2764"/>
    </row>
    <row r="31" spans="1:43" ht="24.75" customHeight="1" x14ac:dyDescent="0.2">
      <c r="A31" s="165"/>
      <c r="B31" s="1784"/>
      <c r="C31" s="1784"/>
      <c r="D31" s="1785"/>
      <c r="E31" s="1784"/>
      <c r="F31" s="1791"/>
      <c r="G31" s="1785"/>
      <c r="H31" s="1784"/>
      <c r="I31" s="1784"/>
      <c r="J31" s="2774"/>
      <c r="K31" s="2767"/>
      <c r="L31" s="2767"/>
      <c r="M31" s="2774"/>
      <c r="N31" s="2774"/>
      <c r="O31" s="2774"/>
      <c r="P31" s="2767"/>
      <c r="Q31" s="2922"/>
      <c r="R31" s="2882"/>
      <c r="S31" s="2776"/>
      <c r="T31" s="2903"/>
      <c r="U31" s="1492" t="s">
        <v>981</v>
      </c>
      <c r="V31" s="1502">
        <v>1200000</v>
      </c>
      <c r="W31" s="1789">
        <v>20</v>
      </c>
      <c r="X31" s="1922" t="s">
        <v>959</v>
      </c>
      <c r="Y31" s="2892"/>
      <c r="Z31" s="2915"/>
      <c r="AA31" s="2892"/>
      <c r="AB31" s="2892"/>
      <c r="AC31" s="2892"/>
      <c r="AD31" s="2892"/>
      <c r="AE31" s="2892"/>
      <c r="AF31" s="2892"/>
      <c r="AG31" s="2892"/>
      <c r="AH31" s="2892"/>
      <c r="AI31" s="2892"/>
      <c r="AJ31" s="2892"/>
      <c r="AK31" s="2892"/>
      <c r="AL31" s="2892"/>
      <c r="AM31" s="2892"/>
      <c r="AN31" s="2892"/>
      <c r="AO31" s="2819"/>
      <c r="AP31" s="2819"/>
      <c r="AQ31" s="2764"/>
    </row>
    <row r="32" spans="1:43" ht="24.75" customHeight="1" x14ac:dyDescent="0.2">
      <c r="A32" s="165"/>
      <c r="B32" s="1784"/>
      <c r="C32" s="1784"/>
      <c r="D32" s="1785"/>
      <c r="E32" s="1784"/>
      <c r="F32" s="1791"/>
      <c r="G32" s="1796"/>
      <c r="H32" s="1784"/>
      <c r="I32" s="1784"/>
      <c r="J32" s="2774"/>
      <c r="K32" s="2767"/>
      <c r="L32" s="2767"/>
      <c r="M32" s="2774"/>
      <c r="N32" s="2774"/>
      <c r="O32" s="2774"/>
      <c r="P32" s="2767"/>
      <c r="Q32" s="2922"/>
      <c r="R32" s="2882"/>
      <c r="S32" s="2776"/>
      <c r="T32" s="2903"/>
      <c r="U32" s="1492" t="s">
        <v>982</v>
      </c>
      <c r="V32" s="1502">
        <v>40000</v>
      </c>
      <c r="W32" s="1789">
        <v>20</v>
      </c>
      <c r="X32" s="1922" t="s">
        <v>959</v>
      </c>
      <c r="Y32" s="2892"/>
      <c r="Z32" s="2915"/>
      <c r="AA32" s="2892"/>
      <c r="AB32" s="2892"/>
      <c r="AC32" s="2892"/>
      <c r="AD32" s="2892"/>
      <c r="AE32" s="2892"/>
      <c r="AF32" s="2892"/>
      <c r="AG32" s="2892"/>
      <c r="AH32" s="2892"/>
      <c r="AI32" s="2892"/>
      <c r="AJ32" s="2892"/>
      <c r="AK32" s="2892"/>
      <c r="AL32" s="2892"/>
      <c r="AM32" s="2892"/>
      <c r="AN32" s="2892"/>
      <c r="AO32" s="2819"/>
      <c r="AP32" s="2819"/>
      <c r="AQ32" s="2764"/>
    </row>
    <row r="33" spans="1:43" ht="24.75" customHeight="1" x14ac:dyDescent="0.2">
      <c r="A33" s="166"/>
      <c r="B33" s="167"/>
      <c r="C33" s="167"/>
      <c r="D33" s="168"/>
      <c r="E33" s="167"/>
      <c r="F33" s="1800"/>
      <c r="G33" s="156">
        <v>84</v>
      </c>
      <c r="H33" s="2917" t="s">
        <v>983</v>
      </c>
      <c r="I33" s="2917"/>
      <c r="J33" s="2917"/>
      <c r="K33" s="2917"/>
      <c r="L33" s="157"/>
      <c r="M33" s="158"/>
      <c r="N33" s="158"/>
      <c r="O33" s="158"/>
      <c r="P33" s="157"/>
      <c r="Q33" s="159"/>
      <c r="R33" s="1493"/>
      <c r="S33" s="1494"/>
      <c r="T33" s="1494"/>
      <c r="U33" s="1495"/>
      <c r="V33" s="622"/>
      <c r="W33" s="172"/>
      <c r="X33" s="172"/>
      <c r="Y33" s="174"/>
      <c r="Z33" s="173"/>
      <c r="AA33" s="173"/>
      <c r="AB33" s="173"/>
      <c r="AC33" s="173"/>
      <c r="AD33" s="173"/>
      <c r="AE33" s="173"/>
      <c r="AF33" s="173"/>
      <c r="AG33" s="173"/>
      <c r="AH33" s="173"/>
      <c r="AI33" s="173"/>
      <c r="AJ33" s="173"/>
      <c r="AK33" s="173"/>
      <c r="AL33" s="173"/>
      <c r="AM33" s="173"/>
      <c r="AN33" s="173"/>
      <c r="AO33" s="175"/>
      <c r="AP33" s="176"/>
      <c r="AQ33" s="177"/>
    </row>
    <row r="34" spans="1:43" ht="21.75" customHeight="1" x14ac:dyDescent="0.2">
      <c r="A34" s="1798"/>
      <c r="B34" s="1800"/>
      <c r="C34" s="1800"/>
      <c r="D34" s="1799"/>
      <c r="E34" s="1800"/>
      <c r="F34" s="1800"/>
      <c r="G34" s="1799"/>
      <c r="H34" s="1800"/>
      <c r="I34" s="1800"/>
      <c r="J34" s="2774">
        <v>248</v>
      </c>
      <c r="K34" s="2767" t="s">
        <v>984</v>
      </c>
      <c r="L34" s="2767" t="s">
        <v>985</v>
      </c>
      <c r="M34" s="2907">
        <v>12</v>
      </c>
      <c r="N34" s="2774" t="s">
        <v>986</v>
      </c>
      <c r="O34" s="2774" t="s">
        <v>987</v>
      </c>
      <c r="P34" s="2767" t="s">
        <v>988</v>
      </c>
      <c r="Q34" s="2905">
        <v>1</v>
      </c>
      <c r="R34" s="2906">
        <f>SUM(V34:V49)</f>
        <v>58500000</v>
      </c>
      <c r="S34" s="2918" t="s">
        <v>989</v>
      </c>
      <c r="T34" s="2776" t="s">
        <v>990</v>
      </c>
      <c r="U34" s="1921" t="s">
        <v>991</v>
      </c>
      <c r="V34" s="1503">
        <v>500000</v>
      </c>
      <c r="W34" s="1789">
        <v>20</v>
      </c>
      <c r="X34" s="1922" t="s">
        <v>959</v>
      </c>
      <c r="Y34" s="2892">
        <v>294321</v>
      </c>
      <c r="Z34" s="2915">
        <v>283947</v>
      </c>
      <c r="AA34" s="2892">
        <v>135754</v>
      </c>
      <c r="AB34" s="2892">
        <v>44640</v>
      </c>
      <c r="AC34" s="2892">
        <v>308178</v>
      </c>
      <c r="AD34" s="2892">
        <v>89696</v>
      </c>
      <c r="AE34" s="2892">
        <v>2145</v>
      </c>
      <c r="AF34" s="2892">
        <v>12718</v>
      </c>
      <c r="AG34" s="2892">
        <v>26</v>
      </c>
      <c r="AH34" s="2892">
        <v>37</v>
      </c>
      <c r="AI34" s="2892"/>
      <c r="AJ34" s="2892"/>
      <c r="AK34" s="2892">
        <v>54612</v>
      </c>
      <c r="AL34" s="2892">
        <v>16982</v>
      </c>
      <c r="AM34" s="2892">
        <v>1010</v>
      </c>
      <c r="AN34" s="2892">
        <f>Y34+Z34</f>
        <v>578268</v>
      </c>
      <c r="AO34" s="2819">
        <v>43102</v>
      </c>
      <c r="AP34" s="2819">
        <v>43465</v>
      </c>
      <c r="AQ34" s="2764" t="s">
        <v>960</v>
      </c>
    </row>
    <row r="35" spans="1:43" ht="23.25" customHeight="1" x14ac:dyDescent="0.2">
      <c r="A35" s="1798"/>
      <c r="B35" s="1800"/>
      <c r="C35" s="1800"/>
      <c r="D35" s="1799"/>
      <c r="E35" s="1800"/>
      <c r="F35" s="1800"/>
      <c r="G35" s="1799"/>
      <c r="H35" s="1800"/>
      <c r="I35" s="1800"/>
      <c r="J35" s="2774"/>
      <c r="K35" s="2767"/>
      <c r="L35" s="2767"/>
      <c r="M35" s="2907"/>
      <c r="N35" s="2774"/>
      <c r="O35" s="2774"/>
      <c r="P35" s="2767"/>
      <c r="Q35" s="2905"/>
      <c r="R35" s="2906"/>
      <c r="S35" s="2918"/>
      <c r="T35" s="2776"/>
      <c r="U35" s="1921" t="s">
        <v>992</v>
      </c>
      <c r="V35" s="1503">
        <v>500000</v>
      </c>
      <c r="W35" s="1789">
        <v>88</v>
      </c>
      <c r="X35" s="1922" t="s">
        <v>942</v>
      </c>
      <c r="Y35" s="2892"/>
      <c r="Z35" s="2915"/>
      <c r="AA35" s="2892"/>
      <c r="AB35" s="2892"/>
      <c r="AC35" s="2892"/>
      <c r="AD35" s="2892"/>
      <c r="AE35" s="2892"/>
      <c r="AF35" s="2892"/>
      <c r="AG35" s="2892"/>
      <c r="AH35" s="2892"/>
      <c r="AI35" s="2892"/>
      <c r="AJ35" s="2892"/>
      <c r="AK35" s="2892"/>
      <c r="AL35" s="2892"/>
      <c r="AM35" s="2892"/>
      <c r="AN35" s="2892"/>
      <c r="AO35" s="2819"/>
      <c r="AP35" s="2819"/>
      <c r="AQ35" s="2764"/>
    </row>
    <row r="36" spans="1:43" ht="24" customHeight="1" x14ac:dyDescent="0.2">
      <c r="A36" s="1798"/>
      <c r="B36" s="1800"/>
      <c r="C36" s="1800"/>
      <c r="D36" s="1799"/>
      <c r="E36" s="1800"/>
      <c r="F36" s="1800"/>
      <c r="G36" s="1799"/>
      <c r="H36" s="1800"/>
      <c r="I36" s="1800"/>
      <c r="J36" s="2774"/>
      <c r="K36" s="2767"/>
      <c r="L36" s="2767"/>
      <c r="M36" s="2907"/>
      <c r="N36" s="2774"/>
      <c r="O36" s="2774"/>
      <c r="P36" s="2767"/>
      <c r="Q36" s="2905"/>
      <c r="R36" s="2906"/>
      <c r="S36" s="2918"/>
      <c r="T36" s="2776"/>
      <c r="U36" s="1921" t="s">
        <v>993</v>
      </c>
      <c r="V36" s="1503">
        <v>500000</v>
      </c>
      <c r="W36" s="1789">
        <v>20</v>
      </c>
      <c r="X36" s="1922" t="s">
        <v>959</v>
      </c>
      <c r="Y36" s="2892"/>
      <c r="Z36" s="2915"/>
      <c r="AA36" s="2892"/>
      <c r="AB36" s="2892"/>
      <c r="AC36" s="2892"/>
      <c r="AD36" s="2892"/>
      <c r="AE36" s="2892"/>
      <c r="AF36" s="2892"/>
      <c r="AG36" s="2892"/>
      <c r="AH36" s="2892"/>
      <c r="AI36" s="2892"/>
      <c r="AJ36" s="2892"/>
      <c r="AK36" s="2892"/>
      <c r="AL36" s="2892"/>
      <c r="AM36" s="2892"/>
      <c r="AN36" s="2892"/>
      <c r="AO36" s="2819"/>
      <c r="AP36" s="2819"/>
      <c r="AQ36" s="2764"/>
    </row>
    <row r="37" spans="1:43" ht="24" customHeight="1" x14ac:dyDescent="0.2">
      <c r="A37" s="1798"/>
      <c r="B37" s="1800"/>
      <c r="C37" s="1800"/>
      <c r="D37" s="1799"/>
      <c r="E37" s="1800"/>
      <c r="F37" s="1800"/>
      <c r="G37" s="1799"/>
      <c r="H37" s="1800"/>
      <c r="I37" s="1800"/>
      <c r="J37" s="2774"/>
      <c r="K37" s="2767"/>
      <c r="L37" s="2767"/>
      <c r="M37" s="2907"/>
      <c r="N37" s="2774"/>
      <c r="O37" s="2774"/>
      <c r="P37" s="2767"/>
      <c r="Q37" s="2905"/>
      <c r="R37" s="2906"/>
      <c r="S37" s="2918"/>
      <c r="T37" s="2776"/>
      <c r="U37" s="1921" t="s">
        <v>994</v>
      </c>
      <c r="V37" s="1503">
        <v>1000000</v>
      </c>
      <c r="W37" s="1789">
        <v>88</v>
      </c>
      <c r="X37" s="1922" t="s">
        <v>942</v>
      </c>
      <c r="Y37" s="2892"/>
      <c r="Z37" s="2915"/>
      <c r="AA37" s="2892"/>
      <c r="AB37" s="2892"/>
      <c r="AC37" s="2892"/>
      <c r="AD37" s="2892"/>
      <c r="AE37" s="2892"/>
      <c r="AF37" s="2892"/>
      <c r="AG37" s="2892"/>
      <c r="AH37" s="2892"/>
      <c r="AI37" s="2892"/>
      <c r="AJ37" s="2892"/>
      <c r="AK37" s="2892"/>
      <c r="AL37" s="2892"/>
      <c r="AM37" s="2892"/>
      <c r="AN37" s="2892"/>
      <c r="AO37" s="2819"/>
      <c r="AP37" s="2819"/>
      <c r="AQ37" s="2764"/>
    </row>
    <row r="38" spans="1:43" ht="23.25" customHeight="1" x14ac:dyDescent="0.2">
      <c r="A38" s="1798"/>
      <c r="B38" s="1800"/>
      <c r="C38" s="1800"/>
      <c r="D38" s="1799"/>
      <c r="E38" s="1800"/>
      <c r="F38" s="1800"/>
      <c r="G38" s="1799"/>
      <c r="H38" s="1800"/>
      <c r="I38" s="1800"/>
      <c r="J38" s="2774"/>
      <c r="K38" s="2767"/>
      <c r="L38" s="2767"/>
      <c r="M38" s="2907"/>
      <c r="N38" s="2774"/>
      <c r="O38" s="2774"/>
      <c r="P38" s="2767"/>
      <c r="Q38" s="2905"/>
      <c r="R38" s="2906"/>
      <c r="S38" s="2918"/>
      <c r="T38" s="2776"/>
      <c r="U38" s="1921" t="s">
        <v>995</v>
      </c>
      <c r="V38" s="1503">
        <v>1000000</v>
      </c>
      <c r="W38" s="1789">
        <v>20</v>
      </c>
      <c r="X38" s="1922" t="s">
        <v>959</v>
      </c>
      <c r="Y38" s="2892"/>
      <c r="Z38" s="2915"/>
      <c r="AA38" s="2892"/>
      <c r="AB38" s="2892"/>
      <c r="AC38" s="2892"/>
      <c r="AD38" s="2892"/>
      <c r="AE38" s="2892"/>
      <c r="AF38" s="2892"/>
      <c r="AG38" s="2892"/>
      <c r="AH38" s="2892"/>
      <c r="AI38" s="2892"/>
      <c r="AJ38" s="2892"/>
      <c r="AK38" s="2892"/>
      <c r="AL38" s="2892"/>
      <c r="AM38" s="2892"/>
      <c r="AN38" s="2892"/>
      <c r="AO38" s="2819"/>
      <c r="AP38" s="2819"/>
      <c r="AQ38" s="2764"/>
    </row>
    <row r="39" spans="1:43" ht="21" customHeight="1" x14ac:dyDescent="0.2">
      <c r="A39" s="1798"/>
      <c r="B39" s="1800"/>
      <c r="C39" s="1800"/>
      <c r="D39" s="1799"/>
      <c r="E39" s="1800"/>
      <c r="F39" s="1800"/>
      <c r="G39" s="1799"/>
      <c r="H39" s="1800"/>
      <c r="I39" s="1800"/>
      <c r="J39" s="2774"/>
      <c r="K39" s="2767"/>
      <c r="L39" s="2767"/>
      <c r="M39" s="2907"/>
      <c r="N39" s="2774"/>
      <c r="O39" s="2774"/>
      <c r="P39" s="2767"/>
      <c r="Q39" s="2905"/>
      <c r="R39" s="2906"/>
      <c r="S39" s="2918"/>
      <c r="T39" s="2776"/>
      <c r="U39" s="1921" t="s">
        <v>996</v>
      </c>
      <c r="V39" s="1503">
        <v>1500000</v>
      </c>
      <c r="W39" s="1789">
        <v>88</v>
      </c>
      <c r="X39" s="1922" t="s">
        <v>942</v>
      </c>
      <c r="Y39" s="2892"/>
      <c r="Z39" s="2915"/>
      <c r="AA39" s="2892"/>
      <c r="AB39" s="2892"/>
      <c r="AC39" s="2892"/>
      <c r="AD39" s="2892"/>
      <c r="AE39" s="2892"/>
      <c r="AF39" s="2892"/>
      <c r="AG39" s="2892"/>
      <c r="AH39" s="2892"/>
      <c r="AI39" s="2892"/>
      <c r="AJ39" s="2892"/>
      <c r="AK39" s="2892"/>
      <c r="AL39" s="2892"/>
      <c r="AM39" s="2892"/>
      <c r="AN39" s="2892"/>
      <c r="AO39" s="2819"/>
      <c r="AP39" s="2819"/>
      <c r="AQ39" s="2764"/>
    </row>
    <row r="40" spans="1:43" ht="24.75" customHeight="1" x14ac:dyDescent="0.2">
      <c r="A40" s="1798"/>
      <c r="B40" s="1800"/>
      <c r="C40" s="1800"/>
      <c r="D40" s="1799"/>
      <c r="E40" s="1800"/>
      <c r="F40" s="1800"/>
      <c r="G40" s="1799"/>
      <c r="H40" s="1800"/>
      <c r="I40" s="1800"/>
      <c r="J40" s="2774"/>
      <c r="K40" s="2767"/>
      <c r="L40" s="2767"/>
      <c r="M40" s="2907"/>
      <c r="N40" s="2774"/>
      <c r="O40" s="2774"/>
      <c r="P40" s="2767"/>
      <c r="Q40" s="2905"/>
      <c r="R40" s="2906"/>
      <c r="S40" s="2918"/>
      <c r="T40" s="2776"/>
      <c r="U40" s="1921" t="s">
        <v>997</v>
      </c>
      <c r="V40" s="1503">
        <v>500000</v>
      </c>
      <c r="W40" s="1789">
        <v>20</v>
      </c>
      <c r="X40" s="1922" t="s">
        <v>959</v>
      </c>
      <c r="Y40" s="2892"/>
      <c r="Z40" s="2915"/>
      <c r="AA40" s="2892"/>
      <c r="AB40" s="2892"/>
      <c r="AC40" s="2892"/>
      <c r="AD40" s="2892"/>
      <c r="AE40" s="2892"/>
      <c r="AF40" s="2892"/>
      <c r="AG40" s="2892"/>
      <c r="AH40" s="2892"/>
      <c r="AI40" s="2892"/>
      <c r="AJ40" s="2892"/>
      <c r="AK40" s="2892"/>
      <c r="AL40" s="2892"/>
      <c r="AM40" s="2892"/>
      <c r="AN40" s="2892"/>
      <c r="AO40" s="2819"/>
      <c r="AP40" s="2819"/>
      <c r="AQ40" s="2764"/>
    </row>
    <row r="41" spans="1:43" ht="24.75" customHeight="1" x14ac:dyDescent="0.2">
      <c r="A41" s="1798"/>
      <c r="B41" s="1800"/>
      <c r="C41" s="1800"/>
      <c r="D41" s="1799"/>
      <c r="E41" s="1800"/>
      <c r="F41" s="1800"/>
      <c r="G41" s="1799"/>
      <c r="H41" s="1800"/>
      <c r="I41" s="1800"/>
      <c r="J41" s="2774"/>
      <c r="K41" s="2767"/>
      <c r="L41" s="2767"/>
      <c r="M41" s="2907"/>
      <c r="N41" s="2774"/>
      <c r="O41" s="2774"/>
      <c r="P41" s="2767"/>
      <c r="Q41" s="2905"/>
      <c r="R41" s="2906"/>
      <c r="S41" s="2918"/>
      <c r="T41" s="2776"/>
      <c r="U41" s="1921" t="s">
        <v>998</v>
      </c>
      <c r="V41" s="1503">
        <v>1000000</v>
      </c>
      <c r="W41" s="1789">
        <v>88</v>
      </c>
      <c r="X41" s="1922" t="s">
        <v>942</v>
      </c>
      <c r="Y41" s="2892"/>
      <c r="Z41" s="2915"/>
      <c r="AA41" s="2892"/>
      <c r="AB41" s="2892"/>
      <c r="AC41" s="2892"/>
      <c r="AD41" s="2892"/>
      <c r="AE41" s="2892"/>
      <c r="AF41" s="2892"/>
      <c r="AG41" s="2892"/>
      <c r="AH41" s="2892"/>
      <c r="AI41" s="2892"/>
      <c r="AJ41" s="2892"/>
      <c r="AK41" s="2892"/>
      <c r="AL41" s="2892"/>
      <c r="AM41" s="2892"/>
      <c r="AN41" s="2892"/>
      <c r="AO41" s="2819"/>
      <c r="AP41" s="2819"/>
      <c r="AQ41" s="2764"/>
    </row>
    <row r="42" spans="1:43" ht="23.25" customHeight="1" x14ac:dyDescent="0.2">
      <c r="A42" s="1798"/>
      <c r="B42" s="1800"/>
      <c r="C42" s="1800"/>
      <c r="D42" s="1799"/>
      <c r="E42" s="1800"/>
      <c r="F42" s="1800"/>
      <c r="G42" s="1799"/>
      <c r="H42" s="1800"/>
      <c r="I42" s="1800"/>
      <c r="J42" s="2774"/>
      <c r="K42" s="2767"/>
      <c r="L42" s="2767"/>
      <c r="M42" s="2907"/>
      <c r="N42" s="2774"/>
      <c r="O42" s="2774"/>
      <c r="P42" s="2767"/>
      <c r="Q42" s="2905"/>
      <c r="R42" s="2906"/>
      <c r="S42" s="2918"/>
      <c r="T42" s="2776"/>
      <c r="U42" s="1921" t="s">
        <v>999</v>
      </c>
      <c r="V42" s="1503">
        <v>500000</v>
      </c>
      <c r="W42" s="1789">
        <v>20</v>
      </c>
      <c r="X42" s="1922" t="s">
        <v>959</v>
      </c>
      <c r="Y42" s="2892"/>
      <c r="Z42" s="2915"/>
      <c r="AA42" s="2892"/>
      <c r="AB42" s="2892"/>
      <c r="AC42" s="2892"/>
      <c r="AD42" s="2892"/>
      <c r="AE42" s="2892"/>
      <c r="AF42" s="2892"/>
      <c r="AG42" s="2892"/>
      <c r="AH42" s="2892"/>
      <c r="AI42" s="2892"/>
      <c r="AJ42" s="2892"/>
      <c r="AK42" s="2892"/>
      <c r="AL42" s="2892"/>
      <c r="AM42" s="2892"/>
      <c r="AN42" s="2892"/>
      <c r="AO42" s="2819"/>
      <c r="AP42" s="2819"/>
      <c r="AQ42" s="2764"/>
    </row>
    <row r="43" spans="1:43" ht="23.25" customHeight="1" x14ac:dyDescent="0.2">
      <c r="A43" s="1798"/>
      <c r="B43" s="1800"/>
      <c r="C43" s="1800"/>
      <c r="D43" s="1799"/>
      <c r="E43" s="1800"/>
      <c r="F43" s="1800"/>
      <c r="G43" s="1799"/>
      <c r="H43" s="1800"/>
      <c r="I43" s="1800"/>
      <c r="J43" s="2774"/>
      <c r="K43" s="2767"/>
      <c r="L43" s="2767"/>
      <c r="M43" s="2907"/>
      <c r="N43" s="2774"/>
      <c r="O43" s="2774"/>
      <c r="P43" s="2767"/>
      <c r="Q43" s="2905"/>
      <c r="R43" s="2906"/>
      <c r="S43" s="2918"/>
      <c r="T43" s="2776"/>
      <c r="U43" s="1921" t="s">
        <v>1000</v>
      </c>
      <c r="V43" s="1503">
        <v>500000</v>
      </c>
      <c r="W43" s="1789">
        <v>88</v>
      </c>
      <c r="X43" s="1922" t="s">
        <v>942</v>
      </c>
      <c r="Y43" s="2892"/>
      <c r="Z43" s="2915"/>
      <c r="AA43" s="2892"/>
      <c r="AB43" s="2892"/>
      <c r="AC43" s="2892"/>
      <c r="AD43" s="2892"/>
      <c r="AE43" s="2892"/>
      <c r="AF43" s="2892"/>
      <c r="AG43" s="2892"/>
      <c r="AH43" s="2892"/>
      <c r="AI43" s="2892"/>
      <c r="AJ43" s="2892"/>
      <c r="AK43" s="2892"/>
      <c r="AL43" s="2892"/>
      <c r="AM43" s="2892"/>
      <c r="AN43" s="2892"/>
      <c r="AO43" s="2819"/>
      <c r="AP43" s="2819"/>
      <c r="AQ43" s="2764"/>
    </row>
    <row r="44" spans="1:43" ht="78" customHeight="1" x14ac:dyDescent="0.2">
      <c r="A44" s="1798"/>
      <c r="B44" s="1800"/>
      <c r="C44" s="1800"/>
      <c r="D44" s="1799"/>
      <c r="E44" s="1800"/>
      <c r="F44" s="1800"/>
      <c r="G44" s="1799"/>
      <c r="H44" s="1800"/>
      <c r="I44" s="1800"/>
      <c r="J44" s="2774"/>
      <c r="K44" s="2767"/>
      <c r="L44" s="2767"/>
      <c r="M44" s="2907"/>
      <c r="N44" s="2774"/>
      <c r="O44" s="2774"/>
      <c r="P44" s="2767"/>
      <c r="Q44" s="2905"/>
      <c r="R44" s="2906"/>
      <c r="S44" s="2918"/>
      <c r="T44" s="2776" t="s">
        <v>1001</v>
      </c>
      <c r="U44" s="1921" t="s">
        <v>1002</v>
      </c>
      <c r="V44" s="1504">
        <v>15000000</v>
      </c>
      <c r="W44" s="1789">
        <v>20</v>
      </c>
      <c r="X44" s="1922" t="s">
        <v>959</v>
      </c>
      <c r="Y44" s="2892"/>
      <c r="Z44" s="2915"/>
      <c r="AA44" s="2892"/>
      <c r="AB44" s="2892"/>
      <c r="AC44" s="2892"/>
      <c r="AD44" s="2892"/>
      <c r="AE44" s="2892"/>
      <c r="AF44" s="2892"/>
      <c r="AG44" s="2892"/>
      <c r="AH44" s="2892"/>
      <c r="AI44" s="2892"/>
      <c r="AJ44" s="2892"/>
      <c r="AK44" s="2892"/>
      <c r="AL44" s="2892"/>
      <c r="AM44" s="2892"/>
      <c r="AN44" s="2892"/>
      <c r="AO44" s="2819"/>
      <c r="AP44" s="2819"/>
      <c r="AQ44" s="2764"/>
    </row>
    <row r="45" spans="1:43" ht="56.25" customHeight="1" x14ac:dyDescent="0.2">
      <c r="A45" s="1798"/>
      <c r="B45" s="1800"/>
      <c r="C45" s="1800"/>
      <c r="D45" s="1799"/>
      <c r="E45" s="1800"/>
      <c r="F45" s="1800"/>
      <c r="G45" s="1799"/>
      <c r="H45" s="1800"/>
      <c r="I45" s="1800"/>
      <c r="J45" s="2774"/>
      <c r="K45" s="2767"/>
      <c r="L45" s="2767"/>
      <c r="M45" s="2907"/>
      <c r="N45" s="2774"/>
      <c r="O45" s="2774"/>
      <c r="P45" s="2767"/>
      <c r="Q45" s="2905"/>
      <c r="R45" s="2906"/>
      <c r="S45" s="2918"/>
      <c r="T45" s="2776"/>
      <c r="U45" s="1921" t="s">
        <v>1003</v>
      </c>
      <c r="V45" s="1504">
        <v>15000000</v>
      </c>
      <c r="W45" s="1789">
        <v>88</v>
      </c>
      <c r="X45" s="1922" t="s">
        <v>942</v>
      </c>
      <c r="Y45" s="2892"/>
      <c r="Z45" s="2915"/>
      <c r="AA45" s="2892"/>
      <c r="AB45" s="2892"/>
      <c r="AC45" s="2892"/>
      <c r="AD45" s="2892"/>
      <c r="AE45" s="2892"/>
      <c r="AF45" s="2892"/>
      <c r="AG45" s="2892"/>
      <c r="AH45" s="2892"/>
      <c r="AI45" s="2892"/>
      <c r="AJ45" s="2892"/>
      <c r="AK45" s="2892"/>
      <c r="AL45" s="2892"/>
      <c r="AM45" s="2892"/>
      <c r="AN45" s="2892"/>
      <c r="AO45" s="2819"/>
      <c r="AP45" s="2819"/>
      <c r="AQ45" s="2764"/>
    </row>
    <row r="46" spans="1:43" ht="42" customHeight="1" x14ac:dyDescent="0.2">
      <c r="A46" s="1798"/>
      <c r="B46" s="1800"/>
      <c r="C46" s="1800"/>
      <c r="D46" s="1799"/>
      <c r="E46" s="1800"/>
      <c r="F46" s="1800"/>
      <c r="G46" s="1799"/>
      <c r="H46" s="1800"/>
      <c r="I46" s="1800"/>
      <c r="J46" s="2774"/>
      <c r="K46" s="2767"/>
      <c r="L46" s="2767"/>
      <c r="M46" s="2907"/>
      <c r="N46" s="2774"/>
      <c r="O46" s="2774"/>
      <c r="P46" s="2767"/>
      <c r="Q46" s="2905"/>
      <c r="R46" s="2906"/>
      <c r="S46" s="2918"/>
      <c r="T46" s="2776" t="s">
        <v>1004</v>
      </c>
      <c r="U46" s="1921" t="s">
        <v>1005</v>
      </c>
      <c r="V46" s="1504">
        <v>3500000</v>
      </c>
      <c r="W46" s="1789">
        <v>20</v>
      </c>
      <c r="X46" s="1922" t="s">
        <v>959</v>
      </c>
      <c r="Y46" s="2892"/>
      <c r="Z46" s="2915"/>
      <c r="AA46" s="2892"/>
      <c r="AB46" s="2892"/>
      <c r="AC46" s="2892"/>
      <c r="AD46" s="2892"/>
      <c r="AE46" s="2892"/>
      <c r="AF46" s="2892"/>
      <c r="AG46" s="2892"/>
      <c r="AH46" s="2892"/>
      <c r="AI46" s="2892"/>
      <c r="AJ46" s="2892"/>
      <c r="AK46" s="2892"/>
      <c r="AL46" s="2892"/>
      <c r="AM46" s="2892"/>
      <c r="AN46" s="2892"/>
      <c r="AO46" s="2819"/>
      <c r="AP46" s="2819"/>
      <c r="AQ46" s="2764"/>
    </row>
    <row r="47" spans="1:43" ht="33.75" customHeight="1" x14ac:dyDescent="0.2">
      <c r="A47" s="1798"/>
      <c r="B47" s="1800"/>
      <c r="C47" s="1800"/>
      <c r="D47" s="1799"/>
      <c r="E47" s="1800"/>
      <c r="F47" s="1800"/>
      <c r="G47" s="1799"/>
      <c r="H47" s="1800"/>
      <c r="I47" s="1800"/>
      <c r="J47" s="2774"/>
      <c r="K47" s="2767"/>
      <c r="L47" s="2767"/>
      <c r="M47" s="2907"/>
      <c r="N47" s="2774"/>
      <c r="O47" s="2774"/>
      <c r="P47" s="2767"/>
      <c r="Q47" s="2905"/>
      <c r="R47" s="2906"/>
      <c r="S47" s="2918"/>
      <c r="T47" s="2776"/>
      <c r="U47" s="1921" t="s">
        <v>1006</v>
      </c>
      <c r="V47" s="1504">
        <v>3500000</v>
      </c>
      <c r="W47" s="1789">
        <v>88</v>
      </c>
      <c r="X47" s="1922" t="s">
        <v>942</v>
      </c>
      <c r="Y47" s="2892"/>
      <c r="Z47" s="2915"/>
      <c r="AA47" s="2892"/>
      <c r="AB47" s="2892"/>
      <c r="AC47" s="2892"/>
      <c r="AD47" s="2892"/>
      <c r="AE47" s="2892"/>
      <c r="AF47" s="2892"/>
      <c r="AG47" s="2892"/>
      <c r="AH47" s="2892"/>
      <c r="AI47" s="2892"/>
      <c r="AJ47" s="2892"/>
      <c r="AK47" s="2892"/>
      <c r="AL47" s="2892"/>
      <c r="AM47" s="2892"/>
      <c r="AN47" s="2892"/>
      <c r="AO47" s="2819"/>
      <c r="AP47" s="2819"/>
      <c r="AQ47" s="2764"/>
    </row>
    <row r="48" spans="1:43" ht="26.25" customHeight="1" x14ac:dyDescent="0.2">
      <c r="A48" s="1798"/>
      <c r="B48" s="1800"/>
      <c r="C48" s="1800"/>
      <c r="D48" s="1799"/>
      <c r="E48" s="1800"/>
      <c r="F48" s="1800"/>
      <c r="G48" s="1799"/>
      <c r="H48" s="1800"/>
      <c r="I48" s="1800"/>
      <c r="J48" s="2774"/>
      <c r="K48" s="2767"/>
      <c r="L48" s="2767"/>
      <c r="M48" s="2907"/>
      <c r="N48" s="2774"/>
      <c r="O48" s="2774"/>
      <c r="P48" s="2767"/>
      <c r="Q48" s="2905"/>
      <c r="R48" s="2906"/>
      <c r="S48" s="2918"/>
      <c r="T48" s="2776"/>
      <c r="U48" s="1921" t="s">
        <v>1007</v>
      </c>
      <c r="V48" s="1505">
        <v>7000000</v>
      </c>
      <c r="W48" s="1790">
        <v>20</v>
      </c>
      <c r="X48" s="1931" t="s">
        <v>959</v>
      </c>
      <c r="Y48" s="2892"/>
      <c r="Z48" s="2915"/>
      <c r="AA48" s="2892"/>
      <c r="AB48" s="2892"/>
      <c r="AC48" s="2892"/>
      <c r="AD48" s="2892"/>
      <c r="AE48" s="2892"/>
      <c r="AF48" s="2892"/>
      <c r="AG48" s="2892"/>
      <c r="AH48" s="2892"/>
      <c r="AI48" s="2892"/>
      <c r="AJ48" s="2892"/>
      <c r="AK48" s="2892"/>
      <c r="AL48" s="2892"/>
      <c r="AM48" s="2892"/>
      <c r="AN48" s="2892"/>
      <c r="AO48" s="2819"/>
      <c r="AP48" s="2819"/>
      <c r="AQ48" s="2764"/>
    </row>
    <row r="49" spans="1:44" ht="30.75" customHeight="1" x14ac:dyDescent="0.2">
      <c r="A49" s="1798"/>
      <c r="B49" s="1800"/>
      <c r="C49" s="1800"/>
      <c r="D49" s="1799"/>
      <c r="E49" s="1800"/>
      <c r="F49" s="1800"/>
      <c r="G49" s="178"/>
      <c r="H49" s="1800"/>
      <c r="I49" s="1800"/>
      <c r="J49" s="2774"/>
      <c r="K49" s="2767"/>
      <c r="L49" s="2767"/>
      <c r="M49" s="2907"/>
      <c r="N49" s="2774"/>
      <c r="O49" s="2774"/>
      <c r="P49" s="2767"/>
      <c r="Q49" s="2905"/>
      <c r="R49" s="2906"/>
      <c r="S49" s="2918"/>
      <c r="T49" s="2776"/>
      <c r="U49" s="1932" t="s">
        <v>1008</v>
      </c>
      <c r="V49" s="2055">
        <v>7000000</v>
      </c>
      <c r="W49" s="1926">
        <v>88</v>
      </c>
      <c r="X49" s="1926" t="s">
        <v>942</v>
      </c>
      <c r="Y49" s="2919"/>
      <c r="Z49" s="2915"/>
      <c r="AA49" s="2892"/>
      <c r="AB49" s="2892"/>
      <c r="AC49" s="2892"/>
      <c r="AD49" s="2892"/>
      <c r="AE49" s="2892"/>
      <c r="AF49" s="2892"/>
      <c r="AG49" s="2892"/>
      <c r="AH49" s="2892"/>
      <c r="AI49" s="2892"/>
      <c r="AJ49" s="2892"/>
      <c r="AK49" s="2892"/>
      <c r="AL49" s="2892"/>
      <c r="AM49" s="2892"/>
      <c r="AN49" s="2892"/>
      <c r="AO49" s="2819"/>
      <c r="AP49" s="2819"/>
      <c r="AQ49" s="2764"/>
    </row>
    <row r="50" spans="1:44" ht="30" customHeight="1" x14ac:dyDescent="0.2">
      <c r="A50" s="166"/>
      <c r="B50" s="167"/>
      <c r="C50" s="167"/>
      <c r="D50" s="179">
        <v>27</v>
      </c>
      <c r="E50" s="2957" t="s">
        <v>1009</v>
      </c>
      <c r="F50" s="2957"/>
      <c r="G50" s="2957"/>
      <c r="H50" s="2957"/>
      <c r="I50" s="2957"/>
      <c r="J50" s="2957"/>
      <c r="K50" s="2957"/>
      <c r="L50" s="180"/>
      <c r="M50" s="181"/>
      <c r="N50" s="181"/>
      <c r="O50" s="181"/>
      <c r="P50" s="180"/>
      <c r="Q50" s="182"/>
      <c r="R50" s="1496"/>
      <c r="S50" s="1497"/>
      <c r="T50" s="1497"/>
      <c r="U50" s="1498"/>
      <c r="V50" s="1136"/>
      <c r="W50" s="1137"/>
      <c r="X50" s="1138"/>
      <c r="Y50" s="183"/>
      <c r="Z50" s="184"/>
      <c r="AA50" s="183"/>
      <c r="AB50" s="183"/>
      <c r="AC50" s="183"/>
      <c r="AD50" s="183"/>
      <c r="AE50" s="183"/>
      <c r="AF50" s="183"/>
      <c r="AG50" s="183"/>
      <c r="AH50" s="183"/>
      <c r="AI50" s="183"/>
      <c r="AJ50" s="183"/>
      <c r="AK50" s="183"/>
      <c r="AL50" s="183"/>
      <c r="AM50" s="183"/>
      <c r="AN50" s="183"/>
      <c r="AO50" s="185"/>
      <c r="AP50" s="186"/>
      <c r="AQ50" s="187"/>
    </row>
    <row r="51" spans="1:44" ht="28.5" customHeight="1" x14ac:dyDescent="0.2">
      <c r="A51" s="166"/>
      <c r="B51" s="167"/>
      <c r="C51" s="188"/>
      <c r="D51" s="168"/>
      <c r="E51" s="167"/>
      <c r="F51" s="188"/>
      <c r="G51" s="156">
        <v>85</v>
      </c>
      <c r="H51" s="2917" t="s">
        <v>1010</v>
      </c>
      <c r="I51" s="2917"/>
      <c r="J51" s="2917"/>
      <c r="K51" s="2917"/>
      <c r="L51" s="157"/>
      <c r="M51" s="158"/>
      <c r="N51" s="158"/>
      <c r="O51" s="158"/>
      <c r="P51" s="157"/>
      <c r="Q51" s="159"/>
      <c r="R51" s="1493"/>
      <c r="S51" s="1494"/>
      <c r="T51" s="1494"/>
      <c r="U51" s="1495"/>
      <c r="V51" s="623"/>
      <c r="W51" s="171"/>
      <c r="X51" s="172"/>
      <c r="Y51" s="173"/>
      <c r="Z51" s="174"/>
      <c r="AA51" s="173"/>
      <c r="AB51" s="173"/>
      <c r="AC51" s="173"/>
      <c r="AD51" s="173"/>
      <c r="AE51" s="173"/>
      <c r="AF51" s="173"/>
      <c r="AG51" s="173"/>
      <c r="AH51" s="173"/>
      <c r="AI51" s="173"/>
      <c r="AJ51" s="173"/>
      <c r="AK51" s="173"/>
      <c r="AL51" s="173"/>
      <c r="AM51" s="173"/>
      <c r="AN51" s="173"/>
      <c r="AO51" s="175"/>
      <c r="AP51" s="176"/>
      <c r="AQ51" s="177"/>
    </row>
    <row r="52" spans="1:44" ht="79.5" customHeight="1" x14ac:dyDescent="0.2">
      <c r="A52" s="190"/>
      <c r="B52" s="191"/>
      <c r="C52" s="192"/>
      <c r="D52" s="193"/>
      <c r="E52" s="191"/>
      <c r="F52" s="191"/>
      <c r="G52" s="194"/>
      <c r="H52" s="191"/>
      <c r="I52" s="191"/>
      <c r="J52" s="2774">
        <v>249</v>
      </c>
      <c r="K52" s="2767" t="s">
        <v>1011</v>
      </c>
      <c r="L52" s="2770" t="s">
        <v>1012</v>
      </c>
      <c r="M52" s="2907">
        <v>1</v>
      </c>
      <c r="N52" s="2774" t="s">
        <v>1013</v>
      </c>
      <c r="O52" s="2774" t="s">
        <v>1014</v>
      </c>
      <c r="P52" s="2767" t="s">
        <v>1015</v>
      </c>
      <c r="Q52" s="2905">
        <v>1</v>
      </c>
      <c r="R52" s="2906">
        <f>SUM(V52:V65)</f>
        <v>120000000</v>
      </c>
      <c r="S52" s="2776" t="s">
        <v>1016</v>
      </c>
      <c r="T52" s="2776" t="s">
        <v>1017</v>
      </c>
      <c r="U52" s="1499" t="s">
        <v>1018</v>
      </c>
      <c r="V52" s="1489">
        <v>7354100</v>
      </c>
      <c r="W52" s="1789">
        <v>20</v>
      </c>
      <c r="X52" s="1924" t="s">
        <v>61</v>
      </c>
      <c r="Y52" s="2916">
        <v>294321</v>
      </c>
      <c r="Z52" s="2874">
        <v>283947</v>
      </c>
      <c r="AA52" s="2772">
        <v>135754</v>
      </c>
      <c r="AB52" s="2772">
        <v>44640</v>
      </c>
      <c r="AC52" s="2772">
        <v>308178</v>
      </c>
      <c r="AD52" s="2772">
        <v>89696</v>
      </c>
      <c r="AE52" s="2772">
        <v>2145</v>
      </c>
      <c r="AF52" s="2772">
        <v>12718</v>
      </c>
      <c r="AG52" s="2772">
        <v>26</v>
      </c>
      <c r="AH52" s="2772">
        <v>37</v>
      </c>
      <c r="AI52" s="2772"/>
      <c r="AJ52" s="2772"/>
      <c r="AK52" s="2892">
        <v>54612</v>
      </c>
      <c r="AL52" s="2892">
        <v>16982</v>
      </c>
      <c r="AM52" s="2772">
        <v>1010</v>
      </c>
      <c r="AN52" s="2772">
        <f>Y52+Z52</f>
        <v>578268</v>
      </c>
      <c r="AO52" s="2819">
        <v>43102</v>
      </c>
      <c r="AP52" s="2819">
        <v>43465</v>
      </c>
      <c r="AQ52" s="2774" t="s">
        <v>960</v>
      </c>
    </row>
    <row r="53" spans="1:44" ht="113.25" customHeight="1" x14ac:dyDescent="0.2">
      <c r="A53" s="190"/>
      <c r="B53" s="191"/>
      <c r="C53" s="192"/>
      <c r="D53" s="193"/>
      <c r="E53" s="191"/>
      <c r="F53" s="191"/>
      <c r="G53" s="193"/>
      <c r="H53" s="191"/>
      <c r="I53" s="191"/>
      <c r="J53" s="2774"/>
      <c r="K53" s="2767"/>
      <c r="L53" s="2770"/>
      <c r="M53" s="2907"/>
      <c r="N53" s="2774"/>
      <c r="O53" s="2774"/>
      <c r="P53" s="2767"/>
      <c r="Q53" s="2905"/>
      <c r="R53" s="2906"/>
      <c r="S53" s="2776"/>
      <c r="T53" s="2776"/>
      <c r="U53" s="1499" t="s">
        <v>1019</v>
      </c>
      <c r="V53" s="1489">
        <v>11613500</v>
      </c>
      <c r="W53" s="1789">
        <v>20</v>
      </c>
      <c r="X53" s="1924" t="s">
        <v>61</v>
      </c>
      <c r="Y53" s="2916"/>
      <c r="Z53" s="2874"/>
      <c r="AA53" s="2772"/>
      <c r="AB53" s="2772"/>
      <c r="AC53" s="2772"/>
      <c r="AD53" s="2772"/>
      <c r="AE53" s="2772"/>
      <c r="AF53" s="2772"/>
      <c r="AG53" s="2772"/>
      <c r="AH53" s="2772"/>
      <c r="AI53" s="2772"/>
      <c r="AJ53" s="2772"/>
      <c r="AK53" s="2892"/>
      <c r="AL53" s="2892"/>
      <c r="AM53" s="2772"/>
      <c r="AN53" s="2772"/>
      <c r="AO53" s="2819"/>
      <c r="AP53" s="2819"/>
      <c r="AQ53" s="2774"/>
    </row>
    <row r="54" spans="1:44" ht="144.75" customHeight="1" x14ac:dyDescent="0.2">
      <c r="A54" s="190"/>
      <c r="B54" s="191"/>
      <c r="C54" s="192"/>
      <c r="D54" s="193"/>
      <c r="E54" s="191"/>
      <c r="F54" s="191"/>
      <c r="G54" s="193"/>
      <c r="H54" s="191"/>
      <c r="I54" s="191"/>
      <c r="J54" s="2774"/>
      <c r="K54" s="2767"/>
      <c r="L54" s="2770"/>
      <c r="M54" s="2907"/>
      <c r="N54" s="2774"/>
      <c r="O54" s="2774"/>
      <c r="P54" s="2767"/>
      <c r="Q54" s="2905"/>
      <c r="R54" s="2906"/>
      <c r="S54" s="2776"/>
      <c r="T54" s="2776"/>
      <c r="U54" s="1499" t="s">
        <v>1020</v>
      </c>
      <c r="V54" s="1489">
        <v>17700000</v>
      </c>
      <c r="W54" s="1789">
        <v>20</v>
      </c>
      <c r="X54" s="1924" t="s">
        <v>61</v>
      </c>
      <c r="Y54" s="2916"/>
      <c r="Z54" s="2874"/>
      <c r="AA54" s="2772"/>
      <c r="AB54" s="2772"/>
      <c r="AC54" s="2772"/>
      <c r="AD54" s="2772"/>
      <c r="AE54" s="2772"/>
      <c r="AF54" s="2772"/>
      <c r="AG54" s="2772"/>
      <c r="AH54" s="2772"/>
      <c r="AI54" s="2772"/>
      <c r="AJ54" s="2772"/>
      <c r="AK54" s="2892"/>
      <c r="AL54" s="2892"/>
      <c r="AM54" s="2772"/>
      <c r="AN54" s="2772"/>
      <c r="AO54" s="2819"/>
      <c r="AP54" s="2819"/>
      <c r="AQ54" s="2774"/>
    </row>
    <row r="55" spans="1:44" ht="96.75" customHeight="1" x14ac:dyDescent="0.2">
      <c r="A55" s="190"/>
      <c r="B55" s="191"/>
      <c r="C55" s="192"/>
      <c r="D55" s="193"/>
      <c r="E55" s="191"/>
      <c r="F55" s="191"/>
      <c r="G55" s="193"/>
      <c r="H55" s="191"/>
      <c r="I55" s="191"/>
      <c r="J55" s="2774"/>
      <c r="K55" s="2767"/>
      <c r="L55" s="2770"/>
      <c r="M55" s="2907"/>
      <c r="N55" s="2774"/>
      <c r="O55" s="2774"/>
      <c r="P55" s="2767"/>
      <c r="Q55" s="2905"/>
      <c r="R55" s="2906"/>
      <c r="S55" s="2776"/>
      <c r="T55" s="2776"/>
      <c r="U55" s="1499" t="s">
        <v>1021</v>
      </c>
      <c r="V55" s="1489">
        <f>10000000+7500000</f>
        <v>17500000</v>
      </c>
      <c r="W55" s="1789">
        <v>20</v>
      </c>
      <c r="X55" s="1924" t="s">
        <v>61</v>
      </c>
      <c r="Y55" s="2916"/>
      <c r="Z55" s="2874"/>
      <c r="AA55" s="2772"/>
      <c r="AB55" s="2772"/>
      <c r="AC55" s="2772"/>
      <c r="AD55" s="2772"/>
      <c r="AE55" s="2772"/>
      <c r="AF55" s="2772"/>
      <c r="AG55" s="2772"/>
      <c r="AH55" s="2772"/>
      <c r="AI55" s="2772"/>
      <c r="AJ55" s="2772"/>
      <c r="AK55" s="2892"/>
      <c r="AL55" s="2892"/>
      <c r="AM55" s="2772"/>
      <c r="AN55" s="2772"/>
      <c r="AO55" s="2819"/>
      <c r="AP55" s="2819"/>
      <c r="AQ55" s="2774"/>
    </row>
    <row r="56" spans="1:44" ht="36" customHeight="1" x14ac:dyDescent="0.2">
      <c r="A56" s="190"/>
      <c r="B56" s="191"/>
      <c r="C56" s="192"/>
      <c r="D56" s="193"/>
      <c r="E56" s="191"/>
      <c r="F56" s="191"/>
      <c r="G56" s="193"/>
      <c r="H56" s="191"/>
      <c r="I56" s="191"/>
      <c r="J56" s="2774"/>
      <c r="K56" s="2767"/>
      <c r="L56" s="2770"/>
      <c r="M56" s="2907"/>
      <c r="N56" s="2774"/>
      <c r="O56" s="2774"/>
      <c r="P56" s="2767"/>
      <c r="Q56" s="2905"/>
      <c r="R56" s="2906"/>
      <c r="S56" s="2776"/>
      <c r="T56" s="2776" t="s">
        <v>1022</v>
      </c>
      <c r="U56" s="1499" t="s">
        <v>1023</v>
      </c>
      <c r="V56" s="1503">
        <f>17718900-7000000</f>
        <v>10718900</v>
      </c>
      <c r="W56" s="1789">
        <v>20</v>
      </c>
      <c r="X56" s="1924" t="s">
        <v>61</v>
      </c>
      <c r="Y56" s="2916"/>
      <c r="Z56" s="2874"/>
      <c r="AA56" s="2772"/>
      <c r="AB56" s="2772"/>
      <c r="AC56" s="2772"/>
      <c r="AD56" s="2772"/>
      <c r="AE56" s="2772"/>
      <c r="AF56" s="2772"/>
      <c r="AG56" s="2772"/>
      <c r="AH56" s="2772"/>
      <c r="AI56" s="2772"/>
      <c r="AJ56" s="2772"/>
      <c r="AK56" s="2892"/>
      <c r="AL56" s="2892"/>
      <c r="AM56" s="2772"/>
      <c r="AN56" s="2772"/>
      <c r="AO56" s="2819"/>
      <c r="AP56" s="2819"/>
      <c r="AQ56" s="2774"/>
    </row>
    <row r="57" spans="1:44" ht="28.5" customHeight="1" x14ac:dyDescent="0.2">
      <c r="A57" s="190"/>
      <c r="B57" s="191"/>
      <c r="C57" s="192"/>
      <c r="D57" s="193"/>
      <c r="E57" s="191"/>
      <c r="F57" s="191"/>
      <c r="G57" s="193"/>
      <c r="H57" s="191"/>
      <c r="I57" s="191"/>
      <c r="J57" s="2774"/>
      <c r="K57" s="2767"/>
      <c r="L57" s="2770"/>
      <c r="M57" s="2907"/>
      <c r="N57" s="2774"/>
      <c r="O57" s="2774"/>
      <c r="P57" s="2767"/>
      <c r="Q57" s="2905"/>
      <c r="R57" s="2906"/>
      <c r="S57" s="2776"/>
      <c r="T57" s="2776"/>
      <c r="U57" s="1499" t="s">
        <v>1024</v>
      </c>
      <c r="V57" s="1503">
        <f>0+12000000+2000000+1000000</f>
        <v>15000000</v>
      </c>
      <c r="W57" s="1789">
        <v>20</v>
      </c>
      <c r="X57" s="1924" t="s">
        <v>61</v>
      </c>
      <c r="Y57" s="2916"/>
      <c r="Z57" s="2874"/>
      <c r="AA57" s="2772"/>
      <c r="AB57" s="2772"/>
      <c r="AC57" s="2772"/>
      <c r="AD57" s="2772"/>
      <c r="AE57" s="2772"/>
      <c r="AF57" s="2772"/>
      <c r="AG57" s="2772"/>
      <c r="AH57" s="2772"/>
      <c r="AI57" s="2772"/>
      <c r="AJ57" s="2772"/>
      <c r="AK57" s="2892"/>
      <c r="AL57" s="2892"/>
      <c r="AM57" s="2772"/>
      <c r="AN57" s="2772"/>
      <c r="AO57" s="2819"/>
      <c r="AP57" s="2819"/>
      <c r="AQ57" s="2774"/>
    </row>
    <row r="58" spans="1:44" ht="36.75" customHeight="1" x14ac:dyDescent="0.2">
      <c r="A58" s="190"/>
      <c r="B58" s="191"/>
      <c r="C58" s="192"/>
      <c r="D58" s="193"/>
      <c r="E58" s="191"/>
      <c r="F58" s="191"/>
      <c r="G58" s="193"/>
      <c r="H58" s="191"/>
      <c r="I58" s="191"/>
      <c r="J58" s="2774"/>
      <c r="K58" s="2767"/>
      <c r="L58" s="2770"/>
      <c r="M58" s="2907"/>
      <c r="N58" s="2774"/>
      <c r="O58" s="2774"/>
      <c r="P58" s="2767"/>
      <c r="Q58" s="2905"/>
      <c r="R58" s="2906"/>
      <c r="S58" s="2776"/>
      <c r="T58" s="2776"/>
      <c r="U58" s="1933" t="s">
        <v>1025</v>
      </c>
      <c r="V58" s="1503">
        <f>15613500-5306750</f>
        <v>10306750</v>
      </c>
      <c r="W58" s="1789">
        <v>20</v>
      </c>
      <c r="X58" s="1924" t="s">
        <v>61</v>
      </c>
      <c r="Y58" s="2916"/>
      <c r="Z58" s="2874"/>
      <c r="AA58" s="2772"/>
      <c r="AB58" s="2772"/>
      <c r="AC58" s="2772"/>
      <c r="AD58" s="2772"/>
      <c r="AE58" s="2772"/>
      <c r="AF58" s="2772"/>
      <c r="AG58" s="2772"/>
      <c r="AH58" s="2772"/>
      <c r="AI58" s="2772"/>
      <c r="AJ58" s="2772"/>
      <c r="AK58" s="2892"/>
      <c r="AL58" s="2892"/>
      <c r="AM58" s="2772"/>
      <c r="AN58" s="2772"/>
      <c r="AO58" s="2819"/>
      <c r="AP58" s="2819"/>
      <c r="AQ58" s="2774"/>
    </row>
    <row r="59" spans="1:44" ht="36.75" customHeight="1" x14ac:dyDescent="0.2">
      <c r="A59" s="190"/>
      <c r="B59" s="191"/>
      <c r="C59" s="192"/>
      <c r="D59" s="193"/>
      <c r="E59" s="191"/>
      <c r="F59" s="191"/>
      <c r="G59" s="193"/>
      <c r="H59" s="191"/>
      <c r="I59" s="191"/>
      <c r="J59" s="2774"/>
      <c r="K59" s="2767"/>
      <c r="L59" s="2770"/>
      <c r="M59" s="2907"/>
      <c r="N59" s="2774"/>
      <c r="O59" s="2774"/>
      <c r="P59" s="2767"/>
      <c r="Q59" s="2905"/>
      <c r="R59" s="2906"/>
      <c r="S59" s="2776"/>
      <c r="T59" s="2776"/>
      <c r="U59" s="1933" t="s">
        <v>1026</v>
      </c>
      <c r="V59" s="1503">
        <f>0+4500000</f>
        <v>4500000</v>
      </c>
      <c r="W59" s="1789">
        <v>20</v>
      </c>
      <c r="X59" s="1924" t="s">
        <v>61</v>
      </c>
      <c r="Y59" s="2916"/>
      <c r="Z59" s="2874"/>
      <c r="AA59" s="2772"/>
      <c r="AB59" s="2772"/>
      <c r="AC59" s="2772"/>
      <c r="AD59" s="2772"/>
      <c r="AE59" s="2772"/>
      <c r="AF59" s="2772"/>
      <c r="AG59" s="2772"/>
      <c r="AH59" s="2772"/>
      <c r="AI59" s="2772"/>
      <c r="AJ59" s="2772"/>
      <c r="AK59" s="2892"/>
      <c r="AL59" s="2892"/>
      <c r="AM59" s="2772"/>
      <c r="AN59" s="2772"/>
      <c r="AO59" s="2819"/>
      <c r="AP59" s="2819"/>
      <c r="AQ59" s="2774"/>
    </row>
    <row r="60" spans="1:44" ht="25.5" customHeight="1" x14ac:dyDescent="0.2">
      <c r="A60" s="190"/>
      <c r="B60" s="191"/>
      <c r="C60" s="192"/>
      <c r="D60" s="193"/>
      <c r="E60" s="191"/>
      <c r="F60" s="191"/>
      <c r="G60" s="193"/>
      <c r="H60" s="191"/>
      <c r="I60" s="191"/>
      <c r="J60" s="2774"/>
      <c r="K60" s="2767"/>
      <c r="L60" s="2770"/>
      <c r="M60" s="2907"/>
      <c r="N60" s="2774"/>
      <c r="O60" s="2774"/>
      <c r="P60" s="2767"/>
      <c r="Q60" s="2905"/>
      <c r="R60" s="2906"/>
      <c r="S60" s="2776"/>
      <c r="T60" s="2776"/>
      <c r="U60" s="1933" t="s">
        <v>1027</v>
      </c>
      <c r="V60" s="1503">
        <f>0+4000000+5806750-9806750</f>
        <v>0</v>
      </c>
      <c r="W60" s="1789">
        <v>20</v>
      </c>
      <c r="X60" s="1924" t="s">
        <v>61</v>
      </c>
      <c r="Y60" s="2916"/>
      <c r="Z60" s="2874"/>
      <c r="AA60" s="2772"/>
      <c r="AB60" s="2772"/>
      <c r="AC60" s="2772"/>
      <c r="AD60" s="2772"/>
      <c r="AE60" s="2772"/>
      <c r="AF60" s="2772"/>
      <c r="AG60" s="2772"/>
      <c r="AH60" s="2772"/>
      <c r="AI60" s="2772"/>
      <c r="AJ60" s="2772"/>
      <c r="AK60" s="2892"/>
      <c r="AL60" s="2892"/>
      <c r="AM60" s="2772"/>
      <c r="AN60" s="2772"/>
      <c r="AO60" s="2819"/>
      <c r="AP60" s="2819"/>
      <c r="AQ60" s="2774"/>
      <c r="AR60" s="1863"/>
    </row>
    <row r="61" spans="1:44" ht="27.75" customHeight="1" x14ac:dyDescent="0.2">
      <c r="A61" s="190"/>
      <c r="B61" s="191"/>
      <c r="C61" s="192"/>
      <c r="D61" s="193"/>
      <c r="E61" s="191"/>
      <c r="F61" s="191"/>
      <c r="G61" s="193"/>
      <c r="H61" s="191"/>
      <c r="I61" s="191"/>
      <c r="J61" s="2774"/>
      <c r="K61" s="2767"/>
      <c r="L61" s="2770"/>
      <c r="M61" s="2907"/>
      <c r="N61" s="2774"/>
      <c r="O61" s="2774"/>
      <c r="P61" s="2767"/>
      <c r="Q61" s="2905"/>
      <c r="R61" s="2906"/>
      <c r="S61" s="2776"/>
      <c r="T61" s="2776"/>
      <c r="U61" s="1933" t="s">
        <v>1028</v>
      </c>
      <c r="V61" s="1503">
        <f>0+500000-500000</f>
        <v>0</v>
      </c>
      <c r="W61" s="1789">
        <v>20</v>
      </c>
      <c r="X61" s="1924" t="s">
        <v>61</v>
      </c>
      <c r="Y61" s="2916"/>
      <c r="Z61" s="2874"/>
      <c r="AA61" s="2772"/>
      <c r="AB61" s="2772"/>
      <c r="AC61" s="2772"/>
      <c r="AD61" s="2772"/>
      <c r="AE61" s="2772"/>
      <c r="AF61" s="2772"/>
      <c r="AG61" s="2772"/>
      <c r="AH61" s="2772"/>
      <c r="AI61" s="2772"/>
      <c r="AJ61" s="2772"/>
      <c r="AK61" s="2892"/>
      <c r="AL61" s="2892"/>
      <c r="AM61" s="2772"/>
      <c r="AN61" s="2772"/>
      <c r="AO61" s="2819"/>
      <c r="AP61" s="2819"/>
      <c r="AQ61" s="2774"/>
    </row>
    <row r="62" spans="1:44" ht="27.75" customHeight="1" x14ac:dyDescent="0.2">
      <c r="A62" s="190"/>
      <c r="B62" s="191"/>
      <c r="C62" s="192"/>
      <c r="D62" s="193"/>
      <c r="E62" s="191"/>
      <c r="F62" s="191"/>
      <c r="G62" s="193"/>
      <c r="H62" s="191"/>
      <c r="I62" s="191"/>
      <c r="J62" s="2774"/>
      <c r="K62" s="2767"/>
      <c r="L62" s="2770"/>
      <c r="M62" s="2907"/>
      <c r="N62" s="2774"/>
      <c r="O62" s="2774"/>
      <c r="P62" s="2767"/>
      <c r="Q62" s="2905"/>
      <c r="R62" s="2906"/>
      <c r="S62" s="2776"/>
      <c r="T62" s="2776"/>
      <c r="U62" s="1933" t="s">
        <v>1029</v>
      </c>
      <c r="V62" s="1503">
        <f>0+10306750</f>
        <v>10306750</v>
      </c>
      <c r="W62" s="1789">
        <v>20</v>
      </c>
      <c r="X62" s="1924" t="s">
        <v>61</v>
      </c>
      <c r="Y62" s="2916"/>
      <c r="Z62" s="2874"/>
      <c r="AA62" s="2772"/>
      <c r="AB62" s="2772"/>
      <c r="AC62" s="2772"/>
      <c r="AD62" s="2772"/>
      <c r="AE62" s="2772"/>
      <c r="AF62" s="2772"/>
      <c r="AG62" s="2772"/>
      <c r="AH62" s="2772"/>
      <c r="AI62" s="2772"/>
      <c r="AJ62" s="2772"/>
      <c r="AK62" s="2892"/>
      <c r="AL62" s="2892"/>
      <c r="AM62" s="2772"/>
      <c r="AN62" s="2772"/>
      <c r="AO62" s="2819"/>
      <c r="AP62" s="2819"/>
      <c r="AQ62" s="2774"/>
    </row>
    <row r="63" spans="1:44" ht="27" customHeight="1" x14ac:dyDescent="0.2">
      <c r="A63" s="190"/>
      <c r="B63" s="191"/>
      <c r="C63" s="192"/>
      <c r="D63" s="193"/>
      <c r="E63" s="191"/>
      <c r="F63" s="191"/>
      <c r="G63" s="193"/>
      <c r="H63" s="191"/>
      <c r="I63" s="191"/>
      <c r="J63" s="2774"/>
      <c r="K63" s="2767"/>
      <c r="L63" s="2770"/>
      <c r="M63" s="2907"/>
      <c r="N63" s="2774"/>
      <c r="O63" s="2774"/>
      <c r="P63" s="2767"/>
      <c r="Q63" s="2905"/>
      <c r="R63" s="2906"/>
      <c r="S63" s="2776"/>
      <c r="T63" s="2776"/>
      <c r="U63" s="1933" t="s">
        <v>1030</v>
      </c>
      <c r="V63" s="1503">
        <f>0+500000-500000</f>
        <v>0</v>
      </c>
      <c r="W63" s="1789">
        <v>20</v>
      </c>
      <c r="X63" s="1924" t="s">
        <v>61</v>
      </c>
      <c r="Y63" s="2916"/>
      <c r="Z63" s="2874"/>
      <c r="AA63" s="2772"/>
      <c r="AB63" s="2772"/>
      <c r="AC63" s="2772"/>
      <c r="AD63" s="2772"/>
      <c r="AE63" s="2772"/>
      <c r="AF63" s="2772"/>
      <c r="AG63" s="2772"/>
      <c r="AH63" s="2772"/>
      <c r="AI63" s="2772"/>
      <c r="AJ63" s="2772"/>
      <c r="AK63" s="2892"/>
      <c r="AL63" s="2892"/>
      <c r="AM63" s="2772"/>
      <c r="AN63" s="2772"/>
      <c r="AO63" s="2819"/>
      <c r="AP63" s="2819"/>
      <c r="AQ63" s="2774"/>
    </row>
    <row r="64" spans="1:44" ht="49.5" customHeight="1" x14ac:dyDescent="0.2">
      <c r="A64" s="190"/>
      <c r="B64" s="191"/>
      <c r="C64" s="192"/>
      <c r="D64" s="193"/>
      <c r="E64" s="191"/>
      <c r="F64" s="191"/>
      <c r="G64" s="193"/>
      <c r="H64" s="191"/>
      <c r="I64" s="191"/>
      <c r="J64" s="2774"/>
      <c r="K64" s="2767"/>
      <c r="L64" s="2770"/>
      <c r="M64" s="2907"/>
      <c r="N64" s="2774"/>
      <c r="O64" s="2774"/>
      <c r="P64" s="2767"/>
      <c r="Q64" s="2905"/>
      <c r="R64" s="2906"/>
      <c r="S64" s="2776"/>
      <c r="T64" s="2776" t="s">
        <v>1031</v>
      </c>
      <c r="U64" s="1500" t="s">
        <v>1032</v>
      </c>
      <c r="V64" s="1503">
        <f>20000000-5000000-2000000-1000000-7500000</f>
        <v>4500000</v>
      </c>
      <c r="W64" s="1789">
        <v>20</v>
      </c>
      <c r="X64" s="1924" t="s">
        <v>61</v>
      </c>
      <c r="Y64" s="2916"/>
      <c r="Z64" s="2874"/>
      <c r="AA64" s="2772"/>
      <c r="AB64" s="2772"/>
      <c r="AC64" s="2772"/>
      <c r="AD64" s="2772"/>
      <c r="AE64" s="2772"/>
      <c r="AF64" s="2772"/>
      <c r="AG64" s="2772"/>
      <c r="AH64" s="2772"/>
      <c r="AI64" s="2772"/>
      <c r="AJ64" s="2772"/>
      <c r="AK64" s="2892"/>
      <c r="AL64" s="2892"/>
      <c r="AM64" s="2772"/>
      <c r="AN64" s="2772"/>
      <c r="AO64" s="2819"/>
      <c r="AP64" s="2819"/>
      <c r="AQ64" s="2774"/>
    </row>
    <row r="65" spans="1:44" ht="46.5" customHeight="1" x14ac:dyDescent="0.2">
      <c r="A65" s="190"/>
      <c r="B65" s="191"/>
      <c r="C65" s="192"/>
      <c r="D65" s="193"/>
      <c r="E65" s="191"/>
      <c r="F65" s="191"/>
      <c r="G65" s="193"/>
      <c r="H65" s="191"/>
      <c r="I65" s="191"/>
      <c r="J65" s="2774"/>
      <c r="K65" s="2767"/>
      <c r="L65" s="2770"/>
      <c r="M65" s="2907"/>
      <c r="N65" s="2774"/>
      <c r="O65" s="2774"/>
      <c r="P65" s="2767"/>
      <c r="Q65" s="2905"/>
      <c r="R65" s="2906"/>
      <c r="S65" s="2776"/>
      <c r="T65" s="2776"/>
      <c r="U65" s="1500" t="s">
        <v>1033</v>
      </c>
      <c r="V65" s="1503">
        <f>20000000-5000000-4500000</f>
        <v>10500000</v>
      </c>
      <c r="W65" s="1789">
        <v>20</v>
      </c>
      <c r="X65" s="1924" t="s">
        <v>61</v>
      </c>
      <c r="Y65" s="2916"/>
      <c r="Z65" s="2874"/>
      <c r="AA65" s="2772"/>
      <c r="AB65" s="2772"/>
      <c r="AC65" s="2772"/>
      <c r="AD65" s="2772"/>
      <c r="AE65" s="2772"/>
      <c r="AF65" s="2772"/>
      <c r="AG65" s="2772"/>
      <c r="AH65" s="2772"/>
      <c r="AI65" s="2772"/>
      <c r="AJ65" s="2772"/>
      <c r="AK65" s="2892"/>
      <c r="AL65" s="2892"/>
      <c r="AM65" s="2772"/>
      <c r="AN65" s="2772"/>
      <c r="AO65" s="2819"/>
      <c r="AP65" s="2819"/>
      <c r="AQ65" s="2774"/>
    </row>
    <row r="66" spans="1:44" ht="30" customHeight="1" x14ac:dyDescent="0.2">
      <c r="A66" s="166"/>
      <c r="B66" s="167"/>
      <c r="C66" s="188"/>
      <c r="D66" s="195">
        <v>28</v>
      </c>
      <c r="E66" s="196"/>
      <c r="F66" s="2958" t="s">
        <v>1034</v>
      </c>
      <c r="G66" s="2958"/>
      <c r="H66" s="2958"/>
      <c r="I66" s="2958"/>
      <c r="J66" s="2958"/>
      <c r="K66" s="2958"/>
      <c r="L66" s="197"/>
      <c r="M66" s="198"/>
      <c r="N66" s="198"/>
      <c r="O66" s="198"/>
      <c r="P66" s="197"/>
      <c r="Q66" s="199"/>
      <c r="R66" s="1507"/>
      <c r="S66" s="1508"/>
      <c r="T66" s="1508"/>
      <c r="U66" s="1509"/>
      <c r="V66" s="1120"/>
      <c r="W66" s="200"/>
      <c r="X66" s="201"/>
      <c r="Y66" s="202"/>
      <c r="Z66" s="203"/>
      <c r="AA66" s="202"/>
      <c r="AB66" s="202"/>
      <c r="AC66" s="202"/>
      <c r="AD66" s="202"/>
      <c r="AE66" s="202"/>
      <c r="AF66" s="202"/>
      <c r="AG66" s="202"/>
      <c r="AH66" s="202"/>
      <c r="AI66" s="202"/>
      <c r="AJ66" s="202"/>
      <c r="AK66" s="202"/>
      <c r="AL66" s="202"/>
      <c r="AM66" s="202"/>
      <c r="AN66" s="202"/>
      <c r="AO66" s="204"/>
      <c r="AP66" s="205"/>
      <c r="AQ66" s="206"/>
    </row>
    <row r="67" spans="1:44" ht="23.25" customHeight="1" x14ac:dyDescent="0.2">
      <c r="A67" s="166"/>
      <c r="B67" s="167"/>
      <c r="C67" s="167"/>
      <c r="D67" s="207"/>
      <c r="E67" s="208"/>
      <c r="F67" s="209"/>
      <c r="G67" s="156">
        <v>87</v>
      </c>
      <c r="H67" s="162" t="s">
        <v>1035</v>
      </c>
      <c r="I67" s="162"/>
      <c r="J67" s="162"/>
      <c r="K67" s="162"/>
      <c r="L67" s="157"/>
      <c r="M67" s="158"/>
      <c r="N67" s="210"/>
      <c r="O67" s="210"/>
      <c r="P67" s="157"/>
      <c r="Q67" s="159"/>
      <c r="R67" s="189"/>
      <c r="S67" s="170"/>
      <c r="T67" s="170"/>
      <c r="U67" s="353"/>
      <c r="V67" s="623"/>
      <c r="W67" s="211"/>
      <c r="X67" s="212"/>
      <c r="Y67" s="173"/>
      <c r="Z67" s="174"/>
      <c r="AA67" s="173"/>
      <c r="AB67" s="213"/>
      <c r="AC67" s="213"/>
      <c r="AD67" s="213"/>
      <c r="AE67" s="213"/>
      <c r="AF67" s="213"/>
      <c r="AG67" s="173"/>
      <c r="AH67" s="173"/>
      <c r="AI67" s="173"/>
      <c r="AJ67" s="173"/>
      <c r="AK67" s="173"/>
      <c r="AL67" s="173"/>
      <c r="AM67" s="173"/>
      <c r="AN67" s="173"/>
      <c r="AO67" s="175"/>
      <c r="AP67" s="176"/>
      <c r="AQ67" s="177"/>
    </row>
    <row r="68" spans="1:44" ht="37.5" customHeight="1" x14ac:dyDescent="0.2">
      <c r="A68" s="1798"/>
      <c r="B68" s="1800"/>
      <c r="C68" s="1800"/>
      <c r="D68" s="1799"/>
      <c r="E68" s="1800"/>
      <c r="F68" s="1800"/>
      <c r="G68" s="214"/>
      <c r="H68" s="215"/>
      <c r="I68" s="215"/>
      <c r="J68" s="2764">
        <v>257</v>
      </c>
      <c r="K68" s="2767" t="s">
        <v>1036</v>
      </c>
      <c r="L68" s="2767" t="s">
        <v>1037</v>
      </c>
      <c r="M68" s="2904">
        <v>1</v>
      </c>
      <c r="N68" s="1962"/>
      <c r="O68" s="2795" t="s">
        <v>1038</v>
      </c>
      <c r="P68" s="2872" t="s">
        <v>1039</v>
      </c>
      <c r="Q68" s="2841">
        <f>SUM(V68:V76)/R68</f>
        <v>0.5551270815074496</v>
      </c>
      <c r="R68" s="2912">
        <f>SUM(V68:V83)</f>
        <v>399350000</v>
      </c>
      <c r="S68" s="2768" t="s">
        <v>1040</v>
      </c>
      <c r="T68" s="2767" t="s">
        <v>1041</v>
      </c>
      <c r="U68" s="1956" t="s">
        <v>1042</v>
      </c>
      <c r="V68" s="1468">
        <f>23200000-1208000</f>
        <v>21992000</v>
      </c>
      <c r="W68" s="1927">
        <v>20</v>
      </c>
      <c r="X68" s="1922" t="s">
        <v>959</v>
      </c>
      <c r="Y68" s="2895">
        <v>294321</v>
      </c>
      <c r="Z68" s="2889">
        <v>283947</v>
      </c>
      <c r="AA68" s="2908">
        <v>135754</v>
      </c>
      <c r="AB68" s="2894">
        <v>44640</v>
      </c>
      <c r="AC68" s="2894">
        <v>308178</v>
      </c>
      <c r="AD68" s="2894">
        <v>89696</v>
      </c>
      <c r="AE68" s="2894">
        <v>2145</v>
      </c>
      <c r="AF68" s="2894">
        <v>12718</v>
      </c>
      <c r="AG68" s="2889">
        <v>26</v>
      </c>
      <c r="AH68" s="2889">
        <v>37</v>
      </c>
      <c r="AI68" s="2889"/>
      <c r="AJ68" s="2889"/>
      <c r="AK68" s="2892">
        <v>54612</v>
      </c>
      <c r="AL68" s="2889">
        <v>16982</v>
      </c>
      <c r="AM68" s="2889">
        <v>1010</v>
      </c>
      <c r="AN68" s="2889">
        <f>Y68+Z68</f>
        <v>578268</v>
      </c>
      <c r="AO68" s="2823">
        <v>43102</v>
      </c>
      <c r="AP68" s="2823">
        <v>43465</v>
      </c>
      <c r="AQ68" s="2765" t="s">
        <v>960</v>
      </c>
    </row>
    <row r="69" spans="1:44" ht="39.75" customHeight="1" x14ac:dyDescent="0.2">
      <c r="A69" s="1798"/>
      <c r="B69" s="1800"/>
      <c r="C69" s="1800"/>
      <c r="D69" s="1799"/>
      <c r="E69" s="1800"/>
      <c r="F69" s="1800"/>
      <c r="G69" s="1799"/>
      <c r="H69" s="1800"/>
      <c r="I69" s="1800"/>
      <c r="J69" s="2764"/>
      <c r="K69" s="2767"/>
      <c r="L69" s="2767"/>
      <c r="M69" s="2904"/>
      <c r="N69" s="2059"/>
      <c r="O69" s="2914"/>
      <c r="P69" s="2911"/>
      <c r="Q69" s="2841"/>
      <c r="R69" s="2913"/>
      <c r="S69" s="2888"/>
      <c r="T69" s="2767"/>
      <c r="U69" s="1956" t="s">
        <v>1045</v>
      </c>
      <c r="V69" s="1468">
        <f>68400000-68400000</f>
        <v>0</v>
      </c>
      <c r="W69" s="1927">
        <v>20</v>
      </c>
      <c r="X69" s="1922" t="s">
        <v>959</v>
      </c>
      <c r="Y69" s="2896"/>
      <c r="Z69" s="2890"/>
      <c r="AA69" s="2909"/>
      <c r="AB69" s="2894"/>
      <c r="AC69" s="2894"/>
      <c r="AD69" s="2894"/>
      <c r="AE69" s="2894"/>
      <c r="AF69" s="2894"/>
      <c r="AG69" s="2890"/>
      <c r="AH69" s="2890"/>
      <c r="AI69" s="2890"/>
      <c r="AJ69" s="2890"/>
      <c r="AK69" s="2892"/>
      <c r="AL69" s="2890"/>
      <c r="AM69" s="2890"/>
      <c r="AN69" s="2890"/>
      <c r="AO69" s="2893"/>
      <c r="AP69" s="2893"/>
      <c r="AQ69" s="2887"/>
    </row>
    <row r="70" spans="1:44" ht="32.25" customHeight="1" x14ac:dyDescent="0.2">
      <c r="A70" s="1798"/>
      <c r="B70" s="1800"/>
      <c r="C70" s="1800"/>
      <c r="D70" s="1799"/>
      <c r="E70" s="1800"/>
      <c r="F70" s="1800"/>
      <c r="G70" s="1799"/>
      <c r="H70" s="1800"/>
      <c r="I70" s="1800"/>
      <c r="J70" s="2764"/>
      <c r="K70" s="2767"/>
      <c r="L70" s="2767"/>
      <c r="M70" s="2904"/>
      <c r="N70" s="2059"/>
      <c r="O70" s="2914"/>
      <c r="P70" s="2911"/>
      <c r="Q70" s="2841"/>
      <c r="R70" s="2913"/>
      <c r="S70" s="2888"/>
      <c r="T70" s="2767"/>
      <c r="U70" s="2899" t="s">
        <v>1046</v>
      </c>
      <c r="V70" s="1468">
        <f>0+69608000</f>
        <v>69608000</v>
      </c>
      <c r="W70" s="1927">
        <v>20</v>
      </c>
      <c r="X70" s="1922" t="s">
        <v>959</v>
      </c>
      <c r="Y70" s="2896"/>
      <c r="Z70" s="2890"/>
      <c r="AA70" s="2909"/>
      <c r="AB70" s="2894"/>
      <c r="AC70" s="2894"/>
      <c r="AD70" s="2894"/>
      <c r="AE70" s="2894"/>
      <c r="AF70" s="2894"/>
      <c r="AG70" s="2890"/>
      <c r="AH70" s="2890"/>
      <c r="AI70" s="2890"/>
      <c r="AJ70" s="2890"/>
      <c r="AK70" s="2892"/>
      <c r="AL70" s="2890"/>
      <c r="AM70" s="2890"/>
      <c r="AN70" s="2890"/>
      <c r="AO70" s="2893"/>
      <c r="AP70" s="2893"/>
      <c r="AQ70" s="2887"/>
    </row>
    <row r="71" spans="1:44" ht="30.75" customHeight="1" x14ac:dyDescent="0.2">
      <c r="A71" s="1798"/>
      <c r="B71" s="1800"/>
      <c r="C71" s="1800"/>
      <c r="D71" s="1799"/>
      <c r="E71" s="1800"/>
      <c r="F71" s="1800"/>
      <c r="G71" s="1799"/>
      <c r="H71" s="1800"/>
      <c r="I71" s="1800"/>
      <c r="J71" s="2764"/>
      <c r="K71" s="2767"/>
      <c r="L71" s="2767"/>
      <c r="M71" s="2904"/>
      <c r="N71" s="2059"/>
      <c r="O71" s="2914"/>
      <c r="P71" s="2911"/>
      <c r="Q71" s="2841"/>
      <c r="R71" s="2913"/>
      <c r="S71" s="2888"/>
      <c r="T71" s="2767"/>
      <c r="U71" s="2900"/>
      <c r="V71" s="1469">
        <f>0+25833800+21050000</f>
        <v>46883800</v>
      </c>
      <c r="W71" s="1521">
        <v>88</v>
      </c>
      <c r="X71" s="1521" t="s">
        <v>1047</v>
      </c>
      <c r="Y71" s="2896"/>
      <c r="Z71" s="2890"/>
      <c r="AA71" s="2909"/>
      <c r="AB71" s="2894"/>
      <c r="AC71" s="2894"/>
      <c r="AD71" s="2894"/>
      <c r="AE71" s="2894"/>
      <c r="AF71" s="2894"/>
      <c r="AG71" s="2890"/>
      <c r="AH71" s="2890"/>
      <c r="AI71" s="2890"/>
      <c r="AJ71" s="2890"/>
      <c r="AK71" s="2892"/>
      <c r="AL71" s="2890"/>
      <c r="AM71" s="2890"/>
      <c r="AN71" s="2890"/>
      <c r="AO71" s="2893"/>
      <c r="AP71" s="2893"/>
      <c r="AQ71" s="2887"/>
      <c r="AR71" s="1863"/>
    </row>
    <row r="72" spans="1:44" ht="27.75" customHeight="1" x14ac:dyDescent="0.2">
      <c r="A72" s="1798"/>
      <c r="B72" s="1800"/>
      <c r="C72" s="1800"/>
      <c r="D72" s="1799"/>
      <c r="E72" s="1800"/>
      <c r="F72" s="1800"/>
      <c r="G72" s="1799"/>
      <c r="H72" s="1800"/>
      <c r="I72" s="1800"/>
      <c r="J72" s="2764"/>
      <c r="K72" s="2767"/>
      <c r="L72" s="2767"/>
      <c r="M72" s="2904"/>
      <c r="N72" s="2059"/>
      <c r="O72" s="2914"/>
      <c r="P72" s="2911"/>
      <c r="Q72" s="2841"/>
      <c r="R72" s="2913"/>
      <c r="S72" s="2888"/>
      <c r="T72" s="2834"/>
      <c r="U72" s="2901" t="s">
        <v>1048</v>
      </c>
      <c r="V72" s="1470">
        <f>68400000-6360000</f>
        <v>62040000</v>
      </c>
      <c r="W72" s="1927">
        <v>20</v>
      </c>
      <c r="X72" s="1922" t="s">
        <v>959</v>
      </c>
      <c r="Y72" s="2896"/>
      <c r="Z72" s="2890"/>
      <c r="AA72" s="2909"/>
      <c r="AB72" s="2894"/>
      <c r="AC72" s="2894"/>
      <c r="AD72" s="2894"/>
      <c r="AE72" s="2894"/>
      <c r="AF72" s="2894"/>
      <c r="AG72" s="2890"/>
      <c r="AH72" s="2890"/>
      <c r="AI72" s="2890"/>
      <c r="AJ72" s="2890"/>
      <c r="AK72" s="2892"/>
      <c r="AL72" s="2890"/>
      <c r="AM72" s="2890"/>
      <c r="AN72" s="2890"/>
      <c r="AO72" s="2893"/>
      <c r="AP72" s="2893"/>
      <c r="AQ72" s="2887"/>
    </row>
    <row r="73" spans="1:44" ht="32.25" customHeight="1" x14ac:dyDescent="0.2">
      <c r="A73" s="1798"/>
      <c r="B73" s="1800"/>
      <c r="C73" s="1800"/>
      <c r="D73" s="1799"/>
      <c r="E73" s="1800"/>
      <c r="F73" s="1800"/>
      <c r="G73" s="1799"/>
      <c r="H73" s="1800"/>
      <c r="I73" s="1800"/>
      <c r="J73" s="2764"/>
      <c r="K73" s="2767"/>
      <c r="L73" s="2767"/>
      <c r="M73" s="2904"/>
      <c r="N73" s="2059"/>
      <c r="O73" s="2914"/>
      <c r="P73" s="2911"/>
      <c r="Q73" s="2841"/>
      <c r="R73" s="2913"/>
      <c r="S73" s="2888"/>
      <c r="T73" s="2834"/>
      <c r="U73" s="2902"/>
      <c r="V73" s="1471">
        <f>0+4584800</f>
        <v>4584800</v>
      </c>
      <c r="W73" s="1519">
        <v>88</v>
      </c>
      <c r="X73" s="1519" t="s">
        <v>1047</v>
      </c>
      <c r="Y73" s="2897"/>
      <c r="Z73" s="2890"/>
      <c r="AA73" s="2909"/>
      <c r="AB73" s="2894"/>
      <c r="AC73" s="2894"/>
      <c r="AD73" s="2894"/>
      <c r="AE73" s="2894"/>
      <c r="AF73" s="2894"/>
      <c r="AG73" s="2890"/>
      <c r="AH73" s="2890"/>
      <c r="AI73" s="2890"/>
      <c r="AJ73" s="2890"/>
      <c r="AK73" s="2892"/>
      <c r="AL73" s="2890"/>
      <c r="AM73" s="2890"/>
      <c r="AN73" s="2890"/>
      <c r="AO73" s="2893"/>
      <c r="AP73" s="2893"/>
      <c r="AQ73" s="2887"/>
    </row>
    <row r="74" spans="1:44" ht="24" customHeight="1" x14ac:dyDescent="0.2">
      <c r="A74" s="1798"/>
      <c r="B74" s="1800"/>
      <c r="C74" s="1800"/>
      <c r="D74" s="1799"/>
      <c r="E74" s="1800"/>
      <c r="F74" s="1800"/>
      <c r="G74" s="1799"/>
      <c r="H74" s="1800"/>
      <c r="I74" s="1800"/>
      <c r="J74" s="2764"/>
      <c r="K74" s="2767"/>
      <c r="L74" s="2767"/>
      <c r="M74" s="2904"/>
      <c r="N74" s="2059"/>
      <c r="O74" s="2914"/>
      <c r="P74" s="2911"/>
      <c r="Q74" s="2841"/>
      <c r="R74" s="2913"/>
      <c r="S74" s="2888"/>
      <c r="T74" s="2834"/>
      <c r="U74" s="2056" t="s">
        <v>1049</v>
      </c>
      <c r="V74" s="1472">
        <f>0+6360000</f>
        <v>6360000</v>
      </c>
      <c r="W74" s="1927">
        <v>20</v>
      </c>
      <c r="X74" s="1922" t="s">
        <v>959</v>
      </c>
      <c r="Y74" s="2897"/>
      <c r="Z74" s="2890"/>
      <c r="AA74" s="2909"/>
      <c r="AB74" s="2894"/>
      <c r="AC74" s="2894"/>
      <c r="AD74" s="2894"/>
      <c r="AE74" s="2894"/>
      <c r="AF74" s="2894"/>
      <c r="AG74" s="2890"/>
      <c r="AH74" s="2890"/>
      <c r="AI74" s="2890"/>
      <c r="AJ74" s="2890"/>
      <c r="AK74" s="2892"/>
      <c r="AL74" s="2890"/>
      <c r="AM74" s="2890"/>
      <c r="AN74" s="2890"/>
      <c r="AO74" s="2893"/>
      <c r="AP74" s="2893"/>
      <c r="AQ74" s="2887"/>
    </row>
    <row r="75" spans="1:44" ht="30.75" customHeight="1" x14ac:dyDescent="0.2">
      <c r="A75" s="1798"/>
      <c r="B75" s="1800"/>
      <c r="C75" s="1800"/>
      <c r="D75" s="1799"/>
      <c r="E75" s="1800"/>
      <c r="F75" s="1800"/>
      <c r="G75" s="1799"/>
      <c r="H75" s="1800"/>
      <c r="I75" s="1800"/>
      <c r="J75" s="2764"/>
      <c r="K75" s="2767"/>
      <c r="L75" s="2767"/>
      <c r="M75" s="2904"/>
      <c r="N75" s="1930" t="s">
        <v>2539</v>
      </c>
      <c r="O75" s="2914"/>
      <c r="P75" s="2911"/>
      <c r="Q75" s="2841"/>
      <c r="R75" s="2913"/>
      <c r="S75" s="2888"/>
      <c r="T75" s="2834"/>
      <c r="U75" s="1925" t="s">
        <v>1050</v>
      </c>
      <c r="V75" s="1473">
        <f>0+3000000</f>
        <v>3000000</v>
      </c>
      <c r="W75" s="1519">
        <v>88</v>
      </c>
      <c r="X75" s="1519" t="s">
        <v>1047</v>
      </c>
      <c r="Y75" s="2897"/>
      <c r="Z75" s="2890"/>
      <c r="AA75" s="2909"/>
      <c r="AB75" s="2894"/>
      <c r="AC75" s="2894"/>
      <c r="AD75" s="2894"/>
      <c r="AE75" s="2894"/>
      <c r="AF75" s="2894"/>
      <c r="AG75" s="2890"/>
      <c r="AH75" s="2890"/>
      <c r="AI75" s="2890"/>
      <c r="AJ75" s="2890"/>
      <c r="AK75" s="2892"/>
      <c r="AL75" s="2890"/>
      <c r="AM75" s="2890"/>
      <c r="AN75" s="2890"/>
      <c r="AO75" s="2893"/>
      <c r="AP75" s="2893"/>
      <c r="AQ75" s="2887"/>
    </row>
    <row r="76" spans="1:44" ht="30.75" customHeight="1" x14ac:dyDescent="0.2">
      <c r="A76" s="1798"/>
      <c r="B76" s="1800"/>
      <c r="C76" s="1800"/>
      <c r="D76" s="1799"/>
      <c r="E76" s="1800"/>
      <c r="F76" s="1800"/>
      <c r="G76" s="1799"/>
      <c r="H76" s="1800"/>
      <c r="I76" s="216"/>
      <c r="J76" s="2764"/>
      <c r="K76" s="2767"/>
      <c r="L76" s="2767"/>
      <c r="M76" s="2904"/>
      <c r="N76" s="1930" t="s">
        <v>2540</v>
      </c>
      <c r="O76" s="2914"/>
      <c r="P76" s="2911"/>
      <c r="Q76" s="2841"/>
      <c r="R76" s="2913"/>
      <c r="S76" s="2888"/>
      <c r="T76" s="2834"/>
      <c r="U76" s="2057" t="s">
        <v>1051</v>
      </c>
      <c r="V76" s="1472">
        <f>0+7221400</f>
        <v>7221400</v>
      </c>
      <c r="W76" s="1519">
        <v>88</v>
      </c>
      <c r="X76" s="1519" t="s">
        <v>1047</v>
      </c>
      <c r="Y76" s="2897"/>
      <c r="Z76" s="2890"/>
      <c r="AA76" s="2909"/>
      <c r="AB76" s="2894"/>
      <c r="AC76" s="2894"/>
      <c r="AD76" s="2894"/>
      <c r="AE76" s="2894"/>
      <c r="AF76" s="2894"/>
      <c r="AG76" s="2890"/>
      <c r="AH76" s="2890"/>
      <c r="AI76" s="2890"/>
      <c r="AJ76" s="2890"/>
      <c r="AK76" s="2892"/>
      <c r="AL76" s="2890"/>
      <c r="AM76" s="2890"/>
      <c r="AN76" s="2890"/>
      <c r="AO76" s="2893"/>
      <c r="AP76" s="2893"/>
      <c r="AQ76" s="2887"/>
    </row>
    <row r="77" spans="1:44" ht="82.5" customHeight="1" x14ac:dyDescent="0.2">
      <c r="A77" s="1798"/>
      <c r="B77" s="1800"/>
      <c r="C77" s="1800"/>
      <c r="D77" s="1799"/>
      <c r="E77" s="1800"/>
      <c r="F77" s="1800"/>
      <c r="G77" s="1799"/>
      <c r="H77" s="1800"/>
      <c r="I77" s="216"/>
      <c r="J77" s="1797">
        <v>258</v>
      </c>
      <c r="K77" s="1747" t="s">
        <v>1052</v>
      </c>
      <c r="L77" s="1747" t="s">
        <v>1053</v>
      </c>
      <c r="M77" s="1790">
        <v>1</v>
      </c>
      <c r="N77" s="2059"/>
      <c r="O77" s="2914"/>
      <c r="P77" s="2911"/>
      <c r="Q77" s="1794">
        <f>(V77)/R68</f>
        <v>7.4621259546763491E-2</v>
      </c>
      <c r="R77" s="2913"/>
      <c r="S77" s="2888"/>
      <c r="T77" s="1795" t="s">
        <v>1054</v>
      </c>
      <c r="U77" s="1964" t="s">
        <v>1055</v>
      </c>
      <c r="V77" s="1473">
        <v>29800000</v>
      </c>
      <c r="W77" s="1927">
        <v>20</v>
      </c>
      <c r="X77" s="1922" t="s">
        <v>959</v>
      </c>
      <c r="Y77" s="2896"/>
      <c r="Z77" s="2890"/>
      <c r="AA77" s="2909"/>
      <c r="AB77" s="2894"/>
      <c r="AC77" s="2894"/>
      <c r="AD77" s="2894"/>
      <c r="AE77" s="2894"/>
      <c r="AF77" s="2894"/>
      <c r="AG77" s="2890"/>
      <c r="AH77" s="2890"/>
      <c r="AI77" s="2890"/>
      <c r="AJ77" s="2890"/>
      <c r="AK77" s="2892"/>
      <c r="AL77" s="2890"/>
      <c r="AM77" s="2890"/>
      <c r="AN77" s="2890"/>
      <c r="AO77" s="2893"/>
      <c r="AP77" s="2893"/>
      <c r="AQ77" s="2887"/>
    </row>
    <row r="78" spans="1:44" ht="61.5" customHeight="1" x14ac:dyDescent="0.2">
      <c r="A78" s="1798"/>
      <c r="B78" s="1800"/>
      <c r="C78" s="1800"/>
      <c r="D78" s="1799"/>
      <c r="E78" s="1800"/>
      <c r="F78" s="1800"/>
      <c r="G78" s="1799"/>
      <c r="H78" s="1800"/>
      <c r="I78" s="1800"/>
      <c r="J78" s="1787">
        <v>259</v>
      </c>
      <c r="K78" s="1744" t="s">
        <v>1056</v>
      </c>
      <c r="L78" s="1744" t="s">
        <v>1057</v>
      </c>
      <c r="M78" s="217">
        <v>1</v>
      </c>
      <c r="N78" s="2059"/>
      <c r="O78" s="2914"/>
      <c r="P78" s="2911"/>
      <c r="Q78" s="1792">
        <f>V78/R68</f>
        <v>2.1284587454613747E-2</v>
      </c>
      <c r="R78" s="2913"/>
      <c r="S78" s="2888"/>
      <c r="T78" s="1793" t="s">
        <v>1058</v>
      </c>
      <c r="U78" s="1925" t="s">
        <v>1059</v>
      </c>
      <c r="V78" s="1473">
        <v>8500000</v>
      </c>
      <c r="W78" s="1513" t="s">
        <v>1043</v>
      </c>
      <c r="X78" s="1521" t="s">
        <v>1044</v>
      </c>
      <c r="Y78" s="2896"/>
      <c r="Z78" s="2890"/>
      <c r="AA78" s="2909"/>
      <c r="AB78" s="2894"/>
      <c r="AC78" s="2894"/>
      <c r="AD78" s="2894"/>
      <c r="AE78" s="2894"/>
      <c r="AF78" s="2894"/>
      <c r="AG78" s="2890"/>
      <c r="AH78" s="2890"/>
      <c r="AI78" s="2890"/>
      <c r="AJ78" s="2890"/>
      <c r="AK78" s="2892"/>
      <c r="AL78" s="2890"/>
      <c r="AM78" s="2890"/>
      <c r="AN78" s="2890"/>
      <c r="AO78" s="2893"/>
      <c r="AP78" s="2893"/>
      <c r="AQ78" s="2887"/>
    </row>
    <row r="79" spans="1:44" ht="50.25" customHeight="1" x14ac:dyDescent="0.2">
      <c r="A79" s="1798"/>
      <c r="B79" s="1800"/>
      <c r="C79" s="1800"/>
      <c r="D79" s="1799"/>
      <c r="E79" s="1800"/>
      <c r="F79" s="1800"/>
      <c r="G79" s="1799"/>
      <c r="H79" s="1800"/>
      <c r="I79" s="1800"/>
      <c r="J79" s="1787">
        <v>263</v>
      </c>
      <c r="K79" s="1744" t="s">
        <v>1060</v>
      </c>
      <c r="L79" s="1744" t="s">
        <v>1061</v>
      </c>
      <c r="M79" s="217">
        <v>1</v>
      </c>
      <c r="N79" s="2059"/>
      <c r="O79" s="2914"/>
      <c r="P79" s="2911"/>
      <c r="Q79" s="1792">
        <f>V79/R68</f>
        <v>0.20032552898459999</v>
      </c>
      <c r="R79" s="2913"/>
      <c r="S79" s="2888"/>
      <c r="T79" s="1793" t="s">
        <v>1062</v>
      </c>
      <c r="U79" s="1964" t="s">
        <v>1063</v>
      </c>
      <c r="V79" s="1473">
        <v>80000000</v>
      </c>
      <c r="W79" s="1513" t="s">
        <v>1043</v>
      </c>
      <c r="X79" s="1521" t="s">
        <v>1044</v>
      </c>
      <c r="Y79" s="2896"/>
      <c r="Z79" s="2890"/>
      <c r="AA79" s="2909"/>
      <c r="AB79" s="2894"/>
      <c r="AC79" s="2894"/>
      <c r="AD79" s="2894"/>
      <c r="AE79" s="2894"/>
      <c r="AF79" s="2894"/>
      <c r="AG79" s="2890"/>
      <c r="AH79" s="2890"/>
      <c r="AI79" s="2890"/>
      <c r="AJ79" s="2890"/>
      <c r="AK79" s="2892"/>
      <c r="AL79" s="2890"/>
      <c r="AM79" s="2890"/>
      <c r="AN79" s="2890"/>
      <c r="AO79" s="2893"/>
      <c r="AP79" s="2893"/>
      <c r="AQ79" s="2887"/>
    </row>
    <row r="80" spans="1:44" ht="39" customHeight="1" x14ac:dyDescent="0.2">
      <c r="A80" s="1798"/>
      <c r="B80" s="1800"/>
      <c r="C80" s="1800"/>
      <c r="D80" s="1799"/>
      <c r="E80" s="1800"/>
      <c r="F80" s="1800"/>
      <c r="G80" s="1799"/>
      <c r="H80" s="1800"/>
      <c r="I80" s="1800"/>
      <c r="J80" s="2765">
        <v>261</v>
      </c>
      <c r="K80" s="2768" t="s">
        <v>1064</v>
      </c>
      <c r="L80" s="2768" t="s">
        <v>1065</v>
      </c>
      <c r="M80" s="2802">
        <v>2</v>
      </c>
      <c r="N80" s="2059"/>
      <c r="O80" s="2914"/>
      <c r="P80" s="2911"/>
      <c r="Q80" s="2760">
        <f>SUM(V80:V83)/R68</f>
        <v>0.14864154250657319</v>
      </c>
      <c r="R80" s="2913"/>
      <c r="S80" s="2888"/>
      <c r="T80" s="2844" t="s">
        <v>1066</v>
      </c>
      <c r="U80" s="2903" t="s">
        <v>1067</v>
      </c>
      <c r="V80" s="1473">
        <v>26400000</v>
      </c>
      <c r="W80" s="1927">
        <v>20</v>
      </c>
      <c r="X80" s="1922" t="s">
        <v>959</v>
      </c>
      <c r="Y80" s="2896"/>
      <c r="Z80" s="2890"/>
      <c r="AA80" s="2909"/>
      <c r="AB80" s="2894"/>
      <c r="AC80" s="2894"/>
      <c r="AD80" s="2894"/>
      <c r="AE80" s="2894"/>
      <c r="AF80" s="2894"/>
      <c r="AG80" s="2890"/>
      <c r="AH80" s="2890"/>
      <c r="AI80" s="2890"/>
      <c r="AJ80" s="2890"/>
      <c r="AK80" s="2892"/>
      <c r="AL80" s="2890"/>
      <c r="AM80" s="2890"/>
      <c r="AN80" s="2890"/>
      <c r="AO80" s="2893"/>
      <c r="AP80" s="2893"/>
      <c r="AQ80" s="2887"/>
    </row>
    <row r="81" spans="1:44" ht="55.5" customHeight="1" x14ac:dyDescent="0.2">
      <c r="A81" s="1798"/>
      <c r="B81" s="1800"/>
      <c r="C81" s="1800"/>
      <c r="D81" s="1799"/>
      <c r="E81" s="1800"/>
      <c r="F81" s="1800"/>
      <c r="G81" s="1799"/>
      <c r="H81" s="1800"/>
      <c r="I81" s="1800"/>
      <c r="J81" s="2887"/>
      <c r="K81" s="2888"/>
      <c r="L81" s="2888"/>
      <c r="M81" s="2818"/>
      <c r="N81" s="2059"/>
      <c r="O81" s="2914"/>
      <c r="P81" s="2911"/>
      <c r="Q81" s="2761"/>
      <c r="R81" s="2913"/>
      <c r="S81" s="2888"/>
      <c r="T81" s="2836"/>
      <c r="U81" s="2903"/>
      <c r="V81" s="1473">
        <f>0+8760000</f>
        <v>8760000</v>
      </c>
      <c r="W81" s="1516">
        <v>88</v>
      </c>
      <c r="X81" s="1519" t="s">
        <v>1047</v>
      </c>
      <c r="Y81" s="2896"/>
      <c r="Z81" s="2890"/>
      <c r="AA81" s="2909"/>
      <c r="AB81" s="2894"/>
      <c r="AC81" s="2894"/>
      <c r="AD81" s="2894"/>
      <c r="AE81" s="2894"/>
      <c r="AF81" s="2894"/>
      <c r="AG81" s="2890"/>
      <c r="AH81" s="2890"/>
      <c r="AI81" s="2890"/>
      <c r="AJ81" s="2890"/>
      <c r="AK81" s="2892"/>
      <c r="AL81" s="2890"/>
      <c r="AM81" s="2890"/>
      <c r="AN81" s="2890"/>
      <c r="AO81" s="2893"/>
      <c r="AP81" s="2893"/>
      <c r="AQ81" s="2887"/>
    </row>
    <row r="82" spans="1:44" ht="42.75" customHeight="1" x14ac:dyDescent="0.2">
      <c r="A82" s="1798"/>
      <c r="B82" s="1800"/>
      <c r="C82" s="1800"/>
      <c r="D82" s="1799"/>
      <c r="E82" s="1800"/>
      <c r="F82" s="1800"/>
      <c r="G82" s="1799"/>
      <c r="H82" s="1800"/>
      <c r="I82" s="1800"/>
      <c r="J82" s="2887"/>
      <c r="K82" s="2888"/>
      <c r="L82" s="2888"/>
      <c r="M82" s="2818"/>
      <c r="N82" s="2059"/>
      <c r="O82" s="2914"/>
      <c r="P82" s="2911"/>
      <c r="Q82" s="2761"/>
      <c r="R82" s="2913"/>
      <c r="S82" s="2888"/>
      <c r="T82" s="2836"/>
      <c r="U82" s="2903" t="s">
        <v>1068</v>
      </c>
      <c r="V82" s="1473">
        <v>13600000</v>
      </c>
      <c r="W82" s="1513">
        <v>20</v>
      </c>
      <c r="X82" s="1521" t="s">
        <v>1044</v>
      </c>
      <c r="Y82" s="2896"/>
      <c r="Z82" s="2890"/>
      <c r="AA82" s="2909"/>
      <c r="AB82" s="2894"/>
      <c r="AC82" s="2894"/>
      <c r="AD82" s="2894"/>
      <c r="AE82" s="2894"/>
      <c r="AF82" s="2894"/>
      <c r="AG82" s="2890"/>
      <c r="AH82" s="2890"/>
      <c r="AI82" s="2890"/>
      <c r="AJ82" s="2890"/>
      <c r="AK82" s="2892"/>
      <c r="AL82" s="2890"/>
      <c r="AM82" s="2890"/>
      <c r="AN82" s="2890"/>
      <c r="AO82" s="2893"/>
      <c r="AP82" s="2893"/>
      <c r="AQ82" s="2887"/>
    </row>
    <row r="83" spans="1:44" ht="35.25" customHeight="1" x14ac:dyDescent="0.2">
      <c r="A83" s="1798"/>
      <c r="B83" s="1800"/>
      <c r="C83" s="1800"/>
      <c r="D83" s="1799"/>
      <c r="E83" s="1800"/>
      <c r="F83" s="1800"/>
      <c r="G83" s="1799"/>
      <c r="H83" s="1800"/>
      <c r="I83" s="1800"/>
      <c r="J83" s="2887"/>
      <c r="K83" s="2888"/>
      <c r="L83" s="2888"/>
      <c r="M83" s="2818"/>
      <c r="N83" s="2059"/>
      <c r="O83" s="2914"/>
      <c r="P83" s="2911"/>
      <c r="Q83" s="2761"/>
      <c r="R83" s="2913"/>
      <c r="S83" s="2766"/>
      <c r="T83" s="2837"/>
      <c r="U83" s="2903"/>
      <c r="V83" s="1475">
        <f>0+10600000</f>
        <v>10600000</v>
      </c>
      <c r="W83" s="1516">
        <v>88</v>
      </c>
      <c r="X83" s="1519" t="s">
        <v>1047</v>
      </c>
      <c r="Y83" s="2898"/>
      <c r="Z83" s="2891"/>
      <c r="AA83" s="2910"/>
      <c r="AB83" s="2894"/>
      <c r="AC83" s="2894"/>
      <c r="AD83" s="2894"/>
      <c r="AE83" s="2894"/>
      <c r="AF83" s="2894"/>
      <c r="AG83" s="2891"/>
      <c r="AH83" s="2891"/>
      <c r="AI83" s="2891"/>
      <c r="AJ83" s="2891"/>
      <c r="AK83" s="2892"/>
      <c r="AL83" s="2891"/>
      <c r="AM83" s="2891"/>
      <c r="AN83" s="2891"/>
      <c r="AO83" s="2854"/>
      <c r="AP83" s="2854"/>
      <c r="AQ83" s="2763"/>
    </row>
    <row r="84" spans="1:44" ht="51" customHeight="1" x14ac:dyDescent="0.2">
      <c r="A84" s="165"/>
      <c r="B84" s="1800"/>
      <c r="C84" s="1800"/>
      <c r="D84" s="1785"/>
      <c r="E84" s="2959"/>
      <c r="F84" s="2959"/>
      <c r="G84" s="2836"/>
      <c r="H84" s="2959"/>
      <c r="I84" s="2959"/>
      <c r="J84" s="2858">
        <v>262</v>
      </c>
      <c r="K84" s="2776" t="s">
        <v>1069</v>
      </c>
      <c r="L84" s="2776" t="s">
        <v>1070</v>
      </c>
      <c r="M84" s="2858">
        <v>1</v>
      </c>
      <c r="N84" s="2858" t="s">
        <v>1071</v>
      </c>
      <c r="O84" s="2858" t="s">
        <v>1072</v>
      </c>
      <c r="P84" s="2776" t="s">
        <v>1073</v>
      </c>
      <c r="Q84" s="2880">
        <v>1</v>
      </c>
      <c r="R84" s="2882">
        <f>SUM(V84:V93)</f>
        <v>82600000</v>
      </c>
      <c r="S84" s="2831" t="s">
        <v>1074</v>
      </c>
      <c r="T84" s="2884" t="s">
        <v>1075</v>
      </c>
      <c r="U84" s="2876" t="s">
        <v>1076</v>
      </c>
      <c r="V84" s="1473">
        <v>6000000</v>
      </c>
      <c r="W84" s="1927">
        <v>20</v>
      </c>
      <c r="X84" s="1922" t="s">
        <v>959</v>
      </c>
      <c r="Y84" s="2772">
        <v>294321</v>
      </c>
      <c r="Z84" s="2874">
        <v>283947</v>
      </c>
      <c r="AA84" s="2772">
        <v>135754</v>
      </c>
      <c r="AB84" s="2771">
        <v>44640</v>
      </c>
      <c r="AC84" s="2771">
        <v>308178</v>
      </c>
      <c r="AD84" s="2771">
        <v>89696</v>
      </c>
      <c r="AE84" s="2771">
        <v>2145</v>
      </c>
      <c r="AF84" s="2771">
        <v>12718</v>
      </c>
      <c r="AG84" s="2772">
        <v>26</v>
      </c>
      <c r="AH84" s="2805">
        <v>37</v>
      </c>
      <c r="AI84" s="2772"/>
      <c r="AJ84" s="2772"/>
      <c r="AK84" s="2772">
        <v>54612</v>
      </c>
      <c r="AL84" s="2772">
        <v>16982</v>
      </c>
      <c r="AM84" s="2772">
        <v>1010</v>
      </c>
      <c r="AN84" s="2772">
        <f>Y84+Z84</f>
        <v>578268</v>
      </c>
      <c r="AO84" s="2819">
        <v>43102</v>
      </c>
      <c r="AP84" s="2819">
        <v>43465</v>
      </c>
      <c r="AQ84" s="2764" t="s">
        <v>1077</v>
      </c>
    </row>
    <row r="85" spans="1:44" ht="51" customHeight="1" x14ac:dyDescent="0.2">
      <c r="A85" s="165"/>
      <c r="B85" s="1800"/>
      <c r="C85" s="1800"/>
      <c r="D85" s="1785"/>
      <c r="E85" s="2959"/>
      <c r="F85" s="2959"/>
      <c r="G85" s="2836"/>
      <c r="H85" s="2959"/>
      <c r="I85" s="2959"/>
      <c r="J85" s="2858"/>
      <c r="K85" s="2776"/>
      <c r="L85" s="2776"/>
      <c r="M85" s="2858"/>
      <c r="N85" s="2858"/>
      <c r="O85" s="2858"/>
      <c r="P85" s="2776"/>
      <c r="Q85" s="2880"/>
      <c r="R85" s="2882"/>
      <c r="S85" s="2831"/>
      <c r="T85" s="2885"/>
      <c r="U85" s="2876"/>
      <c r="V85" s="1473">
        <f>0+4500000</f>
        <v>4500000</v>
      </c>
      <c r="W85" s="1513">
        <v>88</v>
      </c>
      <c r="X85" s="1479" t="s">
        <v>1047</v>
      </c>
      <c r="Y85" s="2772"/>
      <c r="Z85" s="2874"/>
      <c r="AA85" s="2772"/>
      <c r="AB85" s="2771"/>
      <c r="AC85" s="2771"/>
      <c r="AD85" s="2771"/>
      <c r="AE85" s="2771"/>
      <c r="AF85" s="2771"/>
      <c r="AG85" s="2772"/>
      <c r="AH85" s="2805"/>
      <c r="AI85" s="2772"/>
      <c r="AJ85" s="2772"/>
      <c r="AK85" s="2772"/>
      <c r="AL85" s="2772"/>
      <c r="AM85" s="2772"/>
      <c r="AN85" s="2772"/>
      <c r="AO85" s="2819"/>
      <c r="AP85" s="2819"/>
      <c r="AQ85" s="2764"/>
    </row>
    <row r="86" spans="1:44" ht="39.75" customHeight="1" x14ac:dyDescent="0.2">
      <c r="A86" s="165"/>
      <c r="B86" s="1800"/>
      <c r="C86" s="1800"/>
      <c r="D86" s="1785"/>
      <c r="E86" s="2959"/>
      <c r="F86" s="2959"/>
      <c r="G86" s="2836"/>
      <c r="H86" s="2959"/>
      <c r="I86" s="2959"/>
      <c r="J86" s="2858"/>
      <c r="K86" s="2776"/>
      <c r="L86" s="2776"/>
      <c r="M86" s="2858"/>
      <c r="N86" s="2858"/>
      <c r="O86" s="2858"/>
      <c r="P86" s="2776"/>
      <c r="Q86" s="2880"/>
      <c r="R86" s="2882"/>
      <c r="S86" s="2831"/>
      <c r="T86" s="2885"/>
      <c r="U86" s="2877" t="s">
        <v>1078</v>
      </c>
      <c r="V86" s="1473">
        <v>3600000</v>
      </c>
      <c r="W86" s="1927">
        <v>20</v>
      </c>
      <c r="X86" s="1922" t="s">
        <v>959</v>
      </c>
      <c r="Y86" s="2772"/>
      <c r="Z86" s="2874"/>
      <c r="AA86" s="2772"/>
      <c r="AB86" s="2771"/>
      <c r="AC86" s="2771"/>
      <c r="AD86" s="2771"/>
      <c r="AE86" s="2771"/>
      <c r="AF86" s="2771"/>
      <c r="AG86" s="2772"/>
      <c r="AH86" s="2805"/>
      <c r="AI86" s="2772"/>
      <c r="AJ86" s="2772"/>
      <c r="AK86" s="2772"/>
      <c r="AL86" s="2772"/>
      <c r="AM86" s="2772"/>
      <c r="AN86" s="2772"/>
      <c r="AO86" s="2819"/>
      <c r="AP86" s="2819"/>
      <c r="AQ86" s="2764"/>
    </row>
    <row r="87" spans="1:44" ht="36" customHeight="1" x14ac:dyDescent="0.2">
      <c r="A87" s="165"/>
      <c r="B87" s="1800"/>
      <c r="C87" s="1800"/>
      <c r="D87" s="1785"/>
      <c r="E87" s="2959"/>
      <c r="F87" s="2959"/>
      <c r="G87" s="2836"/>
      <c r="H87" s="2959"/>
      <c r="I87" s="2959"/>
      <c r="J87" s="2858"/>
      <c r="K87" s="2776"/>
      <c r="L87" s="2776"/>
      <c r="M87" s="2858"/>
      <c r="N87" s="2858"/>
      <c r="O87" s="2858"/>
      <c r="P87" s="2776"/>
      <c r="Q87" s="2880"/>
      <c r="R87" s="2882"/>
      <c r="S87" s="2831"/>
      <c r="T87" s="2885"/>
      <c r="U87" s="2877"/>
      <c r="V87" s="1473">
        <f>0+9300000</f>
        <v>9300000</v>
      </c>
      <c r="W87" s="1513">
        <v>88</v>
      </c>
      <c r="X87" s="1479" t="s">
        <v>2538</v>
      </c>
      <c r="Y87" s="2772"/>
      <c r="Z87" s="2874"/>
      <c r="AA87" s="2772"/>
      <c r="AB87" s="2771"/>
      <c r="AC87" s="2771"/>
      <c r="AD87" s="2771"/>
      <c r="AE87" s="2771"/>
      <c r="AF87" s="2771"/>
      <c r="AG87" s="2772"/>
      <c r="AH87" s="2805"/>
      <c r="AI87" s="2772"/>
      <c r="AJ87" s="2772"/>
      <c r="AK87" s="2772"/>
      <c r="AL87" s="2772"/>
      <c r="AM87" s="2772"/>
      <c r="AN87" s="2772"/>
      <c r="AO87" s="2819"/>
      <c r="AP87" s="2819"/>
      <c r="AQ87" s="2764"/>
    </row>
    <row r="88" spans="1:44" ht="42.75" customHeight="1" x14ac:dyDescent="0.2">
      <c r="A88" s="165"/>
      <c r="B88" s="1800"/>
      <c r="C88" s="1800"/>
      <c r="D88" s="1785"/>
      <c r="E88" s="2959"/>
      <c r="F88" s="2959"/>
      <c r="G88" s="2836"/>
      <c r="H88" s="2959"/>
      <c r="I88" s="2959"/>
      <c r="J88" s="2858"/>
      <c r="K88" s="2776"/>
      <c r="L88" s="2776"/>
      <c r="M88" s="2858"/>
      <c r="N88" s="2858"/>
      <c r="O88" s="2858"/>
      <c r="P88" s="2776"/>
      <c r="Q88" s="2880"/>
      <c r="R88" s="2882"/>
      <c r="S88" s="2831"/>
      <c r="T88" s="2885"/>
      <c r="U88" s="2876" t="s">
        <v>1079</v>
      </c>
      <c r="V88" s="1473">
        <f>960000+2000000</f>
        <v>2960000</v>
      </c>
      <c r="W88" s="1927">
        <v>20</v>
      </c>
      <c r="X88" s="1922" t="s">
        <v>959</v>
      </c>
      <c r="Y88" s="2772"/>
      <c r="Z88" s="2874"/>
      <c r="AA88" s="2772"/>
      <c r="AB88" s="2772"/>
      <c r="AC88" s="2772"/>
      <c r="AD88" s="2772"/>
      <c r="AE88" s="2772"/>
      <c r="AF88" s="2772"/>
      <c r="AG88" s="2772"/>
      <c r="AH88" s="2805"/>
      <c r="AI88" s="2772"/>
      <c r="AJ88" s="2772"/>
      <c r="AK88" s="2772"/>
      <c r="AL88" s="2772"/>
      <c r="AM88" s="2772"/>
      <c r="AN88" s="2772"/>
      <c r="AO88" s="2819"/>
      <c r="AP88" s="2819"/>
      <c r="AQ88" s="2764"/>
    </row>
    <row r="89" spans="1:44" ht="52.5" customHeight="1" x14ac:dyDescent="0.2">
      <c r="A89" s="165"/>
      <c r="B89" s="1800"/>
      <c r="C89" s="1800"/>
      <c r="D89" s="1785"/>
      <c r="E89" s="2959"/>
      <c r="F89" s="2959"/>
      <c r="G89" s="2836"/>
      <c r="H89" s="2959"/>
      <c r="I89" s="2959"/>
      <c r="J89" s="2858"/>
      <c r="K89" s="2776"/>
      <c r="L89" s="2776"/>
      <c r="M89" s="2858"/>
      <c r="N89" s="2858"/>
      <c r="O89" s="2858"/>
      <c r="P89" s="2776"/>
      <c r="Q89" s="2880"/>
      <c r="R89" s="2882"/>
      <c r="S89" s="2831"/>
      <c r="T89" s="2886"/>
      <c r="U89" s="2876"/>
      <c r="V89" s="1473">
        <f>0+3888666.63</f>
        <v>3888666.63</v>
      </c>
      <c r="W89" s="1513">
        <v>88</v>
      </c>
      <c r="X89" s="1479" t="s">
        <v>2538</v>
      </c>
      <c r="Y89" s="2772"/>
      <c r="Z89" s="2874"/>
      <c r="AA89" s="2772"/>
      <c r="AB89" s="2772"/>
      <c r="AC89" s="2772"/>
      <c r="AD89" s="2772"/>
      <c r="AE89" s="2772"/>
      <c r="AF89" s="2772"/>
      <c r="AG89" s="2772"/>
      <c r="AH89" s="2805"/>
      <c r="AI89" s="2772"/>
      <c r="AJ89" s="2772"/>
      <c r="AK89" s="2772"/>
      <c r="AL89" s="2772"/>
      <c r="AM89" s="2772"/>
      <c r="AN89" s="2772"/>
      <c r="AO89" s="2819"/>
      <c r="AP89" s="2819"/>
      <c r="AQ89" s="2764"/>
    </row>
    <row r="90" spans="1:44" ht="36" customHeight="1" x14ac:dyDescent="0.2">
      <c r="A90" s="165"/>
      <c r="B90" s="1800"/>
      <c r="C90" s="1800"/>
      <c r="D90" s="1785"/>
      <c r="E90" s="2959"/>
      <c r="F90" s="2959"/>
      <c r="G90" s="2836"/>
      <c r="H90" s="2959"/>
      <c r="I90" s="2959"/>
      <c r="J90" s="2858"/>
      <c r="K90" s="2776"/>
      <c r="L90" s="2776"/>
      <c r="M90" s="2858"/>
      <c r="N90" s="2858"/>
      <c r="O90" s="2858"/>
      <c r="P90" s="2776"/>
      <c r="Q90" s="2880"/>
      <c r="R90" s="2882"/>
      <c r="S90" s="2831"/>
      <c r="T90" s="2844" t="s">
        <v>1080</v>
      </c>
      <c r="U90" s="2876" t="s">
        <v>1081</v>
      </c>
      <c r="V90" s="1473">
        <f>19440000+10350000</f>
        <v>29790000</v>
      </c>
      <c r="W90" s="1927">
        <v>20</v>
      </c>
      <c r="X90" s="1922" t="s">
        <v>959</v>
      </c>
      <c r="Y90" s="2805"/>
      <c r="Z90" s="2874"/>
      <c r="AA90" s="2772"/>
      <c r="AB90" s="2772"/>
      <c r="AC90" s="2772"/>
      <c r="AD90" s="2772"/>
      <c r="AE90" s="2772"/>
      <c r="AF90" s="2772"/>
      <c r="AG90" s="2772"/>
      <c r="AH90" s="2805"/>
      <c r="AI90" s="2772"/>
      <c r="AJ90" s="2772"/>
      <c r="AK90" s="2772"/>
      <c r="AL90" s="2772"/>
      <c r="AM90" s="2772"/>
      <c r="AN90" s="2772"/>
      <c r="AO90" s="2819"/>
      <c r="AP90" s="2819"/>
      <c r="AQ90" s="2764"/>
    </row>
    <row r="91" spans="1:44" ht="36" customHeight="1" x14ac:dyDescent="0.2">
      <c r="A91" s="165"/>
      <c r="B91" s="1800"/>
      <c r="C91" s="1800"/>
      <c r="D91" s="1785"/>
      <c r="E91" s="2959"/>
      <c r="F91" s="2959"/>
      <c r="G91" s="2836"/>
      <c r="H91" s="2959"/>
      <c r="I91" s="2959"/>
      <c r="J91" s="2858"/>
      <c r="K91" s="2776"/>
      <c r="L91" s="2776"/>
      <c r="M91" s="2858"/>
      <c r="N91" s="2858"/>
      <c r="O91" s="2858"/>
      <c r="P91" s="2776"/>
      <c r="Q91" s="2880"/>
      <c r="R91" s="2882"/>
      <c r="S91" s="2831"/>
      <c r="T91" s="2836"/>
      <c r="U91" s="2876"/>
      <c r="V91" s="1473">
        <v>15395000</v>
      </c>
      <c r="W91" s="1516">
        <v>88</v>
      </c>
      <c r="X91" s="1479" t="s">
        <v>2538</v>
      </c>
      <c r="Y91" s="2805"/>
      <c r="Z91" s="2874"/>
      <c r="AA91" s="2772"/>
      <c r="AB91" s="2772"/>
      <c r="AC91" s="2772"/>
      <c r="AD91" s="2772"/>
      <c r="AE91" s="2772"/>
      <c r="AF91" s="2772"/>
      <c r="AG91" s="2772"/>
      <c r="AH91" s="2805"/>
      <c r="AI91" s="2772"/>
      <c r="AJ91" s="2772"/>
      <c r="AK91" s="2772"/>
      <c r="AL91" s="2772"/>
      <c r="AM91" s="2772"/>
      <c r="AN91" s="2772"/>
      <c r="AO91" s="2819"/>
      <c r="AP91" s="2819"/>
      <c r="AQ91" s="2764"/>
    </row>
    <row r="92" spans="1:44" ht="45" customHeight="1" x14ac:dyDescent="0.2">
      <c r="A92" s="165"/>
      <c r="B92" s="1800"/>
      <c r="C92" s="1800"/>
      <c r="D92" s="1785"/>
      <c r="E92" s="2959"/>
      <c r="F92" s="2959"/>
      <c r="G92" s="2836"/>
      <c r="H92" s="2959"/>
      <c r="I92" s="2959"/>
      <c r="J92" s="2858"/>
      <c r="K92" s="2776"/>
      <c r="L92" s="2776"/>
      <c r="M92" s="2858"/>
      <c r="N92" s="2858"/>
      <c r="O92" s="2858"/>
      <c r="P92" s="2776"/>
      <c r="Q92" s="2880"/>
      <c r="R92" s="2882"/>
      <c r="S92" s="2831"/>
      <c r="T92" s="2836"/>
      <c r="U92" s="2058" t="s">
        <v>1082</v>
      </c>
      <c r="V92" s="1473">
        <f>0+7296333.33-5145000</f>
        <v>2151333.33</v>
      </c>
      <c r="W92" s="1516">
        <v>88</v>
      </c>
      <c r="X92" s="1479" t="s">
        <v>2538</v>
      </c>
      <c r="Y92" s="2805"/>
      <c r="Z92" s="2874"/>
      <c r="AA92" s="2772"/>
      <c r="AB92" s="2772"/>
      <c r="AC92" s="2772"/>
      <c r="AD92" s="2772"/>
      <c r="AE92" s="2772"/>
      <c r="AF92" s="2772"/>
      <c r="AG92" s="2772"/>
      <c r="AH92" s="2805"/>
      <c r="AI92" s="2772"/>
      <c r="AJ92" s="2772"/>
      <c r="AK92" s="2772"/>
      <c r="AL92" s="2772"/>
      <c r="AM92" s="2772"/>
      <c r="AN92" s="2772"/>
      <c r="AO92" s="2819"/>
      <c r="AP92" s="2819"/>
      <c r="AQ92" s="2764"/>
      <c r="AR92" s="1863"/>
    </row>
    <row r="93" spans="1:44" ht="45" customHeight="1" x14ac:dyDescent="0.2">
      <c r="A93" s="165"/>
      <c r="B93" s="1800"/>
      <c r="C93" s="1800"/>
      <c r="D93" s="1785"/>
      <c r="E93" s="2959"/>
      <c r="F93" s="2959"/>
      <c r="G93" s="2836"/>
      <c r="H93" s="2959"/>
      <c r="I93" s="2959"/>
      <c r="J93" s="2878"/>
      <c r="K93" s="2879"/>
      <c r="L93" s="2879"/>
      <c r="M93" s="2878"/>
      <c r="N93" s="2878"/>
      <c r="O93" s="2878"/>
      <c r="P93" s="2879"/>
      <c r="Q93" s="2881"/>
      <c r="R93" s="2883"/>
      <c r="S93" s="2872"/>
      <c r="T93" s="2836"/>
      <c r="U93" s="2624" t="s">
        <v>1083</v>
      </c>
      <c r="V93" s="2625">
        <f>0+5015000.04</f>
        <v>5015000.04</v>
      </c>
      <c r="W93" s="1514">
        <v>88</v>
      </c>
      <c r="X93" s="1521" t="s">
        <v>2538</v>
      </c>
      <c r="Y93" s="2873"/>
      <c r="Z93" s="2875"/>
      <c r="AA93" s="2802"/>
      <c r="AB93" s="2802"/>
      <c r="AC93" s="2802"/>
      <c r="AD93" s="2802"/>
      <c r="AE93" s="2802"/>
      <c r="AF93" s="2802"/>
      <c r="AG93" s="2802"/>
      <c r="AH93" s="2873"/>
      <c r="AI93" s="2802"/>
      <c r="AJ93" s="2802"/>
      <c r="AK93" s="2802"/>
      <c r="AL93" s="2802"/>
      <c r="AM93" s="2802"/>
      <c r="AN93" s="2802"/>
      <c r="AO93" s="2823"/>
      <c r="AP93" s="2823"/>
      <c r="AQ93" s="2765"/>
    </row>
    <row r="94" spans="1:44" s="2627" customFormat="1" ht="43.5" customHeight="1" x14ac:dyDescent="0.2">
      <c r="A94" s="2629"/>
      <c r="B94" s="2630"/>
      <c r="C94" s="2630"/>
      <c r="D94" s="1691"/>
      <c r="E94" s="1691"/>
      <c r="F94" s="1691"/>
      <c r="G94" s="1691"/>
      <c r="H94" s="1691"/>
      <c r="I94" s="1691"/>
      <c r="J94" s="2871">
        <v>264</v>
      </c>
      <c r="K94" s="2863" t="s">
        <v>1084</v>
      </c>
      <c r="L94" s="2863" t="s">
        <v>1085</v>
      </c>
      <c r="M94" s="2871">
        <v>1</v>
      </c>
      <c r="N94" s="2870" t="s">
        <v>1086</v>
      </c>
      <c r="O94" s="2871" t="s">
        <v>1087</v>
      </c>
      <c r="P94" s="2863" t="s">
        <v>1088</v>
      </c>
      <c r="Q94" s="2864">
        <v>1</v>
      </c>
      <c r="R94" s="2865">
        <f>SUM(V94:V99)</f>
        <v>37650000</v>
      </c>
      <c r="S94" s="2866" t="s">
        <v>1089</v>
      </c>
      <c r="T94" s="2866" t="s">
        <v>1090</v>
      </c>
      <c r="U94" s="2867" t="s">
        <v>1091</v>
      </c>
      <c r="V94" s="2631">
        <v>10000000</v>
      </c>
      <c r="W94" s="1412">
        <v>20</v>
      </c>
      <c r="X94" s="1479" t="s">
        <v>959</v>
      </c>
      <c r="Y94" s="2853">
        <v>294321</v>
      </c>
      <c r="Z94" s="2869">
        <v>283947</v>
      </c>
      <c r="AA94" s="2853">
        <v>135754</v>
      </c>
      <c r="AB94" s="2853">
        <v>44640</v>
      </c>
      <c r="AC94" s="2853">
        <v>308178</v>
      </c>
      <c r="AD94" s="2853">
        <v>89696</v>
      </c>
      <c r="AE94" s="2853">
        <v>2145</v>
      </c>
      <c r="AF94" s="2853">
        <v>12718</v>
      </c>
      <c r="AG94" s="2853">
        <v>26</v>
      </c>
      <c r="AH94" s="2853">
        <v>37</v>
      </c>
      <c r="AI94" s="2853"/>
      <c r="AJ94" s="2853"/>
      <c r="AK94" s="2853">
        <v>54612</v>
      </c>
      <c r="AL94" s="2853">
        <v>16982</v>
      </c>
      <c r="AM94" s="2853">
        <v>1010</v>
      </c>
      <c r="AN94" s="2853">
        <f>+Y94+Z94</f>
        <v>578268</v>
      </c>
      <c r="AO94" s="2845">
        <v>43102</v>
      </c>
      <c r="AP94" s="2845">
        <v>43465</v>
      </c>
      <c r="AQ94" s="2846" t="s">
        <v>960</v>
      </c>
    </row>
    <row r="95" spans="1:44" s="2627" customFormat="1" ht="36.75" customHeight="1" x14ac:dyDescent="0.2">
      <c r="A95" s="2629"/>
      <c r="B95" s="2630"/>
      <c r="C95" s="2630"/>
      <c r="D95" s="1691"/>
      <c r="E95" s="1691"/>
      <c r="F95" s="1691"/>
      <c r="G95" s="1691"/>
      <c r="H95" s="1691"/>
      <c r="I95" s="1691"/>
      <c r="J95" s="2871"/>
      <c r="K95" s="2863"/>
      <c r="L95" s="2863"/>
      <c r="M95" s="2871"/>
      <c r="N95" s="2870"/>
      <c r="O95" s="2871"/>
      <c r="P95" s="2863"/>
      <c r="Q95" s="2864"/>
      <c r="R95" s="2865"/>
      <c r="S95" s="2866"/>
      <c r="T95" s="2866"/>
      <c r="U95" s="2867"/>
      <c r="V95" s="2631">
        <f>0+15000000-15000000</f>
        <v>0</v>
      </c>
      <c r="W95" s="2632">
        <v>88</v>
      </c>
      <c r="X95" s="2633" t="s">
        <v>135</v>
      </c>
      <c r="Y95" s="2853"/>
      <c r="Z95" s="2869"/>
      <c r="AA95" s="2853"/>
      <c r="AB95" s="2853"/>
      <c r="AC95" s="2853"/>
      <c r="AD95" s="2853"/>
      <c r="AE95" s="2853"/>
      <c r="AF95" s="2853"/>
      <c r="AG95" s="2853"/>
      <c r="AH95" s="2853"/>
      <c r="AI95" s="2853"/>
      <c r="AJ95" s="2853"/>
      <c r="AK95" s="2853"/>
      <c r="AL95" s="2853"/>
      <c r="AM95" s="2853"/>
      <c r="AN95" s="2853"/>
      <c r="AO95" s="2845"/>
      <c r="AP95" s="2845"/>
      <c r="AQ95" s="2846"/>
    </row>
    <row r="96" spans="1:44" s="2627" customFormat="1" ht="37.5" customHeight="1" x14ac:dyDescent="0.2">
      <c r="A96" s="2629"/>
      <c r="B96" s="2630"/>
      <c r="C96" s="2630"/>
      <c r="D96" s="1691"/>
      <c r="E96" s="1691"/>
      <c r="F96" s="1691"/>
      <c r="G96" s="1691"/>
      <c r="H96" s="1691"/>
      <c r="I96" s="1691"/>
      <c r="J96" s="2871"/>
      <c r="K96" s="2863"/>
      <c r="L96" s="2863"/>
      <c r="M96" s="2871"/>
      <c r="N96" s="2870"/>
      <c r="O96" s="2871"/>
      <c r="P96" s="2863"/>
      <c r="Q96" s="2864"/>
      <c r="R96" s="2865"/>
      <c r="S96" s="2866"/>
      <c r="T96" s="2866"/>
      <c r="U96" s="2868" t="s">
        <v>1092</v>
      </c>
      <c r="V96" s="2631">
        <v>10000000</v>
      </c>
      <c r="W96" s="1412">
        <v>20</v>
      </c>
      <c r="X96" s="1479" t="s">
        <v>959</v>
      </c>
      <c r="Y96" s="2853"/>
      <c r="Z96" s="2869"/>
      <c r="AA96" s="2853"/>
      <c r="AB96" s="2853"/>
      <c r="AC96" s="2853"/>
      <c r="AD96" s="2853"/>
      <c r="AE96" s="2853"/>
      <c r="AF96" s="2853"/>
      <c r="AG96" s="2853"/>
      <c r="AH96" s="2853"/>
      <c r="AI96" s="2853"/>
      <c r="AJ96" s="2853"/>
      <c r="AK96" s="2853"/>
      <c r="AL96" s="2853"/>
      <c r="AM96" s="2853"/>
      <c r="AN96" s="2853"/>
      <c r="AO96" s="2845"/>
      <c r="AP96" s="2845"/>
      <c r="AQ96" s="2846"/>
      <c r="AR96" s="2628"/>
    </row>
    <row r="97" spans="1:44" s="2627" customFormat="1" ht="37.5" customHeight="1" x14ac:dyDescent="0.2">
      <c r="A97" s="2629"/>
      <c r="B97" s="2630"/>
      <c r="C97" s="2630"/>
      <c r="D97" s="1691"/>
      <c r="E97" s="1691"/>
      <c r="F97" s="1691"/>
      <c r="G97" s="1691"/>
      <c r="H97" s="1691"/>
      <c r="I97" s="1691"/>
      <c r="J97" s="2871"/>
      <c r="K97" s="2863"/>
      <c r="L97" s="2863"/>
      <c r="M97" s="2871"/>
      <c r="N97" s="2870"/>
      <c r="O97" s="2871"/>
      <c r="P97" s="2863"/>
      <c r="Q97" s="2864"/>
      <c r="R97" s="2865"/>
      <c r="S97" s="2866"/>
      <c r="T97" s="2866"/>
      <c r="U97" s="2868"/>
      <c r="V97" s="2631">
        <f>0+15000000-15000000</f>
        <v>0</v>
      </c>
      <c r="W97" s="2634">
        <v>88</v>
      </c>
      <c r="X97" s="2633" t="s">
        <v>135</v>
      </c>
      <c r="Y97" s="2853"/>
      <c r="Z97" s="2869"/>
      <c r="AA97" s="2853"/>
      <c r="AB97" s="2853"/>
      <c r="AC97" s="2853"/>
      <c r="AD97" s="2853"/>
      <c r="AE97" s="2853"/>
      <c r="AF97" s="2853"/>
      <c r="AG97" s="2853"/>
      <c r="AH97" s="2853"/>
      <c r="AI97" s="2853"/>
      <c r="AJ97" s="2853"/>
      <c r="AK97" s="2853"/>
      <c r="AL97" s="2853"/>
      <c r="AM97" s="2853"/>
      <c r="AN97" s="2853"/>
      <c r="AO97" s="2845"/>
      <c r="AP97" s="2845"/>
      <c r="AQ97" s="2846"/>
    </row>
    <row r="98" spans="1:44" s="2627" customFormat="1" ht="25.5" customHeight="1" x14ac:dyDescent="0.2">
      <c r="A98" s="2629"/>
      <c r="B98" s="2630"/>
      <c r="C98" s="2630"/>
      <c r="D98" s="1691"/>
      <c r="E98" s="1691"/>
      <c r="F98" s="1691"/>
      <c r="G98" s="1691"/>
      <c r="H98" s="1691"/>
      <c r="I98" s="1691"/>
      <c r="J98" s="2871"/>
      <c r="K98" s="2863"/>
      <c r="L98" s="2863"/>
      <c r="M98" s="2871"/>
      <c r="N98" s="2870"/>
      <c r="O98" s="2871"/>
      <c r="P98" s="2863"/>
      <c r="Q98" s="2864"/>
      <c r="R98" s="2865"/>
      <c r="S98" s="2866"/>
      <c r="T98" s="2866"/>
      <c r="U98" s="2867" t="s">
        <v>1093</v>
      </c>
      <c r="V98" s="2631">
        <f>30000000-12350000</f>
        <v>17650000</v>
      </c>
      <c r="W98" s="1412">
        <v>20</v>
      </c>
      <c r="X98" s="1479" t="s">
        <v>959</v>
      </c>
      <c r="Y98" s="2853"/>
      <c r="Z98" s="2869"/>
      <c r="AA98" s="2853"/>
      <c r="AB98" s="2853"/>
      <c r="AC98" s="2853"/>
      <c r="AD98" s="2853"/>
      <c r="AE98" s="2853"/>
      <c r="AF98" s="2853"/>
      <c r="AG98" s="2853"/>
      <c r="AH98" s="2853"/>
      <c r="AI98" s="2853"/>
      <c r="AJ98" s="2853"/>
      <c r="AK98" s="2853"/>
      <c r="AL98" s="2853"/>
      <c r="AM98" s="2853"/>
      <c r="AN98" s="2853"/>
      <c r="AO98" s="2845"/>
      <c r="AP98" s="2845"/>
      <c r="AQ98" s="2846"/>
    </row>
    <row r="99" spans="1:44" s="2627" customFormat="1" ht="35.25" customHeight="1" x14ac:dyDescent="0.2">
      <c r="A99" s="2629"/>
      <c r="B99" s="2630"/>
      <c r="C99" s="2630"/>
      <c r="D99" s="1691"/>
      <c r="E99" s="1691"/>
      <c r="F99" s="1691"/>
      <c r="G99" s="1691"/>
      <c r="H99" s="1691"/>
      <c r="I99" s="1691"/>
      <c r="J99" s="2871"/>
      <c r="K99" s="2863"/>
      <c r="L99" s="2863"/>
      <c r="M99" s="2871"/>
      <c r="N99" s="2870"/>
      <c r="O99" s="2871"/>
      <c r="P99" s="2863"/>
      <c r="Q99" s="2864"/>
      <c r="R99" s="2865"/>
      <c r="S99" s="2866"/>
      <c r="T99" s="2866"/>
      <c r="U99" s="2867"/>
      <c r="V99" s="2635">
        <f>0+20000000-20000000</f>
        <v>0</v>
      </c>
      <c r="W99" s="2632">
        <v>88</v>
      </c>
      <c r="X99" s="2633" t="s">
        <v>135</v>
      </c>
      <c r="Y99" s="2853"/>
      <c r="Z99" s="2869"/>
      <c r="AA99" s="2853"/>
      <c r="AB99" s="2853"/>
      <c r="AC99" s="2853"/>
      <c r="AD99" s="2853"/>
      <c r="AE99" s="2853"/>
      <c r="AF99" s="2853"/>
      <c r="AG99" s="2853"/>
      <c r="AH99" s="2853"/>
      <c r="AI99" s="2853"/>
      <c r="AJ99" s="2853"/>
      <c r="AK99" s="2853"/>
      <c r="AL99" s="2853"/>
      <c r="AM99" s="2853"/>
      <c r="AN99" s="2853"/>
      <c r="AO99" s="2845"/>
      <c r="AP99" s="2845"/>
      <c r="AQ99" s="2846"/>
    </row>
    <row r="100" spans="1:44" ht="69" customHeight="1" x14ac:dyDescent="0.2">
      <c r="A100" s="2847"/>
      <c r="B100" s="2848"/>
      <c r="C100" s="2848"/>
      <c r="D100" s="2849"/>
      <c r="E100" s="2848"/>
      <c r="F100" s="2848"/>
      <c r="G100" s="2849"/>
      <c r="H100" s="2850"/>
      <c r="I100" s="2850"/>
      <c r="J100" s="2851">
        <v>265</v>
      </c>
      <c r="K100" s="2775" t="s">
        <v>1094</v>
      </c>
      <c r="L100" s="2775" t="s">
        <v>1095</v>
      </c>
      <c r="M100" s="2855">
        <v>1</v>
      </c>
      <c r="N100" s="2857" t="s">
        <v>1096</v>
      </c>
      <c r="O100" s="2857" t="s">
        <v>1097</v>
      </c>
      <c r="P100" s="2859" t="s">
        <v>1098</v>
      </c>
      <c r="Q100" s="2861">
        <v>1</v>
      </c>
      <c r="R100" s="2828">
        <f>SUM(V100:V122)</f>
        <v>493700000</v>
      </c>
      <c r="S100" s="2830" t="s">
        <v>1099</v>
      </c>
      <c r="T100" s="2836" t="s">
        <v>1100</v>
      </c>
      <c r="U100" s="2626" t="s">
        <v>1101</v>
      </c>
      <c r="V100" s="1476">
        <f>18000000-4000000-14000000</f>
        <v>0</v>
      </c>
      <c r="W100" s="1518" t="s">
        <v>1043</v>
      </c>
      <c r="X100" s="1520" t="s">
        <v>153</v>
      </c>
      <c r="Y100" s="2824">
        <v>294321</v>
      </c>
      <c r="Z100" s="2826">
        <v>283947</v>
      </c>
      <c r="AA100" s="2824">
        <v>135754</v>
      </c>
      <c r="AB100" s="2824">
        <v>44640</v>
      </c>
      <c r="AC100" s="2824">
        <v>308178</v>
      </c>
      <c r="AD100" s="2824">
        <v>89696</v>
      </c>
      <c r="AE100" s="2824">
        <v>2145</v>
      </c>
      <c r="AF100" s="2824">
        <v>12718</v>
      </c>
      <c r="AG100" s="2824">
        <v>26</v>
      </c>
      <c r="AH100" s="2824">
        <v>37</v>
      </c>
      <c r="AI100" s="2824"/>
      <c r="AJ100" s="2824"/>
      <c r="AK100" s="2824">
        <v>54612</v>
      </c>
      <c r="AL100" s="2824">
        <v>16982</v>
      </c>
      <c r="AM100" s="2824">
        <v>1010</v>
      </c>
      <c r="AN100" s="2824">
        <f>+Y100+Z100</f>
        <v>578268</v>
      </c>
      <c r="AO100" s="2854">
        <v>43102</v>
      </c>
      <c r="AP100" s="2854">
        <v>43465</v>
      </c>
      <c r="AQ100" s="2763" t="s">
        <v>1077</v>
      </c>
    </row>
    <row r="101" spans="1:44" ht="104.25" customHeight="1" x14ac:dyDescent="0.2">
      <c r="A101" s="2847"/>
      <c r="B101" s="2848"/>
      <c r="C101" s="2848"/>
      <c r="D101" s="2849"/>
      <c r="E101" s="2848"/>
      <c r="F101" s="2848"/>
      <c r="G101" s="2849"/>
      <c r="H101" s="2850"/>
      <c r="I101" s="2850"/>
      <c r="J101" s="2852"/>
      <c r="K101" s="2776"/>
      <c r="L101" s="2776"/>
      <c r="M101" s="2856"/>
      <c r="N101" s="2858"/>
      <c r="O101" s="2858"/>
      <c r="P101" s="2860"/>
      <c r="Q101" s="2862"/>
      <c r="R101" s="2829"/>
      <c r="S101" s="2831"/>
      <c r="T101" s="2836"/>
      <c r="U101" s="1925" t="s">
        <v>1102</v>
      </c>
      <c r="V101" s="1473">
        <f>55440000+11340000</f>
        <v>66780000</v>
      </c>
      <c r="W101" s="1513" t="s">
        <v>1043</v>
      </c>
      <c r="X101" s="1479" t="s">
        <v>153</v>
      </c>
      <c r="Y101" s="2824"/>
      <c r="Z101" s="2826"/>
      <c r="AA101" s="2824"/>
      <c r="AB101" s="2824"/>
      <c r="AC101" s="2824"/>
      <c r="AD101" s="2824"/>
      <c r="AE101" s="2824"/>
      <c r="AF101" s="2824"/>
      <c r="AG101" s="2824"/>
      <c r="AH101" s="2824"/>
      <c r="AI101" s="2824"/>
      <c r="AJ101" s="2824"/>
      <c r="AK101" s="2824"/>
      <c r="AL101" s="2824"/>
      <c r="AM101" s="2824"/>
      <c r="AN101" s="2824"/>
      <c r="AO101" s="2819"/>
      <c r="AP101" s="2819"/>
      <c r="AQ101" s="2764"/>
      <c r="AR101" s="1863"/>
    </row>
    <row r="102" spans="1:44" ht="62.25" customHeight="1" x14ac:dyDescent="0.2">
      <c r="A102" s="2847"/>
      <c r="B102" s="2848"/>
      <c r="C102" s="2848"/>
      <c r="D102" s="2849"/>
      <c r="E102" s="2848"/>
      <c r="F102" s="2848"/>
      <c r="G102" s="2849"/>
      <c r="H102" s="2850"/>
      <c r="I102" s="2850"/>
      <c r="J102" s="2852"/>
      <c r="K102" s="2776"/>
      <c r="L102" s="2776"/>
      <c r="M102" s="2856"/>
      <c r="N102" s="2858"/>
      <c r="O102" s="2858"/>
      <c r="P102" s="2860"/>
      <c r="Q102" s="2862"/>
      <c r="R102" s="2829"/>
      <c r="S102" s="2831"/>
      <c r="T102" s="2836"/>
      <c r="U102" s="1933" t="s">
        <v>1103</v>
      </c>
      <c r="V102" s="1473">
        <f>92400000-80640000</f>
        <v>11760000</v>
      </c>
      <c r="W102" s="1513" t="s">
        <v>1043</v>
      </c>
      <c r="X102" s="1479" t="s">
        <v>153</v>
      </c>
      <c r="Y102" s="2824"/>
      <c r="Z102" s="2826"/>
      <c r="AA102" s="2824"/>
      <c r="AB102" s="2824"/>
      <c r="AC102" s="2824"/>
      <c r="AD102" s="2824"/>
      <c r="AE102" s="2824"/>
      <c r="AF102" s="2824"/>
      <c r="AG102" s="2824"/>
      <c r="AH102" s="2824"/>
      <c r="AI102" s="2824"/>
      <c r="AJ102" s="2824"/>
      <c r="AK102" s="2824"/>
      <c r="AL102" s="2824"/>
      <c r="AM102" s="2824"/>
      <c r="AN102" s="2824"/>
      <c r="AO102" s="2819"/>
      <c r="AP102" s="2819"/>
      <c r="AQ102" s="2764"/>
    </row>
    <row r="103" spans="1:44" ht="35.25" customHeight="1" x14ac:dyDescent="0.2">
      <c r="A103" s="2847"/>
      <c r="B103" s="2848"/>
      <c r="C103" s="2848"/>
      <c r="D103" s="2849"/>
      <c r="E103" s="2848"/>
      <c r="F103" s="2848"/>
      <c r="G103" s="2849"/>
      <c r="H103" s="2850"/>
      <c r="I103" s="2850"/>
      <c r="J103" s="2852"/>
      <c r="K103" s="2776"/>
      <c r="L103" s="2776"/>
      <c r="M103" s="2856"/>
      <c r="N103" s="2858"/>
      <c r="O103" s="2858"/>
      <c r="P103" s="2860"/>
      <c r="Q103" s="2862"/>
      <c r="R103" s="2829"/>
      <c r="S103" s="2831"/>
      <c r="T103" s="2836"/>
      <c r="U103" s="2794" t="s">
        <v>1104</v>
      </c>
      <c r="V103" s="1473">
        <f>5760000+20170000</f>
        <v>25930000</v>
      </c>
      <c r="W103" s="1927">
        <v>20</v>
      </c>
      <c r="X103" s="1922" t="s">
        <v>959</v>
      </c>
      <c r="Y103" s="2824"/>
      <c r="Z103" s="2826"/>
      <c r="AA103" s="2824"/>
      <c r="AB103" s="2824"/>
      <c r="AC103" s="2824"/>
      <c r="AD103" s="2824"/>
      <c r="AE103" s="2824"/>
      <c r="AF103" s="2824"/>
      <c r="AG103" s="2824"/>
      <c r="AH103" s="2824"/>
      <c r="AI103" s="2824"/>
      <c r="AJ103" s="2824"/>
      <c r="AK103" s="2824"/>
      <c r="AL103" s="2824"/>
      <c r="AM103" s="2824"/>
      <c r="AN103" s="2824"/>
      <c r="AO103" s="2819"/>
      <c r="AP103" s="2819"/>
      <c r="AQ103" s="2764"/>
    </row>
    <row r="104" spans="1:44" ht="36.75" customHeight="1" x14ac:dyDescent="0.2">
      <c r="A104" s="2847"/>
      <c r="B104" s="2848"/>
      <c r="C104" s="2848"/>
      <c r="D104" s="2849"/>
      <c r="E104" s="2848"/>
      <c r="F104" s="2848"/>
      <c r="G104" s="2849"/>
      <c r="H104" s="2850"/>
      <c r="I104" s="2850"/>
      <c r="J104" s="2852"/>
      <c r="K104" s="2776"/>
      <c r="L104" s="2776"/>
      <c r="M104" s="2856"/>
      <c r="N104" s="2858"/>
      <c r="O104" s="2858"/>
      <c r="P104" s="2860"/>
      <c r="Q104" s="2862"/>
      <c r="R104" s="2829"/>
      <c r="S104" s="2831"/>
      <c r="T104" s="2836"/>
      <c r="U104" s="2794"/>
      <c r="V104" s="1473">
        <f>0+20000</f>
        <v>20000</v>
      </c>
      <c r="W104" s="1513">
        <v>88</v>
      </c>
      <c r="X104" s="1479" t="s">
        <v>135</v>
      </c>
      <c r="Y104" s="2824"/>
      <c r="Z104" s="2826"/>
      <c r="AA104" s="2824"/>
      <c r="AB104" s="2824"/>
      <c r="AC104" s="2824"/>
      <c r="AD104" s="2824"/>
      <c r="AE104" s="2824"/>
      <c r="AF104" s="2824"/>
      <c r="AG104" s="2824"/>
      <c r="AH104" s="2824"/>
      <c r="AI104" s="2824"/>
      <c r="AJ104" s="2824"/>
      <c r="AK104" s="2824"/>
      <c r="AL104" s="2824"/>
      <c r="AM104" s="2824"/>
      <c r="AN104" s="2824"/>
      <c r="AO104" s="2819"/>
      <c r="AP104" s="2819"/>
      <c r="AQ104" s="2764"/>
    </row>
    <row r="105" spans="1:44" ht="37.5" customHeight="1" x14ac:dyDescent="0.2">
      <c r="A105" s="2847"/>
      <c r="B105" s="2848"/>
      <c r="C105" s="2848"/>
      <c r="D105" s="2849"/>
      <c r="E105" s="2848"/>
      <c r="F105" s="2848"/>
      <c r="G105" s="2849"/>
      <c r="H105" s="2850"/>
      <c r="I105" s="2850"/>
      <c r="J105" s="2852"/>
      <c r="K105" s="2776"/>
      <c r="L105" s="2776"/>
      <c r="M105" s="2856"/>
      <c r="N105" s="2858"/>
      <c r="O105" s="2858"/>
      <c r="P105" s="2860"/>
      <c r="Q105" s="2862"/>
      <c r="R105" s="2829"/>
      <c r="S105" s="2831"/>
      <c r="T105" s="2836"/>
      <c r="U105" s="1933" t="s">
        <v>1105</v>
      </c>
      <c r="V105" s="1473">
        <f>5760000-5760000</f>
        <v>0</v>
      </c>
      <c r="W105" s="1927">
        <v>20</v>
      </c>
      <c r="X105" s="1922" t="s">
        <v>959</v>
      </c>
      <c r="Y105" s="2824"/>
      <c r="Z105" s="2826"/>
      <c r="AA105" s="2824"/>
      <c r="AB105" s="2824"/>
      <c r="AC105" s="2824"/>
      <c r="AD105" s="2824"/>
      <c r="AE105" s="2824"/>
      <c r="AF105" s="2824"/>
      <c r="AG105" s="2824"/>
      <c r="AH105" s="2824"/>
      <c r="AI105" s="2824"/>
      <c r="AJ105" s="2824"/>
      <c r="AK105" s="2824"/>
      <c r="AL105" s="2824"/>
      <c r="AM105" s="2824"/>
      <c r="AN105" s="2824"/>
      <c r="AO105" s="2819"/>
      <c r="AP105" s="2819"/>
      <c r="AQ105" s="2764"/>
    </row>
    <row r="106" spans="1:44" ht="34.5" customHeight="1" x14ac:dyDescent="0.2">
      <c r="A106" s="2847"/>
      <c r="B106" s="2848"/>
      <c r="C106" s="2848"/>
      <c r="D106" s="2849"/>
      <c r="E106" s="2848"/>
      <c r="F106" s="2848"/>
      <c r="G106" s="2849"/>
      <c r="H106" s="2850"/>
      <c r="I106" s="2850"/>
      <c r="J106" s="2852"/>
      <c r="K106" s="2776"/>
      <c r="L106" s="2776"/>
      <c r="M106" s="2856"/>
      <c r="N106" s="2858"/>
      <c r="O106" s="2858"/>
      <c r="P106" s="2860"/>
      <c r="Q106" s="2862"/>
      <c r="R106" s="2829"/>
      <c r="S106" s="2831"/>
      <c r="T106" s="2836"/>
      <c r="U106" s="2794" t="s">
        <v>1106</v>
      </c>
      <c r="V106" s="1473">
        <f>14410000-14410000</f>
        <v>0</v>
      </c>
      <c r="W106" s="1927">
        <v>20</v>
      </c>
      <c r="X106" s="1922" t="s">
        <v>959</v>
      </c>
      <c r="Y106" s="2824"/>
      <c r="Z106" s="2826"/>
      <c r="AA106" s="2824"/>
      <c r="AB106" s="2824"/>
      <c r="AC106" s="2824"/>
      <c r="AD106" s="2824"/>
      <c r="AE106" s="2824"/>
      <c r="AF106" s="2824"/>
      <c r="AG106" s="2824"/>
      <c r="AH106" s="2824"/>
      <c r="AI106" s="2824"/>
      <c r="AJ106" s="2824"/>
      <c r="AK106" s="2824"/>
      <c r="AL106" s="2824"/>
      <c r="AM106" s="2824"/>
      <c r="AN106" s="2824"/>
      <c r="AO106" s="2819"/>
      <c r="AP106" s="2819"/>
      <c r="AQ106" s="2764"/>
    </row>
    <row r="107" spans="1:44" ht="30.75" customHeight="1" x14ac:dyDescent="0.2">
      <c r="A107" s="2847"/>
      <c r="B107" s="2848"/>
      <c r="C107" s="2848"/>
      <c r="D107" s="2849"/>
      <c r="E107" s="2848"/>
      <c r="F107" s="2848"/>
      <c r="G107" s="2849"/>
      <c r="H107" s="2850"/>
      <c r="I107" s="2850"/>
      <c r="J107" s="2852"/>
      <c r="K107" s="2776"/>
      <c r="L107" s="2776"/>
      <c r="M107" s="2856"/>
      <c r="N107" s="2858"/>
      <c r="O107" s="2858"/>
      <c r="P107" s="2860"/>
      <c r="Q107" s="2862"/>
      <c r="R107" s="2829"/>
      <c r="S107" s="2831"/>
      <c r="T107" s="2837"/>
      <c r="U107" s="2794"/>
      <c r="V107" s="1473">
        <f>20000-20000</f>
        <v>0</v>
      </c>
      <c r="W107" s="1513">
        <v>88</v>
      </c>
      <c r="X107" s="1479" t="s">
        <v>135</v>
      </c>
      <c r="Y107" s="2824"/>
      <c r="Z107" s="2826"/>
      <c r="AA107" s="2824"/>
      <c r="AB107" s="2824"/>
      <c r="AC107" s="2824"/>
      <c r="AD107" s="2824"/>
      <c r="AE107" s="2824"/>
      <c r="AF107" s="2824"/>
      <c r="AG107" s="2824"/>
      <c r="AH107" s="2824"/>
      <c r="AI107" s="2824"/>
      <c r="AJ107" s="2824"/>
      <c r="AK107" s="2824"/>
      <c r="AL107" s="2824"/>
      <c r="AM107" s="2824"/>
      <c r="AN107" s="2824"/>
      <c r="AO107" s="2819"/>
      <c r="AP107" s="2819"/>
      <c r="AQ107" s="2764"/>
    </row>
    <row r="108" spans="1:44" ht="39.75" customHeight="1" x14ac:dyDescent="0.2">
      <c r="A108" s="2847"/>
      <c r="B108" s="2848"/>
      <c r="C108" s="2848"/>
      <c r="D108" s="2849"/>
      <c r="E108" s="2848"/>
      <c r="F108" s="2848"/>
      <c r="G108" s="2849"/>
      <c r="H108" s="2850"/>
      <c r="I108" s="2850"/>
      <c r="J108" s="2852"/>
      <c r="K108" s="2776"/>
      <c r="L108" s="2776"/>
      <c r="M108" s="2856"/>
      <c r="N108" s="2858"/>
      <c r="O108" s="2858"/>
      <c r="P108" s="2860"/>
      <c r="Q108" s="2862"/>
      <c r="R108" s="2829"/>
      <c r="S108" s="2831"/>
      <c r="T108" s="2834" t="s">
        <v>1107</v>
      </c>
      <c r="U108" s="1925" t="s">
        <v>1108</v>
      </c>
      <c r="V108" s="1473">
        <f>8500000+850000</f>
        <v>9350000</v>
      </c>
      <c r="W108" s="1927">
        <v>20</v>
      </c>
      <c r="X108" s="1922" t="s">
        <v>959</v>
      </c>
      <c r="Y108" s="2824"/>
      <c r="Z108" s="2826"/>
      <c r="AA108" s="2824"/>
      <c r="AB108" s="2824"/>
      <c r="AC108" s="2824"/>
      <c r="AD108" s="2824"/>
      <c r="AE108" s="2824"/>
      <c r="AF108" s="2824"/>
      <c r="AG108" s="2824"/>
      <c r="AH108" s="2824"/>
      <c r="AI108" s="2824"/>
      <c r="AJ108" s="2824"/>
      <c r="AK108" s="2824"/>
      <c r="AL108" s="2824"/>
      <c r="AM108" s="2824"/>
      <c r="AN108" s="2824"/>
      <c r="AO108" s="2819"/>
      <c r="AP108" s="2819"/>
      <c r="AQ108" s="2764"/>
    </row>
    <row r="109" spans="1:44" ht="28.5" customHeight="1" x14ac:dyDescent="0.2">
      <c r="A109" s="2847"/>
      <c r="B109" s="2848"/>
      <c r="C109" s="2848"/>
      <c r="D109" s="2849"/>
      <c r="E109" s="2848"/>
      <c r="F109" s="2848"/>
      <c r="G109" s="2849"/>
      <c r="H109" s="2850"/>
      <c r="I109" s="2850"/>
      <c r="J109" s="2852"/>
      <c r="K109" s="2776"/>
      <c r="L109" s="2776"/>
      <c r="M109" s="2856"/>
      <c r="N109" s="2858"/>
      <c r="O109" s="2858"/>
      <c r="P109" s="2860"/>
      <c r="Q109" s="2862"/>
      <c r="R109" s="2829"/>
      <c r="S109" s="2831"/>
      <c r="T109" s="2834"/>
      <c r="U109" s="1925" t="s">
        <v>1109</v>
      </c>
      <c r="V109" s="1473">
        <f>6500000+650000</f>
        <v>7150000</v>
      </c>
      <c r="W109" s="1927">
        <v>20</v>
      </c>
      <c r="X109" s="1922" t="s">
        <v>959</v>
      </c>
      <c r="Y109" s="2824"/>
      <c r="Z109" s="2826"/>
      <c r="AA109" s="2824"/>
      <c r="AB109" s="2824"/>
      <c r="AC109" s="2824"/>
      <c r="AD109" s="2824"/>
      <c r="AE109" s="2824"/>
      <c r="AF109" s="2824"/>
      <c r="AG109" s="2824"/>
      <c r="AH109" s="2824"/>
      <c r="AI109" s="2824"/>
      <c r="AJ109" s="2824"/>
      <c r="AK109" s="2824"/>
      <c r="AL109" s="2824"/>
      <c r="AM109" s="2824"/>
      <c r="AN109" s="2824"/>
      <c r="AO109" s="2819"/>
      <c r="AP109" s="2819"/>
      <c r="AQ109" s="2764"/>
    </row>
    <row r="110" spans="1:44" ht="30.75" customHeight="1" x14ac:dyDescent="0.2">
      <c r="A110" s="2847"/>
      <c r="B110" s="2848"/>
      <c r="C110" s="2848"/>
      <c r="D110" s="2849"/>
      <c r="E110" s="2848"/>
      <c r="F110" s="2848"/>
      <c r="G110" s="2849"/>
      <c r="H110" s="2850"/>
      <c r="I110" s="2850"/>
      <c r="J110" s="2852"/>
      <c r="K110" s="2776"/>
      <c r="L110" s="2776"/>
      <c r="M110" s="2856"/>
      <c r="N110" s="2858"/>
      <c r="O110" s="2858"/>
      <c r="P110" s="2860"/>
      <c r="Q110" s="2862"/>
      <c r="R110" s="2829"/>
      <c r="S110" s="2831"/>
      <c r="T110" s="2834"/>
      <c r="U110" s="1925" t="s">
        <v>1110</v>
      </c>
      <c r="V110" s="1473">
        <v>18000000</v>
      </c>
      <c r="W110" s="1927">
        <v>20</v>
      </c>
      <c r="X110" s="1922" t="s">
        <v>959</v>
      </c>
      <c r="Y110" s="2824"/>
      <c r="Z110" s="2826"/>
      <c r="AA110" s="2824"/>
      <c r="AB110" s="2824"/>
      <c r="AC110" s="2824"/>
      <c r="AD110" s="2824"/>
      <c r="AE110" s="2824"/>
      <c r="AF110" s="2824"/>
      <c r="AG110" s="2824"/>
      <c r="AH110" s="2824"/>
      <c r="AI110" s="2824"/>
      <c r="AJ110" s="2824"/>
      <c r="AK110" s="2824"/>
      <c r="AL110" s="2824"/>
      <c r="AM110" s="2824"/>
      <c r="AN110" s="2824"/>
      <c r="AO110" s="2819"/>
      <c r="AP110" s="2819"/>
      <c r="AQ110" s="2764"/>
    </row>
    <row r="111" spans="1:44" ht="72" customHeight="1" x14ac:dyDescent="0.2">
      <c r="A111" s="2847"/>
      <c r="B111" s="2848"/>
      <c r="C111" s="2848"/>
      <c r="D111" s="2849"/>
      <c r="E111" s="2848"/>
      <c r="F111" s="2848"/>
      <c r="G111" s="2849"/>
      <c r="H111" s="2850"/>
      <c r="I111" s="2850"/>
      <c r="J111" s="2852"/>
      <c r="K111" s="2776"/>
      <c r="L111" s="2776"/>
      <c r="M111" s="2856"/>
      <c r="N111" s="2858"/>
      <c r="O111" s="2858"/>
      <c r="P111" s="2860"/>
      <c r="Q111" s="2862"/>
      <c r="R111" s="2829"/>
      <c r="S111" s="2831"/>
      <c r="T111" s="2834" t="s">
        <v>1111</v>
      </c>
      <c r="U111" s="2794" t="s">
        <v>1112</v>
      </c>
      <c r="V111" s="1473">
        <f>76230000+59290000-5100000-3370000</f>
        <v>127050000</v>
      </c>
      <c r="W111" s="1516">
        <v>20</v>
      </c>
      <c r="X111" s="1479" t="s">
        <v>153</v>
      </c>
      <c r="Y111" s="2824"/>
      <c r="Z111" s="2826"/>
      <c r="AA111" s="2824"/>
      <c r="AB111" s="2824"/>
      <c r="AC111" s="2824"/>
      <c r="AD111" s="2824"/>
      <c r="AE111" s="2824"/>
      <c r="AF111" s="2824"/>
      <c r="AG111" s="2824"/>
      <c r="AH111" s="2824"/>
      <c r="AI111" s="2824"/>
      <c r="AJ111" s="2824"/>
      <c r="AK111" s="2824"/>
      <c r="AL111" s="2824"/>
      <c r="AM111" s="2824"/>
      <c r="AN111" s="2824"/>
      <c r="AO111" s="2819"/>
      <c r="AP111" s="2819"/>
      <c r="AQ111" s="2764"/>
    </row>
    <row r="112" spans="1:44" ht="71.25" customHeight="1" x14ac:dyDescent="0.2">
      <c r="A112" s="2847"/>
      <c r="B112" s="2848"/>
      <c r="C112" s="2848"/>
      <c r="D112" s="2849"/>
      <c r="E112" s="2848"/>
      <c r="F112" s="2848"/>
      <c r="G112" s="2849"/>
      <c r="H112" s="2850"/>
      <c r="I112" s="2850"/>
      <c r="J112" s="2852"/>
      <c r="K112" s="2776"/>
      <c r="L112" s="2776"/>
      <c r="M112" s="2856"/>
      <c r="N112" s="2858"/>
      <c r="O112" s="2858"/>
      <c r="P112" s="2860"/>
      <c r="Q112" s="2862"/>
      <c r="R112" s="2829"/>
      <c r="S112" s="2831"/>
      <c r="T112" s="2834"/>
      <c r="U112" s="2794"/>
      <c r="V112" s="1473">
        <f>0+33880000+8470000+5100000+11840000</f>
        <v>59290000</v>
      </c>
      <c r="W112" s="1513">
        <v>88</v>
      </c>
      <c r="X112" s="1479" t="s">
        <v>1113</v>
      </c>
      <c r="Y112" s="2824"/>
      <c r="Z112" s="2826"/>
      <c r="AA112" s="2824"/>
      <c r="AB112" s="2824"/>
      <c r="AC112" s="2824"/>
      <c r="AD112" s="2824"/>
      <c r="AE112" s="2824"/>
      <c r="AF112" s="2824"/>
      <c r="AG112" s="2824"/>
      <c r="AH112" s="2824"/>
      <c r="AI112" s="2824"/>
      <c r="AJ112" s="2824"/>
      <c r="AK112" s="2824"/>
      <c r="AL112" s="2824"/>
      <c r="AM112" s="2824"/>
      <c r="AN112" s="2824"/>
      <c r="AO112" s="2819"/>
      <c r="AP112" s="2819"/>
      <c r="AQ112" s="2764"/>
    </row>
    <row r="113" spans="1:44" ht="33.75" customHeight="1" x14ac:dyDescent="0.2">
      <c r="A113" s="2847"/>
      <c r="B113" s="2848"/>
      <c r="C113" s="2848"/>
      <c r="D113" s="2849"/>
      <c r="E113" s="2848"/>
      <c r="F113" s="2848"/>
      <c r="G113" s="2849"/>
      <c r="H113" s="2850"/>
      <c r="I113" s="2850"/>
      <c r="J113" s="2852"/>
      <c r="K113" s="2776"/>
      <c r="L113" s="2776"/>
      <c r="M113" s="2856"/>
      <c r="N113" s="2858"/>
      <c r="O113" s="2858"/>
      <c r="P113" s="2860"/>
      <c r="Q113" s="2862"/>
      <c r="R113" s="2829"/>
      <c r="S113" s="2831"/>
      <c r="T113" s="2834"/>
      <c r="U113" s="2794" t="s">
        <v>1114</v>
      </c>
      <c r="V113" s="1473">
        <f>19800000-5100000+5100000</f>
        <v>19800000</v>
      </c>
      <c r="W113" s="1927">
        <v>20</v>
      </c>
      <c r="X113" s="1922" t="s">
        <v>959</v>
      </c>
      <c r="Y113" s="2824"/>
      <c r="Z113" s="2826"/>
      <c r="AA113" s="2824"/>
      <c r="AB113" s="2824"/>
      <c r="AC113" s="2824"/>
      <c r="AD113" s="2824"/>
      <c r="AE113" s="2824"/>
      <c r="AF113" s="2824"/>
      <c r="AG113" s="2824"/>
      <c r="AH113" s="2824"/>
      <c r="AI113" s="2824"/>
      <c r="AJ113" s="2824"/>
      <c r="AK113" s="2824"/>
      <c r="AL113" s="2824"/>
      <c r="AM113" s="2824"/>
      <c r="AN113" s="2824"/>
      <c r="AO113" s="2819"/>
      <c r="AP113" s="2819"/>
      <c r="AQ113" s="2764"/>
    </row>
    <row r="114" spans="1:44" ht="37.5" customHeight="1" x14ac:dyDescent="0.2">
      <c r="A114" s="2847"/>
      <c r="B114" s="2848"/>
      <c r="C114" s="2848"/>
      <c r="D114" s="2849"/>
      <c r="E114" s="2848"/>
      <c r="F114" s="2848"/>
      <c r="G114" s="2849"/>
      <c r="H114" s="2850"/>
      <c r="I114" s="2850"/>
      <c r="J114" s="2852"/>
      <c r="K114" s="2776"/>
      <c r="L114" s="2776"/>
      <c r="M114" s="2856"/>
      <c r="N114" s="2858"/>
      <c r="O114" s="2858"/>
      <c r="P114" s="2860"/>
      <c r="Q114" s="2862"/>
      <c r="R114" s="2829"/>
      <c r="S114" s="2831"/>
      <c r="T114" s="2834"/>
      <c r="U114" s="2794"/>
      <c r="V114" s="1475">
        <f>0+5100000-5100000</f>
        <v>0</v>
      </c>
      <c r="W114" s="1513"/>
      <c r="X114" s="1521"/>
      <c r="Y114" s="2832"/>
      <c r="Z114" s="2826"/>
      <c r="AA114" s="2824"/>
      <c r="AB114" s="2824"/>
      <c r="AC114" s="2824"/>
      <c r="AD114" s="2824"/>
      <c r="AE114" s="2824"/>
      <c r="AF114" s="2824"/>
      <c r="AG114" s="2824"/>
      <c r="AH114" s="2824"/>
      <c r="AI114" s="2824"/>
      <c r="AJ114" s="2824"/>
      <c r="AK114" s="2824"/>
      <c r="AL114" s="2824"/>
      <c r="AM114" s="2824"/>
      <c r="AN114" s="2824"/>
      <c r="AO114" s="2819"/>
      <c r="AP114" s="2819"/>
      <c r="AQ114" s="2764"/>
    </row>
    <row r="115" spans="1:44" ht="66.75" customHeight="1" x14ac:dyDescent="0.2">
      <c r="A115" s="2847"/>
      <c r="B115" s="2848"/>
      <c r="C115" s="2848"/>
      <c r="D115" s="2849"/>
      <c r="E115" s="2848"/>
      <c r="F115" s="2848"/>
      <c r="G115" s="2849"/>
      <c r="H115" s="2850"/>
      <c r="I115" s="2850"/>
      <c r="J115" s="2852"/>
      <c r="K115" s="2776"/>
      <c r="L115" s="2776"/>
      <c r="M115" s="2856"/>
      <c r="N115" s="2858"/>
      <c r="O115" s="2858"/>
      <c r="P115" s="2860"/>
      <c r="Q115" s="2862"/>
      <c r="R115" s="2829"/>
      <c r="S115" s="2831"/>
      <c r="T115" s="2834"/>
      <c r="U115" s="2835" t="s">
        <v>1115</v>
      </c>
      <c r="V115" s="1475">
        <f>20000+4160000</f>
        <v>4180000</v>
      </c>
      <c r="W115" s="1516">
        <v>20</v>
      </c>
      <c r="X115" s="1519" t="s">
        <v>153</v>
      </c>
      <c r="Y115" s="2832"/>
      <c r="Z115" s="2826"/>
      <c r="AA115" s="2824"/>
      <c r="AB115" s="2824"/>
      <c r="AC115" s="2824"/>
      <c r="AD115" s="2824"/>
      <c r="AE115" s="2824"/>
      <c r="AF115" s="2824"/>
      <c r="AG115" s="2824"/>
      <c r="AH115" s="2824"/>
      <c r="AI115" s="2824"/>
      <c r="AJ115" s="2824"/>
      <c r="AK115" s="2824"/>
      <c r="AL115" s="2824"/>
      <c r="AM115" s="2824"/>
      <c r="AN115" s="2824"/>
      <c r="AO115" s="2819"/>
      <c r="AP115" s="2819"/>
      <c r="AQ115" s="2764"/>
    </row>
    <row r="116" spans="1:44" ht="52.5" customHeight="1" x14ac:dyDescent="0.2">
      <c r="A116" s="2847"/>
      <c r="B116" s="2848"/>
      <c r="C116" s="2848"/>
      <c r="D116" s="2849"/>
      <c r="E116" s="2848"/>
      <c r="F116" s="2848"/>
      <c r="G116" s="2849"/>
      <c r="H116" s="2850"/>
      <c r="I116" s="2850"/>
      <c r="J116" s="2852"/>
      <c r="K116" s="2776"/>
      <c r="L116" s="2776"/>
      <c r="M116" s="2856"/>
      <c r="N116" s="2858"/>
      <c r="O116" s="2858"/>
      <c r="P116" s="2860"/>
      <c r="Q116" s="2862"/>
      <c r="R116" s="2829"/>
      <c r="S116" s="2831"/>
      <c r="T116" s="2834"/>
      <c r="U116" s="2835"/>
      <c r="V116" s="1475">
        <f>2030000-1940000</f>
        <v>90000</v>
      </c>
      <c r="W116" s="1516">
        <v>88</v>
      </c>
      <c r="X116" s="1519" t="s">
        <v>1113</v>
      </c>
      <c r="Y116" s="2832"/>
      <c r="Z116" s="2826"/>
      <c r="AA116" s="2824"/>
      <c r="AB116" s="2824"/>
      <c r="AC116" s="2824"/>
      <c r="AD116" s="2824"/>
      <c r="AE116" s="2824"/>
      <c r="AF116" s="2824"/>
      <c r="AG116" s="2824"/>
      <c r="AH116" s="2824"/>
      <c r="AI116" s="2824"/>
      <c r="AJ116" s="2824"/>
      <c r="AK116" s="2824"/>
      <c r="AL116" s="2824"/>
      <c r="AM116" s="2824"/>
      <c r="AN116" s="2824"/>
      <c r="AO116" s="2819"/>
      <c r="AP116" s="2819"/>
      <c r="AQ116" s="2764"/>
      <c r="AR116" s="1863"/>
    </row>
    <row r="117" spans="1:44" ht="51" customHeight="1" x14ac:dyDescent="0.2">
      <c r="A117" s="2847"/>
      <c r="B117" s="2848"/>
      <c r="C117" s="2848"/>
      <c r="D117" s="2849"/>
      <c r="E117" s="2848"/>
      <c r="F117" s="2848"/>
      <c r="G117" s="2849"/>
      <c r="H117" s="2850"/>
      <c r="I117" s="2850"/>
      <c r="J117" s="2852"/>
      <c r="K117" s="2776"/>
      <c r="L117" s="2776"/>
      <c r="M117" s="2856"/>
      <c r="N117" s="2858"/>
      <c r="O117" s="2858"/>
      <c r="P117" s="2860"/>
      <c r="Q117" s="2862"/>
      <c r="R117" s="2829"/>
      <c r="S117" s="2831"/>
      <c r="T117" s="2834"/>
      <c r="U117" s="2794" t="s">
        <v>1116</v>
      </c>
      <c r="V117" s="1473">
        <f>72600000+29800000+1000000</f>
        <v>103400000</v>
      </c>
      <c r="W117" s="1479">
        <v>20</v>
      </c>
      <c r="X117" s="2054" t="s">
        <v>153</v>
      </c>
      <c r="Y117" s="2832"/>
      <c r="Z117" s="2826"/>
      <c r="AA117" s="2824"/>
      <c r="AB117" s="2824"/>
      <c r="AC117" s="2824"/>
      <c r="AD117" s="2824"/>
      <c r="AE117" s="2824"/>
      <c r="AF117" s="2824"/>
      <c r="AG117" s="2824"/>
      <c r="AH117" s="2824"/>
      <c r="AI117" s="2824"/>
      <c r="AJ117" s="2824"/>
      <c r="AK117" s="2824"/>
      <c r="AL117" s="2824"/>
      <c r="AM117" s="2824"/>
      <c r="AN117" s="2824"/>
      <c r="AO117" s="2819"/>
      <c r="AP117" s="2819"/>
      <c r="AQ117" s="2764"/>
    </row>
    <row r="118" spans="1:44" ht="57.75" customHeight="1" x14ac:dyDescent="0.2">
      <c r="A118" s="2847"/>
      <c r="B118" s="2848"/>
      <c r="C118" s="2848"/>
      <c r="D118" s="2849"/>
      <c r="E118" s="2848"/>
      <c r="F118" s="2848"/>
      <c r="G118" s="2849"/>
      <c r="H118" s="2850"/>
      <c r="I118" s="2850"/>
      <c r="J118" s="2852"/>
      <c r="K118" s="2776"/>
      <c r="L118" s="2776"/>
      <c r="M118" s="2856"/>
      <c r="N118" s="2858"/>
      <c r="O118" s="2858"/>
      <c r="P118" s="2860"/>
      <c r="Q118" s="2862"/>
      <c r="R118" s="2829"/>
      <c r="S118" s="2831"/>
      <c r="T118" s="2834"/>
      <c r="U118" s="2794"/>
      <c r="V118" s="1473">
        <f>0+33900000+8200000-9900000</f>
        <v>32200000</v>
      </c>
      <c r="W118" s="1518">
        <v>88</v>
      </c>
      <c r="X118" s="1520" t="s">
        <v>135</v>
      </c>
      <c r="Y118" s="2824"/>
      <c r="Z118" s="2826"/>
      <c r="AA118" s="2824"/>
      <c r="AB118" s="2824"/>
      <c r="AC118" s="2824"/>
      <c r="AD118" s="2824"/>
      <c r="AE118" s="2824"/>
      <c r="AF118" s="2824"/>
      <c r="AG118" s="2824"/>
      <c r="AH118" s="2824"/>
      <c r="AI118" s="2824"/>
      <c r="AJ118" s="2824"/>
      <c r="AK118" s="2824"/>
      <c r="AL118" s="2824"/>
      <c r="AM118" s="2824"/>
      <c r="AN118" s="2824"/>
      <c r="AO118" s="2819"/>
      <c r="AP118" s="2819"/>
      <c r="AQ118" s="2764"/>
    </row>
    <row r="119" spans="1:44" ht="38.25" customHeight="1" x14ac:dyDescent="0.2">
      <c r="A119" s="2847"/>
      <c r="B119" s="2848"/>
      <c r="C119" s="2848"/>
      <c r="D119" s="2849"/>
      <c r="E119" s="2848"/>
      <c r="F119" s="2848"/>
      <c r="G119" s="2849"/>
      <c r="H119" s="2850"/>
      <c r="I119" s="2850"/>
      <c r="J119" s="2852"/>
      <c r="K119" s="2776"/>
      <c r="L119" s="2776"/>
      <c r="M119" s="2856"/>
      <c r="N119" s="2858"/>
      <c r="O119" s="2858"/>
      <c r="P119" s="2860"/>
      <c r="Q119" s="2862"/>
      <c r="R119" s="2829"/>
      <c r="S119" s="2831"/>
      <c r="T119" s="2834"/>
      <c r="U119" s="2794" t="s">
        <v>1117</v>
      </c>
      <c r="V119" s="1473">
        <f>2100000</f>
        <v>2100000</v>
      </c>
      <c r="W119" s="1927">
        <v>20</v>
      </c>
      <c r="X119" s="1922" t="s">
        <v>959</v>
      </c>
      <c r="Y119" s="2824"/>
      <c r="Z119" s="2826"/>
      <c r="AA119" s="2824"/>
      <c r="AB119" s="2824"/>
      <c r="AC119" s="2824"/>
      <c r="AD119" s="2824"/>
      <c r="AE119" s="2824"/>
      <c r="AF119" s="2824"/>
      <c r="AG119" s="2824"/>
      <c r="AH119" s="2824"/>
      <c r="AI119" s="2824"/>
      <c r="AJ119" s="2824"/>
      <c r="AK119" s="2824"/>
      <c r="AL119" s="2824"/>
      <c r="AM119" s="2824"/>
      <c r="AN119" s="2824"/>
      <c r="AO119" s="2819"/>
      <c r="AP119" s="2819"/>
      <c r="AQ119" s="2764"/>
    </row>
    <row r="120" spans="1:44" ht="38.25" customHeight="1" x14ac:dyDescent="0.2">
      <c r="A120" s="2847"/>
      <c r="B120" s="2848"/>
      <c r="C120" s="2848"/>
      <c r="D120" s="2849"/>
      <c r="E120" s="2848"/>
      <c r="F120" s="2848"/>
      <c r="G120" s="2849"/>
      <c r="H120" s="2850"/>
      <c r="I120" s="2850"/>
      <c r="J120" s="2852"/>
      <c r="K120" s="2776"/>
      <c r="L120" s="2776"/>
      <c r="M120" s="2856"/>
      <c r="N120" s="2858"/>
      <c r="O120" s="2858"/>
      <c r="P120" s="2860"/>
      <c r="Q120" s="2862"/>
      <c r="R120" s="2829"/>
      <c r="S120" s="2831"/>
      <c r="T120" s="2834"/>
      <c r="U120" s="2794"/>
      <c r="V120" s="1473">
        <f>2100000</f>
        <v>2100000</v>
      </c>
      <c r="W120" s="1513">
        <v>88</v>
      </c>
      <c r="X120" s="1521" t="s">
        <v>1113</v>
      </c>
      <c r="Y120" s="2824"/>
      <c r="Z120" s="2826"/>
      <c r="AA120" s="2824"/>
      <c r="AB120" s="2824"/>
      <c r="AC120" s="2824"/>
      <c r="AD120" s="2824"/>
      <c r="AE120" s="2824"/>
      <c r="AF120" s="2824"/>
      <c r="AG120" s="2824"/>
      <c r="AH120" s="2824"/>
      <c r="AI120" s="2824"/>
      <c r="AJ120" s="2824"/>
      <c r="AK120" s="2824"/>
      <c r="AL120" s="2824"/>
      <c r="AM120" s="2824"/>
      <c r="AN120" s="2824"/>
      <c r="AO120" s="2819"/>
      <c r="AP120" s="2819"/>
      <c r="AQ120" s="2764"/>
    </row>
    <row r="121" spans="1:44" ht="89.25" customHeight="1" x14ac:dyDescent="0.2">
      <c r="A121" s="2847"/>
      <c r="B121" s="2848"/>
      <c r="C121" s="2848"/>
      <c r="D121" s="2849"/>
      <c r="E121" s="2848"/>
      <c r="F121" s="2848"/>
      <c r="G121" s="2849"/>
      <c r="H121" s="2850"/>
      <c r="I121" s="2850"/>
      <c r="J121" s="2852"/>
      <c r="K121" s="2776"/>
      <c r="L121" s="2776"/>
      <c r="M121" s="2856"/>
      <c r="N121" s="2858"/>
      <c r="O121" s="2858"/>
      <c r="P121" s="2860"/>
      <c r="Q121" s="2862"/>
      <c r="R121" s="2829"/>
      <c r="S121" s="2831"/>
      <c r="T121" s="2834"/>
      <c r="U121" s="1933" t="s">
        <v>1118</v>
      </c>
      <c r="V121" s="1655">
        <f>4500000-2250000</f>
        <v>2250000</v>
      </c>
      <c r="W121" s="1479">
        <v>20</v>
      </c>
      <c r="X121" s="1658" t="s">
        <v>153</v>
      </c>
      <c r="Y121" s="2832"/>
      <c r="Z121" s="2826"/>
      <c r="AA121" s="2824"/>
      <c r="AB121" s="2824"/>
      <c r="AC121" s="2824"/>
      <c r="AD121" s="2824"/>
      <c r="AE121" s="2824"/>
      <c r="AF121" s="2824"/>
      <c r="AG121" s="2824"/>
      <c r="AH121" s="2824"/>
      <c r="AI121" s="2824"/>
      <c r="AJ121" s="2824"/>
      <c r="AK121" s="2824"/>
      <c r="AL121" s="2824"/>
      <c r="AM121" s="2824"/>
      <c r="AN121" s="2824"/>
      <c r="AO121" s="2819"/>
      <c r="AP121" s="2819"/>
      <c r="AQ121" s="2764"/>
    </row>
    <row r="122" spans="1:44" ht="76.5" customHeight="1" x14ac:dyDescent="0.2">
      <c r="A122" s="2847"/>
      <c r="B122" s="2848"/>
      <c r="C122" s="2848"/>
      <c r="D122" s="2849"/>
      <c r="E122" s="2848"/>
      <c r="F122" s="2848"/>
      <c r="G122" s="2849"/>
      <c r="H122" s="2850"/>
      <c r="I122" s="2850"/>
      <c r="J122" s="2852"/>
      <c r="K122" s="2776"/>
      <c r="L122" s="2776"/>
      <c r="M122" s="2856"/>
      <c r="N122" s="2858"/>
      <c r="O122" s="2858"/>
      <c r="P122" s="2860"/>
      <c r="Q122" s="2862"/>
      <c r="R122" s="2829"/>
      <c r="S122" s="2831"/>
      <c r="T122" s="2834"/>
      <c r="U122" s="1933" t="s">
        <v>1119</v>
      </c>
      <c r="V122" s="1477">
        <f>0+2250000</f>
        <v>2250000</v>
      </c>
      <c r="W122" s="1516">
        <v>20</v>
      </c>
      <c r="X122" s="1519" t="s">
        <v>1044</v>
      </c>
      <c r="Y122" s="2833"/>
      <c r="Z122" s="2827"/>
      <c r="AA122" s="2825"/>
      <c r="AB122" s="2825"/>
      <c r="AC122" s="2825"/>
      <c r="AD122" s="2825"/>
      <c r="AE122" s="2825"/>
      <c r="AF122" s="2825"/>
      <c r="AG122" s="2825"/>
      <c r="AH122" s="2825"/>
      <c r="AI122" s="2825"/>
      <c r="AJ122" s="2825"/>
      <c r="AK122" s="2825"/>
      <c r="AL122" s="2825"/>
      <c r="AM122" s="2825"/>
      <c r="AN122" s="2825"/>
      <c r="AO122" s="2819"/>
      <c r="AP122" s="2819"/>
      <c r="AQ122" s="2764"/>
    </row>
    <row r="123" spans="1:44" ht="81" customHeight="1" x14ac:dyDescent="0.2">
      <c r="A123" s="1798"/>
      <c r="B123" s="1800"/>
      <c r="C123" s="1800"/>
      <c r="D123" s="1799"/>
      <c r="E123" s="1800"/>
      <c r="F123" s="1800"/>
      <c r="G123" s="1799"/>
      <c r="H123" s="1800"/>
      <c r="I123" s="1800"/>
      <c r="J123" s="2763">
        <v>266</v>
      </c>
      <c r="K123" s="2766" t="s">
        <v>1120</v>
      </c>
      <c r="L123" s="2769" t="s">
        <v>1121</v>
      </c>
      <c r="M123" s="2771">
        <v>1</v>
      </c>
      <c r="N123" s="2773" t="s">
        <v>1122</v>
      </c>
      <c r="O123" s="2773" t="s">
        <v>1123</v>
      </c>
      <c r="P123" s="2840" t="s">
        <v>1124</v>
      </c>
      <c r="Q123" s="2762">
        <v>1</v>
      </c>
      <c r="R123" s="2842">
        <f>SUM(V123:V134)</f>
        <v>48000000</v>
      </c>
      <c r="S123" s="2767" t="s">
        <v>1125</v>
      </c>
      <c r="T123" s="2844" t="s">
        <v>1126</v>
      </c>
      <c r="U123" s="1510" t="s">
        <v>1127</v>
      </c>
      <c r="V123" s="1511">
        <v>4800000</v>
      </c>
      <c r="W123" s="1479">
        <v>20</v>
      </c>
      <c r="X123" s="1520" t="s">
        <v>1044</v>
      </c>
      <c r="Y123" s="2802">
        <v>282326</v>
      </c>
      <c r="Z123" s="2807">
        <v>292684</v>
      </c>
      <c r="AA123" s="2802">
        <v>135912</v>
      </c>
      <c r="AB123" s="2802">
        <v>45122</v>
      </c>
      <c r="AC123" s="2802">
        <v>307101</v>
      </c>
      <c r="AD123" s="2802">
        <v>86875</v>
      </c>
      <c r="AE123" s="2802">
        <v>2145</v>
      </c>
      <c r="AF123" s="2802">
        <v>12718</v>
      </c>
      <c r="AG123" s="2802">
        <v>26</v>
      </c>
      <c r="AH123" s="2802">
        <v>37</v>
      </c>
      <c r="AI123" s="2802"/>
      <c r="AJ123" s="2802"/>
      <c r="AK123" s="2802">
        <v>43029</v>
      </c>
      <c r="AL123" s="2820">
        <f>AL100</f>
        <v>16982</v>
      </c>
      <c r="AM123" s="2802">
        <v>60013</v>
      </c>
      <c r="AN123" s="2820">
        <f>Y123+Z123</f>
        <v>575010</v>
      </c>
      <c r="AO123" s="2819">
        <v>43102</v>
      </c>
      <c r="AP123" s="2819">
        <v>43465</v>
      </c>
      <c r="AQ123" s="2764" t="s">
        <v>1077</v>
      </c>
    </row>
    <row r="124" spans="1:44" ht="45" customHeight="1" x14ac:dyDescent="0.2">
      <c r="A124" s="1798"/>
      <c r="B124" s="1800"/>
      <c r="C124" s="1800"/>
      <c r="D124" s="1799"/>
      <c r="E124" s="1800"/>
      <c r="F124" s="1800"/>
      <c r="G124" s="1799"/>
      <c r="H124" s="1800"/>
      <c r="I124" s="1800"/>
      <c r="J124" s="2764"/>
      <c r="K124" s="2767"/>
      <c r="L124" s="2770"/>
      <c r="M124" s="2772"/>
      <c r="N124" s="2774"/>
      <c r="O124" s="2774"/>
      <c r="P124" s="2798"/>
      <c r="Q124" s="2841"/>
      <c r="R124" s="2843"/>
      <c r="S124" s="2767"/>
      <c r="T124" s="2836"/>
      <c r="U124" s="1510" t="s">
        <v>1128</v>
      </c>
      <c r="V124" s="1511">
        <v>2120000</v>
      </c>
      <c r="W124" s="1513">
        <v>20</v>
      </c>
      <c r="X124" s="1479" t="s">
        <v>1044</v>
      </c>
      <c r="Y124" s="2818"/>
      <c r="Z124" s="2838"/>
      <c r="AA124" s="2818"/>
      <c r="AB124" s="2818"/>
      <c r="AC124" s="2818"/>
      <c r="AD124" s="2818"/>
      <c r="AE124" s="2818"/>
      <c r="AF124" s="2818"/>
      <c r="AG124" s="2818"/>
      <c r="AH124" s="2818"/>
      <c r="AI124" s="2818"/>
      <c r="AJ124" s="2818"/>
      <c r="AK124" s="2818"/>
      <c r="AL124" s="2821"/>
      <c r="AM124" s="2818"/>
      <c r="AN124" s="2821"/>
      <c r="AO124" s="2819"/>
      <c r="AP124" s="2819"/>
      <c r="AQ124" s="2764"/>
    </row>
    <row r="125" spans="1:44" ht="45" customHeight="1" x14ac:dyDescent="0.2">
      <c r="A125" s="1798"/>
      <c r="B125" s="1800"/>
      <c r="C125" s="1800"/>
      <c r="D125" s="1799"/>
      <c r="E125" s="1800"/>
      <c r="F125" s="1800"/>
      <c r="G125" s="1799"/>
      <c r="H125" s="1800"/>
      <c r="I125" s="1800"/>
      <c r="J125" s="2764"/>
      <c r="K125" s="2767"/>
      <c r="L125" s="2770"/>
      <c r="M125" s="2772"/>
      <c r="N125" s="2774"/>
      <c r="O125" s="2774"/>
      <c r="P125" s="2798"/>
      <c r="Q125" s="2841"/>
      <c r="R125" s="2843"/>
      <c r="S125" s="2767"/>
      <c r="T125" s="2836"/>
      <c r="U125" s="1512" t="s">
        <v>1129</v>
      </c>
      <c r="V125" s="1511">
        <v>14250000</v>
      </c>
      <c r="W125" s="1513">
        <v>20</v>
      </c>
      <c r="X125" s="1479" t="s">
        <v>1044</v>
      </c>
      <c r="Y125" s="2818"/>
      <c r="Z125" s="2838"/>
      <c r="AA125" s="2818"/>
      <c r="AB125" s="2818"/>
      <c r="AC125" s="2818"/>
      <c r="AD125" s="2818"/>
      <c r="AE125" s="2818"/>
      <c r="AF125" s="2818"/>
      <c r="AG125" s="2818"/>
      <c r="AH125" s="2818"/>
      <c r="AI125" s="2818"/>
      <c r="AJ125" s="2818"/>
      <c r="AK125" s="2818"/>
      <c r="AL125" s="2821"/>
      <c r="AM125" s="2818"/>
      <c r="AN125" s="2821"/>
      <c r="AO125" s="2819"/>
      <c r="AP125" s="2819"/>
      <c r="AQ125" s="2764"/>
    </row>
    <row r="126" spans="1:44" ht="91.5" customHeight="1" x14ac:dyDescent="0.2">
      <c r="A126" s="1798"/>
      <c r="B126" s="1800"/>
      <c r="C126" s="1800"/>
      <c r="D126" s="1799"/>
      <c r="E126" s="1800"/>
      <c r="F126" s="1800"/>
      <c r="G126" s="1799"/>
      <c r="H126" s="1800"/>
      <c r="I126" s="1800"/>
      <c r="J126" s="2764"/>
      <c r="K126" s="2767"/>
      <c r="L126" s="2770"/>
      <c r="M126" s="2772"/>
      <c r="N126" s="2774"/>
      <c r="O126" s="2774"/>
      <c r="P126" s="2798"/>
      <c r="Q126" s="2841"/>
      <c r="R126" s="2843"/>
      <c r="S126" s="2767"/>
      <c r="T126" s="2836"/>
      <c r="U126" s="1510" t="s">
        <v>1130</v>
      </c>
      <c r="V126" s="1511">
        <v>2850000</v>
      </c>
      <c r="W126" s="1479">
        <v>20</v>
      </c>
      <c r="X126" s="1479" t="s">
        <v>1044</v>
      </c>
      <c r="Y126" s="2818"/>
      <c r="Z126" s="2838"/>
      <c r="AA126" s="2818"/>
      <c r="AB126" s="2818"/>
      <c r="AC126" s="2818"/>
      <c r="AD126" s="2818"/>
      <c r="AE126" s="2818"/>
      <c r="AF126" s="2818"/>
      <c r="AG126" s="2818"/>
      <c r="AH126" s="2818"/>
      <c r="AI126" s="2818"/>
      <c r="AJ126" s="2818"/>
      <c r="AK126" s="2818"/>
      <c r="AL126" s="2821"/>
      <c r="AM126" s="2818"/>
      <c r="AN126" s="2821"/>
      <c r="AO126" s="2819"/>
      <c r="AP126" s="2819"/>
      <c r="AQ126" s="2764"/>
    </row>
    <row r="127" spans="1:44" ht="28.5" customHeight="1" x14ac:dyDescent="0.2">
      <c r="A127" s="1798"/>
      <c r="B127" s="1800"/>
      <c r="C127" s="1800"/>
      <c r="D127" s="1799"/>
      <c r="E127" s="1800"/>
      <c r="F127" s="1800"/>
      <c r="G127" s="1799"/>
      <c r="H127" s="1800"/>
      <c r="I127" s="1800"/>
      <c r="J127" s="2764"/>
      <c r="K127" s="2767"/>
      <c r="L127" s="2770"/>
      <c r="M127" s="2772"/>
      <c r="N127" s="2774"/>
      <c r="O127" s="2774"/>
      <c r="P127" s="2798"/>
      <c r="Q127" s="2841"/>
      <c r="R127" s="2843"/>
      <c r="S127" s="2767"/>
      <c r="T127" s="2836"/>
      <c r="U127" s="1510" t="s">
        <v>1131</v>
      </c>
      <c r="V127" s="1511">
        <v>1200000</v>
      </c>
      <c r="W127" s="1513">
        <v>20</v>
      </c>
      <c r="X127" s="1479" t="s">
        <v>1044</v>
      </c>
      <c r="Y127" s="2818"/>
      <c r="Z127" s="2838"/>
      <c r="AA127" s="2818"/>
      <c r="AB127" s="2818"/>
      <c r="AC127" s="2818"/>
      <c r="AD127" s="2818"/>
      <c r="AE127" s="2818"/>
      <c r="AF127" s="2818"/>
      <c r="AG127" s="2818"/>
      <c r="AH127" s="2818"/>
      <c r="AI127" s="2818"/>
      <c r="AJ127" s="2818"/>
      <c r="AK127" s="2818"/>
      <c r="AL127" s="2821"/>
      <c r="AM127" s="2818"/>
      <c r="AN127" s="2821"/>
      <c r="AO127" s="2819"/>
      <c r="AP127" s="2819"/>
      <c r="AQ127" s="2764"/>
    </row>
    <row r="128" spans="1:44" ht="31.5" customHeight="1" x14ac:dyDescent="0.2">
      <c r="A128" s="1798"/>
      <c r="B128" s="1800"/>
      <c r="C128" s="1800"/>
      <c r="D128" s="1799"/>
      <c r="E128" s="1800"/>
      <c r="F128" s="1800"/>
      <c r="G128" s="1799"/>
      <c r="H128" s="1800"/>
      <c r="I128" s="1800"/>
      <c r="J128" s="2764"/>
      <c r="K128" s="2767"/>
      <c r="L128" s="2770"/>
      <c r="M128" s="2772"/>
      <c r="N128" s="2774"/>
      <c r="O128" s="2774"/>
      <c r="P128" s="2798"/>
      <c r="Q128" s="2841"/>
      <c r="R128" s="2843"/>
      <c r="S128" s="2767"/>
      <c r="T128" s="2836"/>
      <c r="U128" s="1510" t="s">
        <v>1132</v>
      </c>
      <c r="V128" s="1511">
        <v>1200000</v>
      </c>
      <c r="W128" s="1513">
        <v>20</v>
      </c>
      <c r="X128" s="1479" t="s">
        <v>1044</v>
      </c>
      <c r="Y128" s="2818"/>
      <c r="Z128" s="2838"/>
      <c r="AA128" s="2818"/>
      <c r="AB128" s="2818"/>
      <c r="AC128" s="2818"/>
      <c r="AD128" s="2818"/>
      <c r="AE128" s="2818"/>
      <c r="AF128" s="2818"/>
      <c r="AG128" s="2818"/>
      <c r="AH128" s="2818"/>
      <c r="AI128" s="2818"/>
      <c r="AJ128" s="2818"/>
      <c r="AK128" s="2818"/>
      <c r="AL128" s="2821"/>
      <c r="AM128" s="2818"/>
      <c r="AN128" s="2821"/>
      <c r="AO128" s="2819"/>
      <c r="AP128" s="2819"/>
      <c r="AQ128" s="2764"/>
    </row>
    <row r="129" spans="1:66" ht="31.5" customHeight="1" x14ac:dyDescent="0.2">
      <c r="A129" s="1798"/>
      <c r="B129" s="1800"/>
      <c r="C129" s="1800"/>
      <c r="D129" s="1799"/>
      <c r="E129" s="1800"/>
      <c r="F129" s="1800"/>
      <c r="G129" s="1799"/>
      <c r="H129" s="1800"/>
      <c r="I129" s="1800"/>
      <c r="J129" s="2764"/>
      <c r="K129" s="2767"/>
      <c r="L129" s="2770"/>
      <c r="M129" s="2772"/>
      <c r="N129" s="2774"/>
      <c r="O129" s="2774"/>
      <c r="P129" s="2798"/>
      <c r="Q129" s="2841"/>
      <c r="R129" s="2843"/>
      <c r="S129" s="2767"/>
      <c r="T129" s="2836"/>
      <c r="U129" s="1510" t="s">
        <v>1133</v>
      </c>
      <c r="V129" s="1511">
        <v>300000</v>
      </c>
      <c r="W129" s="1513">
        <v>20</v>
      </c>
      <c r="X129" s="1479" t="s">
        <v>1044</v>
      </c>
      <c r="Y129" s="2818"/>
      <c r="Z129" s="2838"/>
      <c r="AA129" s="2818"/>
      <c r="AB129" s="2818"/>
      <c r="AC129" s="2818"/>
      <c r="AD129" s="2818"/>
      <c r="AE129" s="2818"/>
      <c r="AF129" s="2818"/>
      <c r="AG129" s="2818"/>
      <c r="AH129" s="2818"/>
      <c r="AI129" s="2818"/>
      <c r="AJ129" s="2818"/>
      <c r="AK129" s="2818"/>
      <c r="AL129" s="2821"/>
      <c r="AM129" s="2818"/>
      <c r="AN129" s="2821"/>
      <c r="AO129" s="2819"/>
      <c r="AP129" s="2819"/>
      <c r="AQ129" s="2764"/>
    </row>
    <row r="130" spans="1:66" ht="28.5" x14ac:dyDescent="0.2">
      <c r="A130" s="1798"/>
      <c r="B130" s="1800"/>
      <c r="C130" s="1800"/>
      <c r="D130" s="1799"/>
      <c r="E130" s="1800"/>
      <c r="F130" s="1800"/>
      <c r="G130" s="1799"/>
      <c r="H130" s="1800"/>
      <c r="I130" s="1800"/>
      <c r="J130" s="2764"/>
      <c r="K130" s="2767"/>
      <c r="L130" s="2770"/>
      <c r="M130" s="2772"/>
      <c r="N130" s="2774"/>
      <c r="O130" s="2774"/>
      <c r="P130" s="2798"/>
      <c r="Q130" s="2841"/>
      <c r="R130" s="2843"/>
      <c r="S130" s="2767"/>
      <c r="T130" s="2836"/>
      <c r="U130" s="1510" t="s">
        <v>1134</v>
      </c>
      <c r="V130" s="1511">
        <v>3760000</v>
      </c>
      <c r="W130" s="1513">
        <v>20</v>
      </c>
      <c r="X130" s="1479" t="s">
        <v>1044</v>
      </c>
      <c r="Y130" s="2818"/>
      <c r="Z130" s="2838"/>
      <c r="AA130" s="2818"/>
      <c r="AB130" s="2818"/>
      <c r="AC130" s="2818"/>
      <c r="AD130" s="2818"/>
      <c r="AE130" s="2818"/>
      <c r="AF130" s="2818"/>
      <c r="AG130" s="2818"/>
      <c r="AH130" s="2818"/>
      <c r="AI130" s="2818"/>
      <c r="AJ130" s="2818"/>
      <c r="AK130" s="2818"/>
      <c r="AL130" s="2821"/>
      <c r="AM130" s="2818"/>
      <c r="AN130" s="2821"/>
      <c r="AO130" s="2819"/>
      <c r="AP130" s="2819"/>
      <c r="AQ130" s="2764"/>
    </row>
    <row r="131" spans="1:66" ht="32.25" customHeight="1" x14ac:dyDescent="0.2">
      <c r="A131" s="1798"/>
      <c r="B131" s="1800"/>
      <c r="C131" s="1800"/>
      <c r="D131" s="1799"/>
      <c r="E131" s="1800"/>
      <c r="F131" s="1800"/>
      <c r="G131" s="1799"/>
      <c r="H131" s="1800"/>
      <c r="I131" s="1800"/>
      <c r="J131" s="2764"/>
      <c r="K131" s="2767"/>
      <c r="L131" s="2770"/>
      <c r="M131" s="2772"/>
      <c r="N131" s="2774"/>
      <c r="O131" s="2774"/>
      <c r="P131" s="2798"/>
      <c r="Q131" s="2841"/>
      <c r="R131" s="2843"/>
      <c r="S131" s="2767"/>
      <c r="T131" s="2836"/>
      <c r="U131" s="1510" t="s">
        <v>1135</v>
      </c>
      <c r="V131" s="1511">
        <v>3760000</v>
      </c>
      <c r="W131" s="1513">
        <v>20</v>
      </c>
      <c r="X131" s="1479" t="s">
        <v>1044</v>
      </c>
      <c r="Y131" s="2818"/>
      <c r="Z131" s="2838"/>
      <c r="AA131" s="2818"/>
      <c r="AB131" s="2818"/>
      <c r="AC131" s="2818"/>
      <c r="AD131" s="2818"/>
      <c r="AE131" s="2818"/>
      <c r="AF131" s="2818"/>
      <c r="AG131" s="2818"/>
      <c r="AH131" s="2818"/>
      <c r="AI131" s="2818"/>
      <c r="AJ131" s="2818"/>
      <c r="AK131" s="2818"/>
      <c r="AL131" s="2821"/>
      <c r="AM131" s="2818"/>
      <c r="AN131" s="2821"/>
      <c r="AO131" s="2819"/>
      <c r="AP131" s="2819"/>
      <c r="AQ131" s="2764"/>
    </row>
    <row r="132" spans="1:66" ht="32.25" customHeight="1" x14ac:dyDescent="0.2">
      <c r="A132" s="1798"/>
      <c r="B132" s="1800"/>
      <c r="C132" s="1800"/>
      <c r="D132" s="1799"/>
      <c r="E132" s="1800"/>
      <c r="F132" s="1800"/>
      <c r="G132" s="1799"/>
      <c r="H132" s="1800"/>
      <c r="I132" s="1800"/>
      <c r="J132" s="2764"/>
      <c r="K132" s="2767"/>
      <c r="L132" s="2770"/>
      <c r="M132" s="2772"/>
      <c r="N132" s="2774"/>
      <c r="O132" s="2774"/>
      <c r="P132" s="2798"/>
      <c r="Q132" s="2841"/>
      <c r="R132" s="2843"/>
      <c r="S132" s="2767"/>
      <c r="T132" s="2836"/>
      <c r="U132" s="1510" t="s">
        <v>1136</v>
      </c>
      <c r="V132" s="1511">
        <f>0+3500000</f>
        <v>3500000</v>
      </c>
      <c r="W132" s="1513">
        <v>88</v>
      </c>
      <c r="X132" s="1521" t="s">
        <v>135</v>
      </c>
      <c r="Y132" s="2818"/>
      <c r="Z132" s="2838"/>
      <c r="AA132" s="2818"/>
      <c r="AB132" s="2818"/>
      <c r="AC132" s="2818"/>
      <c r="AD132" s="2818"/>
      <c r="AE132" s="2818"/>
      <c r="AF132" s="2818"/>
      <c r="AG132" s="2818"/>
      <c r="AH132" s="2818"/>
      <c r="AI132" s="2818"/>
      <c r="AJ132" s="2818"/>
      <c r="AK132" s="2818"/>
      <c r="AL132" s="2821"/>
      <c r="AM132" s="2818"/>
      <c r="AN132" s="2821"/>
      <c r="AO132" s="2819"/>
      <c r="AP132" s="2819"/>
      <c r="AQ132" s="2764"/>
    </row>
    <row r="133" spans="1:66" ht="32.25" customHeight="1" x14ac:dyDescent="0.2">
      <c r="A133" s="1798"/>
      <c r="B133" s="1800"/>
      <c r="C133" s="1800"/>
      <c r="D133" s="1799"/>
      <c r="E133" s="1800"/>
      <c r="F133" s="1800"/>
      <c r="G133" s="1799"/>
      <c r="H133" s="1800"/>
      <c r="I133" s="1800"/>
      <c r="J133" s="2764"/>
      <c r="K133" s="2767"/>
      <c r="L133" s="2770"/>
      <c r="M133" s="2772"/>
      <c r="N133" s="2774"/>
      <c r="O133" s="2774"/>
      <c r="P133" s="2798"/>
      <c r="Q133" s="2841"/>
      <c r="R133" s="2843"/>
      <c r="S133" s="2767"/>
      <c r="T133" s="2837"/>
      <c r="U133" s="1510" t="s">
        <v>1137</v>
      </c>
      <c r="V133" s="1511">
        <f>0+6500000</f>
        <v>6500000</v>
      </c>
      <c r="W133" s="1513">
        <v>88</v>
      </c>
      <c r="X133" s="1521" t="s">
        <v>135</v>
      </c>
      <c r="Y133" s="2818"/>
      <c r="Z133" s="2838"/>
      <c r="AA133" s="2818"/>
      <c r="AB133" s="2818"/>
      <c r="AC133" s="2818"/>
      <c r="AD133" s="2818"/>
      <c r="AE133" s="2818"/>
      <c r="AF133" s="2818"/>
      <c r="AG133" s="2818"/>
      <c r="AH133" s="2818"/>
      <c r="AI133" s="2818"/>
      <c r="AJ133" s="2818"/>
      <c r="AK133" s="2818"/>
      <c r="AL133" s="2821"/>
      <c r="AM133" s="2818"/>
      <c r="AN133" s="2821"/>
      <c r="AO133" s="2819"/>
      <c r="AP133" s="2819"/>
      <c r="AQ133" s="2764"/>
    </row>
    <row r="134" spans="1:66" ht="89.25" customHeight="1" x14ac:dyDescent="0.2">
      <c r="A134" s="1798"/>
      <c r="B134" s="1800"/>
      <c r="C134" s="1800"/>
      <c r="D134" s="1799"/>
      <c r="E134" s="1800"/>
      <c r="F134" s="1800"/>
      <c r="G134" s="1799"/>
      <c r="H134" s="1800"/>
      <c r="I134" s="1800"/>
      <c r="J134" s="2765"/>
      <c r="K134" s="2768"/>
      <c r="L134" s="2770"/>
      <c r="M134" s="2772"/>
      <c r="N134" s="2774"/>
      <c r="O134" s="2774"/>
      <c r="P134" s="2798"/>
      <c r="Q134" s="2841"/>
      <c r="R134" s="2843"/>
      <c r="S134" s="2767"/>
      <c r="T134" s="1795" t="s">
        <v>1138</v>
      </c>
      <c r="U134" s="1510" t="s">
        <v>1139</v>
      </c>
      <c r="V134" s="1511">
        <v>3760000</v>
      </c>
      <c r="W134" s="1479">
        <v>20</v>
      </c>
      <c r="X134" s="1521" t="s">
        <v>1044</v>
      </c>
      <c r="Y134" s="2771"/>
      <c r="Z134" s="2839"/>
      <c r="AA134" s="2771"/>
      <c r="AB134" s="2771"/>
      <c r="AC134" s="2771"/>
      <c r="AD134" s="2771"/>
      <c r="AE134" s="2771"/>
      <c r="AF134" s="2771"/>
      <c r="AG134" s="2771"/>
      <c r="AH134" s="2771"/>
      <c r="AI134" s="2771"/>
      <c r="AJ134" s="2771"/>
      <c r="AK134" s="2771"/>
      <c r="AL134" s="2822"/>
      <c r="AM134" s="2771"/>
      <c r="AN134" s="2822"/>
      <c r="AO134" s="2819"/>
      <c r="AP134" s="2819"/>
      <c r="AQ134" s="2764"/>
    </row>
    <row r="135" spans="1:66" s="1115" customFormat="1" ht="42" customHeight="1" x14ac:dyDescent="0.2">
      <c r="A135" s="1113"/>
      <c r="B135" s="1114"/>
      <c r="C135" s="1114"/>
      <c r="D135" s="1114"/>
      <c r="E135" s="1114"/>
      <c r="F135" s="1114"/>
      <c r="G135" s="1114"/>
      <c r="H135" s="1114"/>
      <c r="I135" s="1139"/>
      <c r="J135" s="2800">
        <v>267</v>
      </c>
      <c r="K135" s="2801" t="s">
        <v>1140</v>
      </c>
      <c r="L135" s="2777" t="s">
        <v>1141</v>
      </c>
      <c r="M135" s="2780">
        <v>1</v>
      </c>
      <c r="N135" s="2774" t="s">
        <v>1142</v>
      </c>
      <c r="O135" s="2796" t="s">
        <v>1143</v>
      </c>
      <c r="P135" s="2798" t="s">
        <v>1144</v>
      </c>
      <c r="Q135" s="2760">
        <f>SUM(V135+V136)/R135</f>
        <v>0.10732699054937611</v>
      </c>
      <c r="R135" s="2803">
        <f>SUM(V135:V155)</f>
        <v>232187634</v>
      </c>
      <c r="S135" s="2767" t="s">
        <v>1145</v>
      </c>
      <c r="T135" s="2816" t="s">
        <v>1146</v>
      </c>
      <c r="U135" s="2808" t="s">
        <v>1147</v>
      </c>
      <c r="V135" s="1476">
        <v>9500000</v>
      </c>
      <c r="W135" s="1927">
        <v>20</v>
      </c>
      <c r="X135" s="1922" t="s">
        <v>959</v>
      </c>
      <c r="Y135" s="2805">
        <v>294321</v>
      </c>
      <c r="Z135" s="2806">
        <v>283947</v>
      </c>
      <c r="AA135" s="2772">
        <v>135754</v>
      </c>
      <c r="AB135" s="2772">
        <v>44640</v>
      </c>
      <c r="AC135" s="2772">
        <v>308178</v>
      </c>
      <c r="AD135" s="2772">
        <v>89696</v>
      </c>
      <c r="AE135" s="2772">
        <v>2145</v>
      </c>
      <c r="AF135" s="2772">
        <v>12718</v>
      </c>
      <c r="AG135" s="2772">
        <v>26</v>
      </c>
      <c r="AH135" s="2772">
        <v>37</v>
      </c>
      <c r="AI135" s="2772"/>
      <c r="AJ135" s="2772"/>
      <c r="AK135" s="2772">
        <v>54612</v>
      </c>
      <c r="AL135" s="2772">
        <v>16982</v>
      </c>
      <c r="AM135" s="2802">
        <v>1010</v>
      </c>
      <c r="AN135" s="2772">
        <f>Y135+Z135</f>
        <v>578268</v>
      </c>
      <c r="AO135" s="2819">
        <v>43102</v>
      </c>
      <c r="AP135" s="2819">
        <v>43465</v>
      </c>
      <c r="AQ135" s="2764" t="s">
        <v>1077</v>
      </c>
      <c r="AR135" s="1864"/>
      <c r="AS135" s="1864"/>
      <c r="AT135" s="1864"/>
      <c r="AU135" s="1864"/>
      <c r="AV135" s="1864"/>
      <c r="AW135" s="1864"/>
      <c r="AX135" s="1864"/>
      <c r="AY135" s="1864"/>
      <c r="AZ135" s="1864"/>
      <c r="BA135" s="1864"/>
      <c r="BB135" s="1864"/>
      <c r="BC135" s="1864"/>
      <c r="BD135" s="1864"/>
      <c r="BE135" s="1864"/>
      <c r="BF135" s="1864"/>
      <c r="BG135" s="1864"/>
      <c r="BH135" s="1864"/>
      <c r="BI135" s="1864"/>
      <c r="BJ135" s="1864"/>
      <c r="BK135" s="1864"/>
      <c r="BL135" s="1864"/>
      <c r="BM135" s="1864"/>
      <c r="BN135" s="1864"/>
    </row>
    <row r="136" spans="1:66" ht="45.75" customHeight="1" x14ac:dyDescent="0.2">
      <c r="B136" s="1800"/>
      <c r="C136" s="1800"/>
      <c r="D136" s="1800"/>
      <c r="E136" s="1800"/>
      <c r="F136" s="1800"/>
      <c r="G136" s="1800"/>
      <c r="H136" s="1800"/>
      <c r="I136" s="1800"/>
      <c r="J136" s="2800"/>
      <c r="K136" s="2801"/>
      <c r="L136" s="2779"/>
      <c r="M136" s="2781"/>
      <c r="N136" s="2774"/>
      <c r="O136" s="2796"/>
      <c r="P136" s="2798"/>
      <c r="Q136" s="2762"/>
      <c r="R136" s="2803"/>
      <c r="S136" s="2767"/>
      <c r="T136" s="2817"/>
      <c r="U136" s="2809"/>
      <c r="V136" s="1488">
        <f>0+15420000</f>
        <v>15420000</v>
      </c>
      <c r="W136" s="1521">
        <v>88</v>
      </c>
      <c r="X136" s="1521" t="s">
        <v>135</v>
      </c>
      <c r="Y136" s="2805"/>
      <c r="Z136" s="2806"/>
      <c r="AA136" s="2772"/>
      <c r="AB136" s="2772"/>
      <c r="AC136" s="2772"/>
      <c r="AD136" s="2772"/>
      <c r="AE136" s="2772"/>
      <c r="AF136" s="2772"/>
      <c r="AG136" s="2772"/>
      <c r="AH136" s="2772"/>
      <c r="AI136" s="2772"/>
      <c r="AJ136" s="2772"/>
      <c r="AK136" s="2772"/>
      <c r="AL136" s="2772"/>
      <c r="AM136" s="2818"/>
      <c r="AN136" s="2772"/>
      <c r="AO136" s="2819"/>
      <c r="AP136" s="2819"/>
      <c r="AQ136" s="2764"/>
    </row>
    <row r="137" spans="1:66" ht="40.5" customHeight="1" x14ac:dyDescent="0.2">
      <c r="A137" s="1798"/>
      <c r="B137" s="1800"/>
      <c r="C137" s="1800"/>
      <c r="D137" s="1799"/>
      <c r="E137" s="1800"/>
      <c r="F137" s="1800"/>
      <c r="G137" s="1799"/>
      <c r="H137" s="1800"/>
      <c r="I137" s="218"/>
      <c r="J137" s="2784">
        <v>268</v>
      </c>
      <c r="K137" s="2782" t="s">
        <v>1148</v>
      </c>
      <c r="L137" s="2777" t="s">
        <v>1149</v>
      </c>
      <c r="M137" s="2780">
        <v>12</v>
      </c>
      <c r="N137" s="2774"/>
      <c r="O137" s="2796"/>
      <c r="P137" s="2798"/>
      <c r="Q137" s="2760">
        <f>SUM(V137:V139)/R135</f>
        <v>0.13075631753928807</v>
      </c>
      <c r="R137" s="2803"/>
      <c r="S137" s="2767"/>
      <c r="T137" s="2767" t="s">
        <v>1150</v>
      </c>
      <c r="U137" s="2810" t="s">
        <v>1151</v>
      </c>
      <c r="V137" s="1478">
        <v>19720000</v>
      </c>
      <c r="W137" s="1927">
        <v>20</v>
      </c>
      <c r="X137" s="1922" t="s">
        <v>959</v>
      </c>
      <c r="Y137" s="2805"/>
      <c r="Z137" s="2806"/>
      <c r="AA137" s="2772"/>
      <c r="AB137" s="2772"/>
      <c r="AC137" s="2772"/>
      <c r="AD137" s="2772"/>
      <c r="AE137" s="2772"/>
      <c r="AF137" s="2772"/>
      <c r="AG137" s="2772"/>
      <c r="AH137" s="2772"/>
      <c r="AI137" s="2772"/>
      <c r="AJ137" s="2772"/>
      <c r="AK137" s="2772"/>
      <c r="AL137" s="2772"/>
      <c r="AM137" s="2818"/>
      <c r="AN137" s="2772"/>
      <c r="AO137" s="2819"/>
      <c r="AP137" s="2819"/>
      <c r="AQ137" s="2764"/>
    </row>
    <row r="138" spans="1:66" ht="31.5" customHeight="1" x14ac:dyDescent="0.2">
      <c r="A138" s="1798"/>
      <c r="B138" s="1800"/>
      <c r="C138" s="1800"/>
      <c r="D138" s="1799"/>
      <c r="E138" s="1800"/>
      <c r="F138" s="1800"/>
      <c r="G138" s="1799"/>
      <c r="H138" s="1800"/>
      <c r="I138" s="218"/>
      <c r="J138" s="2784"/>
      <c r="K138" s="2782"/>
      <c r="L138" s="2778"/>
      <c r="M138" s="2964"/>
      <c r="N138" s="2774"/>
      <c r="O138" s="2796"/>
      <c r="P138" s="2798"/>
      <c r="Q138" s="2761"/>
      <c r="R138" s="2803"/>
      <c r="S138" s="2767"/>
      <c r="T138" s="2767"/>
      <c r="U138" s="2811"/>
      <c r="V138" s="1473">
        <f>0+9860000</f>
        <v>9860000</v>
      </c>
      <c r="W138" s="1519">
        <v>88</v>
      </c>
      <c r="X138" s="1519" t="s">
        <v>135</v>
      </c>
      <c r="Y138" s="2805"/>
      <c r="Z138" s="2806"/>
      <c r="AA138" s="2772"/>
      <c r="AB138" s="2772"/>
      <c r="AC138" s="2772"/>
      <c r="AD138" s="2772"/>
      <c r="AE138" s="2772"/>
      <c r="AF138" s="2772"/>
      <c r="AG138" s="2772"/>
      <c r="AH138" s="2772"/>
      <c r="AI138" s="2772"/>
      <c r="AJ138" s="2772"/>
      <c r="AK138" s="2772"/>
      <c r="AL138" s="2772"/>
      <c r="AM138" s="2818"/>
      <c r="AN138" s="2772"/>
      <c r="AO138" s="2819"/>
      <c r="AP138" s="2819"/>
      <c r="AQ138" s="2764"/>
    </row>
    <row r="139" spans="1:66" ht="32.25" customHeight="1" x14ac:dyDescent="0.2">
      <c r="A139" s="1798"/>
      <c r="B139" s="1800"/>
      <c r="C139" s="1800"/>
      <c r="D139" s="1799"/>
      <c r="E139" s="1800"/>
      <c r="F139" s="1800"/>
      <c r="G139" s="1799"/>
      <c r="H139" s="1800"/>
      <c r="I139" s="218"/>
      <c r="J139" s="2790"/>
      <c r="K139" s="2783"/>
      <c r="L139" s="2779"/>
      <c r="M139" s="2781"/>
      <c r="N139" s="2774"/>
      <c r="O139" s="2796"/>
      <c r="P139" s="2798"/>
      <c r="Q139" s="2762"/>
      <c r="R139" s="2803"/>
      <c r="S139" s="2767"/>
      <c r="T139" s="2767"/>
      <c r="U139" s="625" t="s">
        <v>1152</v>
      </c>
      <c r="V139" s="1474">
        <v>780000</v>
      </c>
      <c r="W139" s="1927">
        <v>20</v>
      </c>
      <c r="X139" s="1922" t="s">
        <v>959</v>
      </c>
      <c r="Y139" s="2772"/>
      <c r="Z139" s="2806"/>
      <c r="AA139" s="2772"/>
      <c r="AB139" s="2772"/>
      <c r="AC139" s="2772"/>
      <c r="AD139" s="2772"/>
      <c r="AE139" s="2772"/>
      <c r="AF139" s="2772"/>
      <c r="AG139" s="2772"/>
      <c r="AH139" s="2772"/>
      <c r="AI139" s="2772"/>
      <c r="AJ139" s="2772"/>
      <c r="AK139" s="2772"/>
      <c r="AL139" s="2772"/>
      <c r="AM139" s="2818"/>
      <c r="AN139" s="2772"/>
      <c r="AO139" s="2819"/>
      <c r="AP139" s="2819"/>
      <c r="AQ139" s="2764"/>
    </row>
    <row r="140" spans="1:66" ht="51.75" customHeight="1" x14ac:dyDescent="0.2">
      <c r="A140" s="1798"/>
      <c r="B140" s="1800"/>
      <c r="C140" s="1800"/>
      <c r="D140" s="1799"/>
      <c r="E140" s="1800"/>
      <c r="F140" s="1800"/>
      <c r="G140" s="1799"/>
      <c r="H140" s="1800"/>
      <c r="I140" s="218"/>
      <c r="J140" s="2789">
        <v>269</v>
      </c>
      <c r="K140" s="2791" t="s">
        <v>1153</v>
      </c>
      <c r="L140" s="2777" t="s">
        <v>1154</v>
      </c>
      <c r="M140" s="2780">
        <v>12</v>
      </c>
      <c r="N140" s="2774"/>
      <c r="O140" s="2796"/>
      <c r="P140" s="2798"/>
      <c r="Q140" s="2792">
        <f>SUM(V140:V141)/R135</f>
        <v>9.0444093159586611E-2</v>
      </c>
      <c r="R140" s="2803"/>
      <c r="S140" s="2767"/>
      <c r="T140" s="2767"/>
      <c r="U140" s="625" t="s">
        <v>1155</v>
      </c>
      <c r="V140" s="1468">
        <v>20300000</v>
      </c>
      <c r="W140" s="1927">
        <v>20</v>
      </c>
      <c r="X140" s="1922" t="s">
        <v>959</v>
      </c>
      <c r="Y140" s="2772"/>
      <c r="Z140" s="2806"/>
      <c r="AA140" s="2772"/>
      <c r="AB140" s="2772"/>
      <c r="AC140" s="2772"/>
      <c r="AD140" s="2772"/>
      <c r="AE140" s="2772"/>
      <c r="AF140" s="2772"/>
      <c r="AG140" s="2772"/>
      <c r="AH140" s="2772"/>
      <c r="AI140" s="2772"/>
      <c r="AJ140" s="2772"/>
      <c r="AK140" s="2772"/>
      <c r="AL140" s="2772"/>
      <c r="AM140" s="2818"/>
      <c r="AN140" s="2772"/>
      <c r="AO140" s="2819"/>
      <c r="AP140" s="2819"/>
      <c r="AQ140" s="2764"/>
    </row>
    <row r="141" spans="1:66" ht="35.25" customHeight="1" x14ac:dyDescent="0.2">
      <c r="A141" s="1798"/>
      <c r="B141" s="1800"/>
      <c r="C141" s="1800"/>
      <c r="D141" s="1799"/>
      <c r="E141" s="1800"/>
      <c r="F141" s="1800"/>
      <c r="G141" s="1799"/>
      <c r="H141" s="1800"/>
      <c r="I141" s="218"/>
      <c r="J141" s="2790"/>
      <c r="K141" s="2783"/>
      <c r="L141" s="2779"/>
      <c r="M141" s="2781"/>
      <c r="N141" s="2774"/>
      <c r="O141" s="2796"/>
      <c r="P141" s="2798"/>
      <c r="Q141" s="2762"/>
      <c r="R141" s="2803"/>
      <c r="S141" s="2767"/>
      <c r="T141" s="2767"/>
      <c r="U141" s="625" t="s">
        <v>1152</v>
      </c>
      <c r="V141" s="1468">
        <v>700000</v>
      </c>
      <c r="W141" s="1927">
        <v>20</v>
      </c>
      <c r="X141" s="1922" t="s">
        <v>959</v>
      </c>
      <c r="Y141" s="2772"/>
      <c r="Z141" s="2806"/>
      <c r="AA141" s="2772"/>
      <c r="AB141" s="2772"/>
      <c r="AC141" s="2772"/>
      <c r="AD141" s="2772"/>
      <c r="AE141" s="2772"/>
      <c r="AF141" s="2772"/>
      <c r="AG141" s="2772"/>
      <c r="AH141" s="2772"/>
      <c r="AI141" s="2772"/>
      <c r="AJ141" s="2772"/>
      <c r="AK141" s="2772"/>
      <c r="AL141" s="2772"/>
      <c r="AM141" s="2818"/>
      <c r="AN141" s="2772"/>
      <c r="AO141" s="2819"/>
      <c r="AP141" s="2819"/>
      <c r="AQ141" s="2764"/>
    </row>
    <row r="142" spans="1:66" ht="61.5" customHeight="1" x14ac:dyDescent="0.2">
      <c r="A142" s="1798"/>
      <c r="B142" s="1800"/>
      <c r="C142" s="1800"/>
      <c r="D142" s="1799"/>
      <c r="E142" s="1800"/>
      <c r="F142" s="1800"/>
      <c r="G142" s="1799"/>
      <c r="H142" s="1800"/>
      <c r="I142" s="218"/>
      <c r="J142" s="2789">
        <v>270</v>
      </c>
      <c r="K142" s="2791" t="s">
        <v>1156</v>
      </c>
      <c r="L142" s="2777" t="s">
        <v>1157</v>
      </c>
      <c r="M142" s="2780">
        <v>12</v>
      </c>
      <c r="N142" s="2774"/>
      <c r="O142" s="2796"/>
      <c r="P142" s="2798"/>
      <c r="Q142" s="2792">
        <f>SUM(V142:V143)/R135</f>
        <v>9.0444093159586611E-2</v>
      </c>
      <c r="R142" s="2803"/>
      <c r="S142" s="2767"/>
      <c r="T142" s="2767"/>
      <c r="U142" s="625" t="s">
        <v>1158</v>
      </c>
      <c r="V142" s="1468">
        <v>20300000</v>
      </c>
      <c r="W142" s="1927">
        <v>20</v>
      </c>
      <c r="X142" s="1922" t="s">
        <v>959</v>
      </c>
      <c r="Y142" s="2772"/>
      <c r="Z142" s="2806"/>
      <c r="AA142" s="2772"/>
      <c r="AB142" s="2772"/>
      <c r="AC142" s="2772"/>
      <c r="AD142" s="2772"/>
      <c r="AE142" s="2772"/>
      <c r="AF142" s="2772"/>
      <c r="AG142" s="2772"/>
      <c r="AH142" s="2772"/>
      <c r="AI142" s="2772"/>
      <c r="AJ142" s="2772"/>
      <c r="AK142" s="2772"/>
      <c r="AL142" s="2772"/>
      <c r="AM142" s="2818"/>
      <c r="AN142" s="2772"/>
      <c r="AO142" s="2819"/>
      <c r="AP142" s="2819"/>
      <c r="AQ142" s="2764"/>
    </row>
    <row r="143" spans="1:66" ht="36.75" customHeight="1" x14ac:dyDescent="0.2">
      <c r="A143" s="1798"/>
      <c r="B143" s="1800"/>
      <c r="C143" s="1800"/>
      <c r="D143" s="1799"/>
      <c r="E143" s="1800"/>
      <c r="F143" s="1800"/>
      <c r="G143" s="1799"/>
      <c r="H143" s="1800"/>
      <c r="I143" s="218"/>
      <c r="J143" s="2790"/>
      <c r="K143" s="2783"/>
      <c r="L143" s="2779"/>
      <c r="M143" s="2781"/>
      <c r="N143" s="2774"/>
      <c r="O143" s="2796"/>
      <c r="P143" s="2798"/>
      <c r="Q143" s="2762"/>
      <c r="R143" s="2803"/>
      <c r="S143" s="2767"/>
      <c r="T143" s="2767"/>
      <c r="U143" s="625" t="s">
        <v>1152</v>
      </c>
      <c r="V143" s="1468">
        <v>700000</v>
      </c>
      <c r="W143" s="1927">
        <v>20</v>
      </c>
      <c r="X143" s="1922" t="s">
        <v>959</v>
      </c>
      <c r="Y143" s="2772"/>
      <c r="Z143" s="2806"/>
      <c r="AA143" s="2772"/>
      <c r="AB143" s="2772"/>
      <c r="AC143" s="2772"/>
      <c r="AD143" s="2772"/>
      <c r="AE143" s="2772"/>
      <c r="AF143" s="2772"/>
      <c r="AG143" s="2772"/>
      <c r="AH143" s="2772"/>
      <c r="AI143" s="2772"/>
      <c r="AJ143" s="2772"/>
      <c r="AK143" s="2772"/>
      <c r="AL143" s="2772"/>
      <c r="AM143" s="2818"/>
      <c r="AN143" s="2772"/>
      <c r="AO143" s="2819"/>
      <c r="AP143" s="2819"/>
      <c r="AQ143" s="2764"/>
    </row>
    <row r="144" spans="1:66" ht="34.5" customHeight="1" x14ac:dyDescent="0.2">
      <c r="A144" s="1798"/>
      <c r="B144" s="1800"/>
      <c r="C144" s="1800"/>
      <c r="D144" s="1799"/>
      <c r="E144" s="1800"/>
      <c r="F144" s="1800"/>
      <c r="G144" s="1799"/>
      <c r="H144" s="1800"/>
      <c r="I144" s="218"/>
      <c r="J144" s="2789">
        <v>271</v>
      </c>
      <c r="K144" s="2791" t="s">
        <v>1159</v>
      </c>
      <c r="L144" s="2777" t="s">
        <v>1157</v>
      </c>
      <c r="M144" s="2780">
        <v>12</v>
      </c>
      <c r="N144" s="2774"/>
      <c r="O144" s="2796"/>
      <c r="P144" s="2798"/>
      <c r="Q144" s="2760">
        <f>SUM(V144:V146)/R135</f>
        <v>0.17326504132429379</v>
      </c>
      <c r="R144" s="2803"/>
      <c r="S144" s="2767"/>
      <c r="T144" s="2767"/>
      <c r="U144" s="2812" t="s">
        <v>1160</v>
      </c>
      <c r="V144" s="1468">
        <v>37410000</v>
      </c>
      <c r="W144" s="1927">
        <v>20</v>
      </c>
      <c r="X144" s="1922" t="s">
        <v>959</v>
      </c>
      <c r="Y144" s="2772"/>
      <c r="Z144" s="2806"/>
      <c r="AA144" s="2772"/>
      <c r="AB144" s="2772"/>
      <c r="AC144" s="2772"/>
      <c r="AD144" s="2772"/>
      <c r="AE144" s="2772"/>
      <c r="AF144" s="2772"/>
      <c r="AG144" s="2772"/>
      <c r="AH144" s="2772"/>
      <c r="AI144" s="2772"/>
      <c r="AJ144" s="2772"/>
      <c r="AK144" s="2772"/>
      <c r="AL144" s="2772"/>
      <c r="AM144" s="2818"/>
      <c r="AN144" s="2772"/>
      <c r="AO144" s="2819"/>
      <c r="AP144" s="2819"/>
      <c r="AQ144" s="2764"/>
    </row>
    <row r="145" spans="1:66" ht="27.75" customHeight="1" x14ac:dyDescent="0.2">
      <c r="A145" s="1798"/>
      <c r="B145" s="1800"/>
      <c r="C145" s="1800"/>
      <c r="D145" s="1799"/>
      <c r="E145" s="1800"/>
      <c r="F145" s="1800"/>
      <c r="G145" s="1799"/>
      <c r="H145" s="1800"/>
      <c r="I145" s="218"/>
      <c r="J145" s="2784"/>
      <c r="K145" s="2786"/>
      <c r="L145" s="2778"/>
      <c r="M145" s="2964"/>
      <c r="N145" s="2795"/>
      <c r="O145" s="2797"/>
      <c r="P145" s="2799"/>
      <c r="Q145" s="2761"/>
      <c r="R145" s="2804"/>
      <c r="S145" s="2768"/>
      <c r="T145" s="2768"/>
      <c r="U145" s="2813"/>
      <c r="V145" s="1469">
        <f>0+2030000</f>
        <v>2030000</v>
      </c>
      <c r="W145" s="1479">
        <v>88</v>
      </c>
      <c r="X145" s="1479" t="s">
        <v>942</v>
      </c>
      <c r="Y145" s="2802"/>
      <c r="Z145" s="2807"/>
      <c r="AA145" s="2802"/>
      <c r="AB145" s="2802"/>
      <c r="AC145" s="2802"/>
      <c r="AD145" s="2802"/>
      <c r="AE145" s="2802"/>
      <c r="AF145" s="2802"/>
      <c r="AG145" s="2802"/>
      <c r="AH145" s="2802"/>
      <c r="AI145" s="2802"/>
      <c r="AJ145" s="2802"/>
      <c r="AK145" s="2802"/>
      <c r="AL145" s="2802"/>
      <c r="AM145" s="2818"/>
      <c r="AN145" s="2802"/>
      <c r="AO145" s="2823"/>
      <c r="AP145" s="2823"/>
      <c r="AQ145" s="2765"/>
    </row>
    <row r="146" spans="1:66" ht="37.5" customHeight="1" x14ac:dyDescent="0.2">
      <c r="A146" s="1798"/>
      <c r="B146" s="1800"/>
      <c r="C146" s="1800"/>
      <c r="D146" s="1799"/>
      <c r="E146" s="1800"/>
      <c r="F146" s="1800"/>
      <c r="G146" s="1799"/>
      <c r="H146" s="1800"/>
      <c r="I146" s="218"/>
      <c r="J146" s="2790"/>
      <c r="K146" s="2783"/>
      <c r="L146" s="2779"/>
      <c r="M146" s="2781"/>
      <c r="N146" s="2795"/>
      <c r="O146" s="2797"/>
      <c r="P146" s="2799"/>
      <c r="Q146" s="2762"/>
      <c r="R146" s="2804"/>
      <c r="S146" s="2768"/>
      <c r="T146" s="2768"/>
      <c r="U146" s="625" t="s">
        <v>1152</v>
      </c>
      <c r="V146" s="1469">
        <v>790000</v>
      </c>
      <c r="W146" s="1927">
        <v>20</v>
      </c>
      <c r="X146" s="1922" t="s">
        <v>959</v>
      </c>
      <c r="Y146" s="2802"/>
      <c r="Z146" s="2807"/>
      <c r="AA146" s="2802"/>
      <c r="AB146" s="2802"/>
      <c r="AC146" s="2802"/>
      <c r="AD146" s="2802"/>
      <c r="AE146" s="2802"/>
      <c r="AF146" s="2802"/>
      <c r="AG146" s="2802"/>
      <c r="AH146" s="2802"/>
      <c r="AI146" s="2802"/>
      <c r="AJ146" s="2802"/>
      <c r="AK146" s="2802"/>
      <c r="AL146" s="2802"/>
      <c r="AM146" s="2818"/>
      <c r="AN146" s="2802"/>
      <c r="AO146" s="2823"/>
      <c r="AP146" s="2823"/>
      <c r="AQ146" s="2765"/>
    </row>
    <row r="147" spans="1:66" ht="36" customHeight="1" x14ac:dyDescent="0.2">
      <c r="A147" s="1798"/>
      <c r="B147" s="1800"/>
      <c r="C147" s="1800"/>
      <c r="D147" s="1799"/>
      <c r="E147" s="1800"/>
      <c r="F147" s="1800"/>
      <c r="G147" s="1799"/>
      <c r="H147" s="1800"/>
      <c r="I147" s="218"/>
      <c r="J147" s="2789">
        <v>272</v>
      </c>
      <c r="K147" s="2791" t="s">
        <v>1161</v>
      </c>
      <c r="L147" s="2777" t="s">
        <v>1157</v>
      </c>
      <c r="M147" s="2780">
        <v>12</v>
      </c>
      <c r="N147" s="2795"/>
      <c r="O147" s="2797"/>
      <c r="P147" s="2799"/>
      <c r="Q147" s="2760">
        <f>SUM(V147:V149)/R135</f>
        <v>0.17326504132429379</v>
      </c>
      <c r="R147" s="2804"/>
      <c r="S147" s="2768"/>
      <c r="T147" s="2768"/>
      <c r="U147" s="2812" t="s">
        <v>1162</v>
      </c>
      <c r="V147" s="1469">
        <v>37410000</v>
      </c>
      <c r="W147" s="1927">
        <v>20</v>
      </c>
      <c r="X147" s="1922" t="s">
        <v>959</v>
      </c>
      <c r="Y147" s="2802"/>
      <c r="Z147" s="2807"/>
      <c r="AA147" s="2802"/>
      <c r="AB147" s="2802"/>
      <c r="AC147" s="2802"/>
      <c r="AD147" s="2802"/>
      <c r="AE147" s="2802"/>
      <c r="AF147" s="2802"/>
      <c r="AG147" s="2802"/>
      <c r="AH147" s="2802"/>
      <c r="AI147" s="2802"/>
      <c r="AJ147" s="2802"/>
      <c r="AK147" s="2802"/>
      <c r="AL147" s="2802"/>
      <c r="AM147" s="2818"/>
      <c r="AN147" s="2802"/>
      <c r="AO147" s="2823"/>
      <c r="AP147" s="2823"/>
      <c r="AQ147" s="2765"/>
    </row>
    <row r="148" spans="1:66" ht="36" customHeight="1" x14ac:dyDescent="0.2">
      <c r="A148" s="1798"/>
      <c r="B148" s="1800"/>
      <c r="C148" s="1800"/>
      <c r="D148" s="1799"/>
      <c r="E148" s="1800"/>
      <c r="F148" s="1800"/>
      <c r="G148" s="1799"/>
      <c r="H148" s="1800"/>
      <c r="I148" s="218"/>
      <c r="J148" s="2784"/>
      <c r="K148" s="2786"/>
      <c r="L148" s="2778"/>
      <c r="M148" s="2964"/>
      <c r="N148" s="2795"/>
      <c r="O148" s="2797"/>
      <c r="P148" s="2799"/>
      <c r="Q148" s="2761"/>
      <c r="R148" s="2804"/>
      <c r="S148" s="2768"/>
      <c r="T148" s="2768"/>
      <c r="U148" s="2813"/>
      <c r="V148" s="1469">
        <f>0+2030000</f>
        <v>2030000</v>
      </c>
      <c r="W148" s="1479">
        <v>88</v>
      </c>
      <c r="X148" s="1479" t="s">
        <v>135</v>
      </c>
      <c r="Y148" s="2802"/>
      <c r="Z148" s="2807"/>
      <c r="AA148" s="2802"/>
      <c r="AB148" s="2802"/>
      <c r="AC148" s="2802"/>
      <c r="AD148" s="2802"/>
      <c r="AE148" s="2802"/>
      <c r="AF148" s="2802"/>
      <c r="AG148" s="2802"/>
      <c r="AH148" s="2802"/>
      <c r="AI148" s="2802"/>
      <c r="AJ148" s="2802"/>
      <c r="AK148" s="2802"/>
      <c r="AL148" s="2802"/>
      <c r="AM148" s="2818"/>
      <c r="AN148" s="2802"/>
      <c r="AO148" s="2823"/>
      <c r="AP148" s="2823"/>
      <c r="AQ148" s="2765"/>
    </row>
    <row r="149" spans="1:66" ht="40.5" customHeight="1" x14ac:dyDescent="0.2">
      <c r="A149" s="1798"/>
      <c r="B149" s="1800"/>
      <c r="C149" s="1800"/>
      <c r="D149" s="1799"/>
      <c r="E149" s="1800"/>
      <c r="F149" s="1800"/>
      <c r="G149" s="1799"/>
      <c r="H149" s="1800"/>
      <c r="I149" s="218"/>
      <c r="J149" s="2784"/>
      <c r="K149" s="2786"/>
      <c r="L149" s="2779"/>
      <c r="M149" s="2781"/>
      <c r="N149" s="2795"/>
      <c r="O149" s="2797"/>
      <c r="P149" s="2799"/>
      <c r="Q149" s="2762"/>
      <c r="R149" s="2804"/>
      <c r="S149" s="2768"/>
      <c r="T149" s="2768"/>
      <c r="U149" s="626" t="s">
        <v>1152</v>
      </c>
      <c r="V149" s="1469">
        <v>790000</v>
      </c>
      <c r="W149" s="1927">
        <v>20</v>
      </c>
      <c r="X149" s="1922" t="s">
        <v>959</v>
      </c>
      <c r="Y149" s="2802"/>
      <c r="Z149" s="2807"/>
      <c r="AA149" s="2802"/>
      <c r="AB149" s="2802"/>
      <c r="AC149" s="2802"/>
      <c r="AD149" s="2802"/>
      <c r="AE149" s="2802"/>
      <c r="AF149" s="2802"/>
      <c r="AG149" s="2802"/>
      <c r="AH149" s="2802"/>
      <c r="AI149" s="2802"/>
      <c r="AJ149" s="2802"/>
      <c r="AK149" s="2802"/>
      <c r="AL149" s="2802"/>
      <c r="AM149" s="2818"/>
      <c r="AN149" s="2802"/>
      <c r="AO149" s="2823"/>
      <c r="AP149" s="2823"/>
      <c r="AQ149" s="2765"/>
    </row>
    <row r="150" spans="1:66" ht="83.25" customHeight="1" x14ac:dyDescent="0.2">
      <c r="A150" s="1798"/>
      <c r="B150" s="1800"/>
      <c r="C150" s="1800"/>
      <c r="D150" s="1799"/>
      <c r="E150" s="1800"/>
      <c r="F150" s="1800"/>
      <c r="G150" s="1799"/>
      <c r="H150" s="1800"/>
      <c r="I150" s="1800"/>
      <c r="J150" s="1153">
        <v>273</v>
      </c>
      <c r="K150" s="1154" t="s">
        <v>1163</v>
      </c>
      <c r="L150" s="1378" t="s">
        <v>1154</v>
      </c>
      <c r="M150" s="1041">
        <v>12</v>
      </c>
      <c r="N150" s="2795"/>
      <c r="O150" s="2797"/>
      <c r="P150" s="2799"/>
      <c r="Q150" s="1792">
        <f>SUM(V150)/R135</f>
        <v>8.1830370001530744E-3</v>
      </c>
      <c r="R150" s="2804"/>
      <c r="S150" s="2768"/>
      <c r="T150" s="2768"/>
      <c r="U150" s="626" t="s">
        <v>1152</v>
      </c>
      <c r="V150" s="1469">
        <v>1900000</v>
      </c>
      <c r="W150" s="1927">
        <v>20</v>
      </c>
      <c r="X150" s="1922" t="s">
        <v>959</v>
      </c>
      <c r="Y150" s="2802"/>
      <c r="Z150" s="2807"/>
      <c r="AA150" s="2802"/>
      <c r="AB150" s="2802"/>
      <c r="AC150" s="2802"/>
      <c r="AD150" s="2802"/>
      <c r="AE150" s="2802"/>
      <c r="AF150" s="2802"/>
      <c r="AG150" s="2802"/>
      <c r="AH150" s="2802"/>
      <c r="AI150" s="2802"/>
      <c r="AJ150" s="2802"/>
      <c r="AK150" s="2802"/>
      <c r="AL150" s="2802"/>
      <c r="AM150" s="2818"/>
      <c r="AN150" s="2802"/>
      <c r="AO150" s="2823"/>
      <c r="AP150" s="2823"/>
      <c r="AQ150" s="2765"/>
    </row>
    <row r="151" spans="1:66" ht="35.25" customHeight="1" x14ac:dyDescent="0.2">
      <c r="A151" s="1798"/>
      <c r="B151" s="1800"/>
      <c r="C151" s="1800"/>
      <c r="D151" s="1799"/>
      <c r="E151" s="1800"/>
      <c r="F151" s="1800"/>
      <c r="G151" s="1799"/>
      <c r="H151" s="1800"/>
      <c r="I151" s="1800"/>
      <c r="J151" s="2793">
        <v>274</v>
      </c>
      <c r="K151" s="2794" t="s">
        <v>1164</v>
      </c>
      <c r="L151" s="2960" t="s">
        <v>1154</v>
      </c>
      <c r="M151" s="2780">
        <v>12</v>
      </c>
      <c r="N151" s="2795"/>
      <c r="O151" s="2797"/>
      <c r="P151" s="2799"/>
      <c r="Q151" s="2760">
        <f>SUM(V151:V153)/R135</f>
        <v>0.15573611469765009</v>
      </c>
      <c r="R151" s="2804"/>
      <c r="S151" s="2768"/>
      <c r="T151" s="2768"/>
      <c r="U151" s="2814" t="s">
        <v>1165</v>
      </c>
      <c r="V151" s="1469">
        <v>20300000</v>
      </c>
      <c r="W151" s="1927">
        <v>20</v>
      </c>
      <c r="X151" s="1922" t="s">
        <v>959</v>
      </c>
      <c r="Y151" s="2802"/>
      <c r="Z151" s="2807"/>
      <c r="AA151" s="2802"/>
      <c r="AB151" s="2802"/>
      <c r="AC151" s="2802"/>
      <c r="AD151" s="2802"/>
      <c r="AE151" s="2802"/>
      <c r="AF151" s="2802"/>
      <c r="AG151" s="2802"/>
      <c r="AH151" s="2802"/>
      <c r="AI151" s="2802"/>
      <c r="AJ151" s="2802"/>
      <c r="AK151" s="2802"/>
      <c r="AL151" s="2802"/>
      <c r="AM151" s="2818"/>
      <c r="AN151" s="2802"/>
      <c r="AO151" s="2823"/>
      <c r="AP151" s="2823"/>
      <c r="AQ151" s="2765"/>
    </row>
    <row r="152" spans="1:66" ht="28.5" customHeight="1" x14ac:dyDescent="0.2">
      <c r="A152" s="1798"/>
      <c r="B152" s="1800"/>
      <c r="C152" s="1800"/>
      <c r="D152" s="1799"/>
      <c r="E152" s="1800"/>
      <c r="F152" s="1800"/>
      <c r="G152" s="1799"/>
      <c r="H152" s="1800"/>
      <c r="I152" s="1800"/>
      <c r="J152" s="2793"/>
      <c r="K152" s="2794"/>
      <c r="L152" s="2961"/>
      <c r="M152" s="2964"/>
      <c r="N152" s="2795"/>
      <c r="O152" s="2797"/>
      <c r="P152" s="2799"/>
      <c r="Q152" s="2761"/>
      <c r="R152" s="2804"/>
      <c r="S152" s="2768"/>
      <c r="T152" s="2768"/>
      <c r="U152" s="2815"/>
      <c r="V152" s="1469">
        <f>0+15660000</f>
        <v>15660000</v>
      </c>
      <c r="W152" s="1479">
        <v>88</v>
      </c>
      <c r="X152" s="1479" t="s">
        <v>942</v>
      </c>
      <c r="Y152" s="2802"/>
      <c r="Z152" s="2807"/>
      <c r="AA152" s="2802"/>
      <c r="AB152" s="2802"/>
      <c r="AC152" s="2802"/>
      <c r="AD152" s="2802"/>
      <c r="AE152" s="2802"/>
      <c r="AF152" s="2802"/>
      <c r="AG152" s="2802"/>
      <c r="AH152" s="2802"/>
      <c r="AI152" s="2802"/>
      <c r="AJ152" s="2802"/>
      <c r="AK152" s="2802"/>
      <c r="AL152" s="2802"/>
      <c r="AM152" s="2818"/>
      <c r="AN152" s="2802"/>
      <c r="AO152" s="2823"/>
      <c r="AP152" s="2823"/>
      <c r="AQ152" s="2765"/>
    </row>
    <row r="153" spans="1:66" ht="35.25" customHeight="1" x14ac:dyDescent="0.2">
      <c r="A153" s="1798"/>
      <c r="B153" s="1800"/>
      <c r="C153" s="1800"/>
      <c r="D153" s="1799"/>
      <c r="E153" s="1800"/>
      <c r="F153" s="1800"/>
      <c r="G153" s="1799"/>
      <c r="H153" s="1800"/>
      <c r="I153" s="1800"/>
      <c r="J153" s="2793"/>
      <c r="K153" s="2794"/>
      <c r="L153" s="2962"/>
      <c r="M153" s="2781"/>
      <c r="N153" s="2795"/>
      <c r="O153" s="2797"/>
      <c r="P153" s="2799"/>
      <c r="Q153" s="2762"/>
      <c r="R153" s="2804"/>
      <c r="S153" s="2768"/>
      <c r="T153" s="2768"/>
      <c r="U153" s="625" t="s">
        <v>1152</v>
      </c>
      <c r="V153" s="1469">
        <v>200000</v>
      </c>
      <c r="W153" s="1927">
        <v>20</v>
      </c>
      <c r="X153" s="1922" t="s">
        <v>959</v>
      </c>
      <c r="Y153" s="2802"/>
      <c r="Z153" s="2807"/>
      <c r="AA153" s="2802"/>
      <c r="AB153" s="2802"/>
      <c r="AC153" s="2802"/>
      <c r="AD153" s="2802"/>
      <c r="AE153" s="2802"/>
      <c r="AF153" s="2802"/>
      <c r="AG153" s="2802"/>
      <c r="AH153" s="2802"/>
      <c r="AI153" s="2802"/>
      <c r="AJ153" s="2802"/>
      <c r="AK153" s="2802"/>
      <c r="AL153" s="2802"/>
      <c r="AM153" s="2818"/>
      <c r="AN153" s="2802"/>
      <c r="AO153" s="2823"/>
      <c r="AP153" s="2823"/>
      <c r="AQ153" s="2765"/>
    </row>
    <row r="154" spans="1:66" ht="48.75" customHeight="1" x14ac:dyDescent="0.2">
      <c r="A154" s="1798"/>
      <c r="B154" s="1800"/>
      <c r="C154" s="1800"/>
      <c r="D154" s="1799"/>
      <c r="E154" s="1800"/>
      <c r="F154" s="1800"/>
      <c r="G154" s="1799"/>
      <c r="H154" s="1800"/>
      <c r="I154" s="218"/>
      <c r="J154" s="2784">
        <v>260</v>
      </c>
      <c r="K154" s="2786" t="s">
        <v>1166</v>
      </c>
      <c r="L154" s="2777" t="s">
        <v>1167</v>
      </c>
      <c r="M154" s="2780">
        <v>12</v>
      </c>
      <c r="N154" s="2795"/>
      <c r="O154" s="2797"/>
      <c r="P154" s="2799"/>
      <c r="Q154" s="2760">
        <f>SUM(V154:V155)/R135</f>
        <v>7.057927124577186E-2</v>
      </c>
      <c r="R154" s="2804"/>
      <c r="S154" s="2768"/>
      <c r="T154" s="2768"/>
      <c r="U154" s="625" t="s">
        <v>1168</v>
      </c>
      <c r="V154" s="1469">
        <v>15950000</v>
      </c>
      <c r="W154" s="1927">
        <v>20</v>
      </c>
      <c r="X154" s="1922" t="s">
        <v>959</v>
      </c>
      <c r="Y154" s="2802"/>
      <c r="Z154" s="2807"/>
      <c r="AA154" s="2802"/>
      <c r="AB154" s="2802"/>
      <c r="AC154" s="2802"/>
      <c r="AD154" s="2802"/>
      <c r="AE154" s="2802"/>
      <c r="AF154" s="2802"/>
      <c r="AG154" s="2802"/>
      <c r="AH154" s="2802"/>
      <c r="AI154" s="2802"/>
      <c r="AJ154" s="2802"/>
      <c r="AK154" s="2802"/>
      <c r="AL154" s="2802"/>
      <c r="AM154" s="2818"/>
      <c r="AN154" s="2802"/>
      <c r="AO154" s="2823"/>
      <c r="AP154" s="2823"/>
      <c r="AQ154" s="2765"/>
    </row>
    <row r="155" spans="1:66" ht="39" customHeight="1" x14ac:dyDescent="0.2">
      <c r="A155" s="1798"/>
      <c r="B155" s="1800"/>
      <c r="C155" s="1800"/>
      <c r="D155" s="1799"/>
      <c r="E155" s="1800"/>
      <c r="F155" s="1800"/>
      <c r="G155" s="1799"/>
      <c r="H155" s="1800"/>
      <c r="I155" s="218"/>
      <c r="J155" s="2785"/>
      <c r="K155" s="2787"/>
      <c r="L155" s="2963"/>
      <c r="M155" s="2965"/>
      <c r="N155" s="2795"/>
      <c r="O155" s="2797"/>
      <c r="P155" s="2799"/>
      <c r="Q155" s="2788"/>
      <c r="R155" s="2804"/>
      <c r="S155" s="2768"/>
      <c r="T155" s="2768"/>
      <c r="U155" s="625" t="s">
        <v>1152</v>
      </c>
      <c r="V155" s="1469">
        <v>437634</v>
      </c>
      <c r="W155" s="1927">
        <v>20</v>
      </c>
      <c r="X155" s="1922" t="s">
        <v>959</v>
      </c>
      <c r="Y155" s="2802"/>
      <c r="Z155" s="2807"/>
      <c r="AA155" s="2802"/>
      <c r="AB155" s="2802"/>
      <c r="AC155" s="2802"/>
      <c r="AD155" s="2802"/>
      <c r="AE155" s="2802"/>
      <c r="AF155" s="2802"/>
      <c r="AG155" s="2802"/>
      <c r="AH155" s="2802"/>
      <c r="AI155" s="2802"/>
      <c r="AJ155" s="2802"/>
      <c r="AK155" s="2802"/>
      <c r="AL155" s="2802"/>
      <c r="AM155" s="2818"/>
      <c r="AN155" s="2802"/>
      <c r="AO155" s="2823"/>
      <c r="AP155" s="2823"/>
      <c r="AQ155" s="2765"/>
    </row>
    <row r="156" spans="1:66" ht="39.75" customHeight="1" x14ac:dyDescent="0.2">
      <c r="A156" s="219"/>
      <c r="B156" s="220"/>
      <c r="C156" s="220"/>
      <c r="D156" s="220"/>
      <c r="E156" s="220"/>
      <c r="F156" s="220"/>
      <c r="G156" s="220"/>
      <c r="H156" s="220"/>
      <c r="I156" s="220"/>
      <c r="J156" s="19"/>
      <c r="K156" s="221"/>
      <c r="L156" s="222"/>
      <c r="M156" s="222"/>
      <c r="N156" s="223" t="s">
        <v>945</v>
      </c>
      <c r="O156" s="224"/>
      <c r="P156" s="221"/>
      <c r="Q156" s="225"/>
      <c r="R156" s="1121">
        <f>SUM(R8:R155)</f>
        <v>1489487634</v>
      </c>
      <c r="S156" s="226"/>
      <c r="T156" s="221"/>
      <c r="U156" s="227"/>
      <c r="V156" s="1480">
        <f>SUM(V8:V155)</f>
        <v>1489487634</v>
      </c>
      <c r="W156" s="1481"/>
      <c r="X156" s="1482"/>
      <c r="Y156" s="228"/>
      <c r="Z156" s="228"/>
      <c r="AA156" s="228"/>
      <c r="AB156" s="228"/>
      <c r="AC156" s="228"/>
      <c r="AD156" s="228"/>
      <c r="AE156" s="228"/>
      <c r="AF156" s="228"/>
      <c r="AG156" s="228"/>
      <c r="AH156" s="228"/>
      <c r="AI156" s="228"/>
      <c r="AJ156" s="228"/>
      <c r="AK156" s="228"/>
      <c r="AL156" s="228"/>
      <c r="AM156" s="228"/>
      <c r="AN156" s="228"/>
      <c r="AO156" s="229"/>
      <c r="AP156" s="230"/>
      <c r="AQ156" s="231"/>
    </row>
    <row r="157" spans="1:66" ht="39.75" customHeight="1" x14ac:dyDescent="0.25">
      <c r="B157" s="1800"/>
      <c r="C157" s="1704"/>
      <c r="D157" s="1704"/>
      <c r="E157" s="1800"/>
      <c r="F157" s="1800"/>
      <c r="G157" s="1800"/>
      <c r="H157" s="1800"/>
      <c r="I157" s="1800"/>
      <c r="N157" s="1780"/>
      <c r="O157" s="1780"/>
      <c r="V157" s="1483"/>
      <c r="W157" s="1452"/>
      <c r="X157" s="1484"/>
    </row>
    <row r="158" spans="1:66" s="233" customFormat="1" ht="39.75" customHeight="1" x14ac:dyDescent="0.2">
      <c r="A158" s="232"/>
      <c r="B158" s="1800"/>
      <c r="C158" s="1800"/>
      <c r="D158" s="1800"/>
      <c r="E158" s="1800"/>
      <c r="F158" s="1800"/>
      <c r="G158" s="1800"/>
      <c r="H158" s="1800"/>
      <c r="I158" s="1800"/>
      <c r="J158" s="130"/>
      <c r="L158" s="167"/>
      <c r="M158" s="167"/>
      <c r="N158" s="1780"/>
      <c r="O158" s="1783"/>
      <c r="P158" s="1800"/>
      <c r="Q158" s="191"/>
      <c r="R158" s="240"/>
      <c r="S158" s="241"/>
      <c r="V158" s="1485"/>
      <c r="W158" s="1452"/>
      <c r="X158" s="1484"/>
      <c r="Y158" s="1"/>
      <c r="Z158" s="1"/>
      <c r="AA158" s="1"/>
      <c r="AB158" s="1"/>
      <c r="AC158" s="1"/>
      <c r="AD158" s="1"/>
      <c r="AE158" s="1"/>
      <c r="AF158" s="1"/>
      <c r="AG158" s="1"/>
      <c r="AH158" s="1"/>
      <c r="AI158" s="1"/>
      <c r="AJ158" s="1"/>
      <c r="AK158" s="1"/>
      <c r="AL158" s="1"/>
      <c r="AM158" s="1"/>
      <c r="AN158" s="1"/>
      <c r="AO158" s="238"/>
      <c r="AP158" s="239"/>
      <c r="AQ158" s="191"/>
      <c r="AR158" s="1862"/>
      <c r="AS158" s="1862"/>
      <c r="AT158" s="1862"/>
      <c r="AU158" s="1862"/>
      <c r="AV158" s="1862"/>
      <c r="AW158" s="1862"/>
      <c r="AX158" s="1862"/>
      <c r="AY158" s="1862"/>
      <c r="AZ158" s="1862"/>
      <c r="BA158" s="1862"/>
      <c r="BB158" s="1862"/>
      <c r="BC158" s="1862"/>
      <c r="BD158" s="1862"/>
      <c r="BE158" s="1862"/>
      <c r="BF158" s="1862"/>
      <c r="BG158" s="1862"/>
      <c r="BH158" s="1862"/>
      <c r="BI158" s="1862"/>
      <c r="BJ158" s="1862"/>
      <c r="BK158" s="1862"/>
      <c r="BL158" s="1865"/>
      <c r="BM158" s="1865"/>
      <c r="BN158" s="1865"/>
    </row>
    <row r="159" spans="1:66" s="233" customFormat="1" ht="17.25" customHeight="1" x14ac:dyDescent="0.25">
      <c r="A159" s="232"/>
      <c r="B159" s="1800"/>
      <c r="C159" s="1800"/>
      <c r="D159" s="1800"/>
      <c r="E159" s="1800"/>
      <c r="F159" s="1800"/>
      <c r="G159" s="1800"/>
      <c r="H159" s="1800"/>
      <c r="I159" s="1800"/>
      <c r="J159" s="130"/>
      <c r="L159" s="167"/>
      <c r="M159" s="167"/>
      <c r="N159" s="242" t="s">
        <v>1169</v>
      </c>
      <c r="O159" s="242"/>
      <c r="P159" s="22"/>
      <c r="Q159" s="23"/>
      <c r="R159" s="243"/>
      <c r="S159" s="23"/>
      <c r="V159" s="1485"/>
      <c r="W159" s="1452"/>
      <c r="X159" s="1484"/>
      <c r="Y159" s="1"/>
      <c r="Z159" s="1"/>
      <c r="AA159" s="1"/>
      <c r="AB159" s="1"/>
      <c r="AC159" s="1"/>
      <c r="AD159" s="1"/>
      <c r="AE159" s="1"/>
      <c r="AF159" s="1"/>
      <c r="AG159" s="1"/>
      <c r="AH159" s="1"/>
      <c r="AI159" s="1"/>
      <c r="AJ159" s="1"/>
      <c r="AK159" s="1"/>
      <c r="AL159" s="1"/>
      <c r="AM159" s="1"/>
      <c r="AN159" s="1"/>
      <c r="AO159" s="238"/>
      <c r="AP159" s="239"/>
      <c r="AQ159" s="191"/>
      <c r="AR159" s="1862"/>
      <c r="AS159" s="1862"/>
      <c r="AT159" s="1862"/>
      <c r="AU159" s="1862"/>
      <c r="AV159" s="1862"/>
      <c r="AW159" s="1862"/>
      <c r="AX159" s="1862"/>
      <c r="AY159" s="1862"/>
      <c r="AZ159" s="1862"/>
      <c r="BA159" s="1862"/>
      <c r="BB159" s="1862"/>
      <c r="BC159" s="1862"/>
      <c r="BD159" s="1862"/>
      <c r="BE159" s="1862"/>
      <c r="BF159" s="1862"/>
      <c r="BG159" s="1862"/>
      <c r="BH159" s="1862"/>
      <c r="BI159" s="1862"/>
      <c r="BJ159" s="1862"/>
      <c r="BK159" s="1862"/>
      <c r="BL159" s="1865"/>
      <c r="BM159" s="1865"/>
      <c r="BN159" s="1865"/>
    </row>
    <row r="160" spans="1:66" s="233" customFormat="1" ht="17.25" customHeight="1" x14ac:dyDescent="0.25">
      <c r="A160" s="232"/>
      <c r="B160" s="1800"/>
      <c r="C160" s="1800"/>
      <c r="D160" s="1800"/>
      <c r="E160" s="1800"/>
      <c r="F160" s="1800"/>
      <c r="G160" s="1800"/>
      <c r="H160" s="1800"/>
      <c r="I160" s="1800"/>
      <c r="J160" s="130"/>
      <c r="L160" s="167"/>
      <c r="M160" s="167"/>
      <c r="N160" s="243" t="s">
        <v>1170</v>
      </c>
      <c r="O160" s="243"/>
      <c r="P160" s="23"/>
      <c r="Q160" s="23"/>
      <c r="R160" s="243"/>
      <c r="S160" s="23"/>
      <c r="V160" s="1485"/>
      <c r="W160" s="1452"/>
      <c r="X160" s="1484"/>
      <c r="Y160" s="1"/>
      <c r="Z160" s="1"/>
      <c r="AA160" s="1"/>
      <c r="AB160" s="1"/>
      <c r="AC160" s="1"/>
      <c r="AD160" s="1"/>
      <c r="AE160" s="1"/>
      <c r="AF160" s="1"/>
      <c r="AG160" s="1"/>
      <c r="AH160" s="1"/>
      <c r="AI160" s="1"/>
      <c r="AJ160" s="1"/>
      <c r="AK160" s="1"/>
      <c r="AL160" s="1"/>
      <c r="AM160" s="1"/>
      <c r="AN160" s="1"/>
      <c r="AO160" s="238"/>
      <c r="AP160" s="239"/>
      <c r="AQ160" s="191"/>
      <c r="AR160" s="1862"/>
      <c r="AS160" s="1862"/>
      <c r="AT160" s="1862"/>
      <c r="AU160" s="1862"/>
      <c r="AV160" s="1862"/>
      <c r="AW160" s="1862"/>
      <c r="AX160" s="1862"/>
      <c r="AY160" s="1862"/>
      <c r="AZ160" s="1862"/>
      <c r="BA160" s="1862"/>
      <c r="BB160" s="1862"/>
      <c r="BC160" s="1862"/>
      <c r="BD160" s="1862"/>
      <c r="BE160" s="1862"/>
      <c r="BF160" s="1862"/>
      <c r="BG160" s="1862"/>
      <c r="BH160" s="1862"/>
      <c r="BI160" s="1862"/>
      <c r="BJ160" s="1862"/>
      <c r="BK160" s="1862"/>
      <c r="BL160" s="1865"/>
      <c r="BM160" s="1865"/>
      <c r="BN160" s="1865"/>
    </row>
    <row r="161" spans="2:24" ht="39.75" customHeight="1" x14ac:dyDescent="0.2">
      <c r="B161" s="1800"/>
      <c r="C161" s="1800"/>
      <c r="D161" s="1800"/>
      <c r="E161" s="1800"/>
      <c r="F161" s="1800"/>
      <c r="G161" s="1800"/>
      <c r="H161" s="1800"/>
      <c r="I161" s="1800"/>
      <c r="N161" s="1780"/>
      <c r="O161" s="1780"/>
      <c r="V161" s="1485"/>
      <c r="W161" s="1452"/>
      <c r="X161" s="1484"/>
    </row>
    <row r="162" spans="2:24" ht="39.75" customHeight="1" x14ac:dyDescent="0.2">
      <c r="B162" s="1800"/>
      <c r="C162" s="1800"/>
      <c r="D162" s="1800"/>
      <c r="E162" s="1800"/>
      <c r="F162" s="1800"/>
      <c r="G162" s="1800"/>
      <c r="H162" s="1800"/>
      <c r="I162" s="1800"/>
      <c r="N162" s="1780"/>
      <c r="O162" s="1780"/>
      <c r="V162" s="1485"/>
      <c r="W162" s="1452"/>
      <c r="X162" s="1484"/>
    </row>
    <row r="163" spans="2:24" ht="39.75" customHeight="1" x14ac:dyDescent="0.2">
      <c r="B163" s="1800"/>
      <c r="C163" s="1800"/>
      <c r="D163" s="1800"/>
      <c r="E163" s="1800"/>
      <c r="F163" s="1800"/>
      <c r="G163" s="1800"/>
      <c r="H163" s="1800"/>
      <c r="I163" s="1800"/>
      <c r="N163" s="1780"/>
      <c r="O163" s="1780"/>
      <c r="V163" s="1485"/>
      <c r="W163" s="1452"/>
      <c r="X163" s="1484"/>
    </row>
    <row r="164" spans="2:24" ht="39.75" customHeight="1" x14ac:dyDescent="0.2">
      <c r="B164" s="1800"/>
      <c r="C164" s="1800"/>
      <c r="D164" s="1800"/>
      <c r="E164" s="1800"/>
      <c r="F164" s="1800"/>
      <c r="G164" s="1800"/>
      <c r="H164" s="1800"/>
      <c r="I164" s="1800"/>
      <c r="N164" s="1780"/>
      <c r="O164" s="1780"/>
    </row>
  </sheetData>
  <sheetProtection password="A60F" sheet="1" objects="1" scenarios="1"/>
  <mergeCells count="389">
    <mergeCell ref="L151:L153"/>
    <mergeCell ref="L154:L155"/>
    <mergeCell ref="M147:M149"/>
    <mergeCell ref="M151:M153"/>
    <mergeCell ref="M154:M155"/>
    <mergeCell ref="L140:L141"/>
    <mergeCell ref="M140:M141"/>
    <mergeCell ref="M137:M139"/>
    <mergeCell ref="L142:L143"/>
    <mergeCell ref="L144:L146"/>
    <mergeCell ref="M142:M143"/>
    <mergeCell ref="M144:M146"/>
    <mergeCell ref="E84:F93"/>
    <mergeCell ref="G84:G93"/>
    <mergeCell ref="H84:I93"/>
    <mergeCell ref="J84:J93"/>
    <mergeCell ref="L84:L93"/>
    <mergeCell ref="J68:J76"/>
    <mergeCell ref="K68:K76"/>
    <mergeCell ref="L68:L76"/>
    <mergeCell ref="L147:L149"/>
    <mergeCell ref="M84:M93"/>
    <mergeCell ref="K84:K93"/>
    <mergeCell ref="J94:J99"/>
    <mergeCell ref="K94:K99"/>
    <mergeCell ref="L94:L99"/>
    <mergeCell ref="M94:M99"/>
    <mergeCell ref="R6:R7"/>
    <mergeCell ref="S6:S7"/>
    <mergeCell ref="T6:T7"/>
    <mergeCell ref="L80:L83"/>
    <mergeCell ref="K6:K7"/>
    <mergeCell ref="L6:L7"/>
    <mergeCell ref="M6:M7"/>
    <mergeCell ref="N6:N7"/>
    <mergeCell ref="O6:O7"/>
    <mergeCell ref="P6:P7"/>
    <mergeCell ref="T34:T43"/>
    <mergeCell ref="T44:T45"/>
    <mergeCell ref="E50:K50"/>
    <mergeCell ref="H51:K51"/>
    <mergeCell ref="F66:K66"/>
    <mergeCell ref="J52:J65"/>
    <mergeCell ref="K52:K65"/>
    <mergeCell ref="L52:L65"/>
    <mergeCell ref="A1:AO4"/>
    <mergeCell ref="A5:M5"/>
    <mergeCell ref="N5:AQ5"/>
    <mergeCell ref="A6:A7"/>
    <mergeCell ref="B6:C7"/>
    <mergeCell ref="D6:D7"/>
    <mergeCell ref="E6:F7"/>
    <mergeCell ref="G6:G7"/>
    <mergeCell ref="H6:I7"/>
    <mergeCell ref="J6:J7"/>
    <mergeCell ref="AQ6:AQ7"/>
    <mergeCell ref="AN6:AN7"/>
    <mergeCell ref="AO6:AO7"/>
    <mergeCell ref="AP6:AP7"/>
    <mergeCell ref="W6:W7"/>
    <mergeCell ref="X6:X7"/>
    <mergeCell ref="Y6:Z6"/>
    <mergeCell ref="AA6:AD6"/>
    <mergeCell ref="AE6:AJ6"/>
    <mergeCell ref="AK6:AM6"/>
    <mergeCell ref="Q6:Q7"/>
    <mergeCell ref="U6:U7"/>
    <mergeCell ref="V6:V7"/>
    <mergeCell ref="Y11:Y32"/>
    <mergeCell ref="T12:T32"/>
    <mergeCell ref="H10:K10"/>
    <mergeCell ref="J11:J32"/>
    <mergeCell ref="K11:K32"/>
    <mergeCell ref="L11:L32"/>
    <mergeCell ref="M11:M32"/>
    <mergeCell ref="N11:N32"/>
    <mergeCell ref="B8:K8"/>
    <mergeCell ref="E9:K9"/>
    <mergeCell ref="S11:S32"/>
    <mergeCell ref="O11:O32"/>
    <mergeCell ref="R11:R32"/>
    <mergeCell ref="P11:P32"/>
    <mergeCell ref="Q11:Q32"/>
    <mergeCell ref="AO34:AO49"/>
    <mergeCell ref="AP34:AP49"/>
    <mergeCell ref="AQ34:AQ49"/>
    <mergeCell ref="T46:T49"/>
    <mergeCell ref="H33:K33"/>
    <mergeCell ref="J34:J49"/>
    <mergeCell ref="K34:K49"/>
    <mergeCell ref="L34:L49"/>
    <mergeCell ref="M34:M49"/>
    <mergeCell ref="N34:N49"/>
    <mergeCell ref="S34:S49"/>
    <mergeCell ref="AI34:AI49"/>
    <mergeCell ref="AJ34:AJ49"/>
    <mergeCell ref="AK34:AK49"/>
    <mergeCell ref="AL34:AL49"/>
    <mergeCell ref="AM34:AM49"/>
    <mergeCell ref="AN34:AN49"/>
    <mergeCell ref="AC34:AC49"/>
    <mergeCell ref="AD34:AD49"/>
    <mergeCell ref="AE34:AE49"/>
    <mergeCell ref="AF34:AF49"/>
    <mergeCell ref="AG34:AG49"/>
    <mergeCell ref="AH34:AH49"/>
    <mergeCell ref="Y34:Y49"/>
    <mergeCell ref="AP11:AP32"/>
    <mergeCell ref="AQ11:AQ32"/>
    <mergeCell ref="AM11:AM32"/>
    <mergeCell ref="AN11:AN32"/>
    <mergeCell ref="AO11:AO32"/>
    <mergeCell ref="Z11:Z32"/>
    <mergeCell ref="AA11:AA32"/>
    <mergeCell ref="AB11:AB32"/>
    <mergeCell ref="AC11:AC32"/>
    <mergeCell ref="AJ11:AJ32"/>
    <mergeCell ref="AK11:AK32"/>
    <mergeCell ref="AL11:AL32"/>
    <mergeCell ref="AD11:AD32"/>
    <mergeCell ref="AE11:AE32"/>
    <mergeCell ref="AF11:AF32"/>
    <mergeCell ref="AG11:AG32"/>
    <mergeCell ref="AH11:AH32"/>
    <mergeCell ref="AI11:AI32"/>
    <mergeCell ref="Z34:Z49"/>
    <mergeCell ref="AA34:AA49"/>
    <mergeCell ref="AB34:AB49"/>
    <mergeCell ref="O34:O49"/>
    <mergeCell ref="P34:P49"/>
    <mergeCell ref="Q34:Q49"/>
    <mergeCell ref="R34:R49"/>
    <mergeCell ref="AQ52:AQ65"/>
    <mergeCell ref="T64:T65"/>
    <mergeCell ref="AJ52:AJ65"/>
    <mergeCell ref="AK52:AK65"/>
    <mergeCell ref="AL52:AL65"/>
    <mergeCell ref="AM52:AM65"/>
    <mergeCell ref="AN52:AN65"/>
    <mergeCell ref="AO52:AO65"/>
    <mergeCell ref="AD52:AD65"/>
    <mergeCell ref="AE52:AE65"/>
    <mergeCell ref="AF52:AF65"/>
    <mergeCell ref="AG52:AG65"/>
    <mergeCell ref="AH52:AH65"/>
    <mergeCell ref="AI52:AI65"/>
    <mergeCell ref="Y52:Y65"/>
    <mergeCell ref="Z52:Z65"/>
    <mergeCell ref="AA52:AA65"/>
    <mergeCell ref="AB52:AB65"/>
    <mergeCell ref="AC52:AC65"/>
    <mergeCell ref="P52:P65"/>
    <mergeCell ref="Q52:Q65"/>
    <mergeCell ref="M80:M83"/>
    <mergeCell ref="AP52:AP65"/>
    <mergeCell ref="R52:R65"/>
    <mergeCell ref="S52:S65"/>
    <mergeCell ref="T52:T55"/>
    <mergeCell ref="M52:M65"/>
    <mergeCell ref="N52:N65"/>
    <mergeCell ref="O52:O65"/>
    <mergeCell ref="AA68:AA83"/>
    <mergeCell ref="AB68:AB83"/>
    <mergeCell ref="AC68:AC83"/>
    <mergeCell ref="P68:P83"/>
    <mergeCell ref="Q68:Q76"/>
    <mergeCell ref="R68:R83"/>
    <mergeCell ref="AP68:AP83"/>
    <mergeCell ref="T68:T76"/>
    <mergeCell ref="Q80:Q83"/>
    <mergeCell ref="T80:T83"/>
    <mergeCell ref="O68:O83"/>
    <mergeCell ref="T56:T63"/>
    <mergeCell ref="AQ68:AQ83"/>
    <mergeCell ref="J80:J83"/>
    <mergeCell ref="K80:K83"/>
    <mergeCell ref="AJ68:AJ83"/>
    <mergeCell ref="AK68:AK83"/>
    <mergeCell ref="AL68:AL83"/>
    <mergeCell ref="AM68:AM83"/>
    <mergeCell ref="AN68:AN83"/>
    <mergeCell ref="AO68:AO83"/>
    <mergeCell ref="AD68:AD83"/>
    <mergeCell ref="AE68:AE83"/>
    <mergeCell ref="AF68:AF83"/>
    <mergeCell ref="AG68:AG83"/>
    <mergeCell ref="AH68:AH83"/>
    <mergeCell ref="AI68:AI83"/>
    <mergeCell ref="Y68:Y83"/>
    <mergeCell ref="Z68:Z83"/>
    <mergeCell ref="S68:S83"/>
    <mergeCell ref="U70:U71"/>
    <mergeCell ref="U72:U73"/>
    <mergeCell ref="U80:U81"/>
    <mergeCell ref="U82:U83"/>
    <mergeCell ref="M68:M76"/>
    <mergeCell ref="AP84:AP93"/>
    <mergeCell ref="AQ84:AQ93"/>
    <mergeCell ref="AG84:AG93"/>
    <mergeCell ref="AH84:AH93"/>
    <mergeCell ref="AI84:AI93"/>
    <mergeCell ref="AJ84:AJ93"/>
    <mergeCell ref="AK84:AK93"/>
    <mergeCell ref="AL84:AL93"/>
    <mergeCell ref="AA84:AA93"/>
    <mergeCell ref="AB84:AB93"/>
    <mergeCell ref="AC84:AC93"/>
    <mergeCell ref="AD84:AD93"/>
    <mergeCell ref="AE84:AE93"/>
    <mergeCell ref="AF84:AF93"/>
    <mergeCell ref="AM84:AM93"/>
    <mergeCell ref="AN84:AN93"/>
    <mergeCell ref="AO84:AO93"/>
    <mergeCell ref="AG94:AG99"/>
    <mergeCell ref="AH94:AH99"/>
    <mergeCell ref="AI94:AI99"/>
    <mergeCell ref="Y94:Y99"/>
    <mergeCell ref="Z94:Z99"/>
    <mergeCell ref="N94:N99"/>
    <mergeCell ref="O94:O99"/>
    <mergeCell ref="S84:S93"/>
    <mergeCell ref="Y84:Y93"/>
    <mergeCell ref="Z84:Z93"/>
    <mergeCell ref="U84:U85"/>
    <mergeCell ref="U86:U87"/>
    <mergeCell ref="U88:U89"/>
    <mergeCell ref="N84:N93"/>
    <mergeCell ref="O84:O93"/>
    <mergeCell ref="P84:P93"/>
    <mergeCell ref="Q84:Q93"/>
    <mergeCell ref="R84:R93"/>
    <mergeCell ref="U90:U91"/>
    <mergeCell ref="T84:T89"/>
    <mergeCell ref="T90:T93"/>
    <mergeCell ref="AQ100:AQ122"/>
    <mergeCell ref="AF100:AF122"/>
    <mergeCell ref="AG100:AG122"/>
    <mergeCell ref="AB94:AB99"/>
    <mergeCell ref="AC94:AC99"/>
    <mergeCell ref="M100:M122"/>
    <mergeCell ref="N100:N122"/>
    <mergeCell ref="O100:O122"/>
    <mergeCell ref="P100:P122"/>
    <mergeCell ref="Q100:Q122"/>
    <mergeCell ref="AH100:AH122"/>
    <mergeCell ref="AF94:AF99"/>
    <mergeCell ref="P94:P99"/>
    <mergeCell ref="Q94:Q99"/>
    <mergeCell ref="R94:R99"/>
    <mergeCell ref="S94:S99"/>
    <mergeCell ref="T94:T99"/>
    <mergeCell ref="U111:U112"/>
    <mergeCell ref="U117:U118"/>
    <mergeCell ref="U119:U120"/>
    <mergeCell ref="U94:U95"/>
    <mergeCell ref="U96:U97"/>
    <mergeCell ref="U98:U99"/>
    <mergeCell ref="AM100:AM122"/>
    <mergeCell ref="AD123:AD134"/>
    <mergeCell ref="AE123:AE134"/>
    <mergeCell ref="AF123:AF134"/>
    <mergeCell ref="AP94:AP99"/>
    <mergeCell ref="AQ94:AQ99"/>
    <mergeCell ref="A100:A122"/>
    <mergeCell ref="B100:C122"/>
    <mergeCell ref="D100:D122"/>
    <mergeCell ref="E100:F122"/>
    <mergeCell ref="G100:G122"/>
    <mergeCell ref="H100:I122"/>
    <mergeCell ref="J100:J122"/>
    <mergeCell ref="K100:K122"/>
    <mergeCell ref="AJ94:AJ99"/>
    <mergeCell ref="AK94:AK99"/>
    <mergeCell ref="AL94:AL99"/>
    <mergeCell ref="AM94:AM99"/>
    <mergeCell ref="AN94:AN99"/>
    <mergeCell ref="AO94:AO99"/>
    <mergeCell ref="AD94:AD99"/>
    <mergeCell ref="AE94:AE99"/>
    <mergeCell ref="AA94:AA99"/>
    <mergeCell ref="AO100:AO122"/>
    <mergeCell ref="AP100:AP122"/>
    <mergeCell ref="Z123:Z134"/>
    <mergeCell ref="AA123:AA134"/>
    <mergeCell ref="AB123:AB134"/>
    <mergeCell ref="AC123:AC134"/>
    <mergeCell ref="P123:P134"/>
    <mergeCell ref="Q123:Q134"/>
    <mergeCell ref="R123:R134"/>
    <mergeCell ref="S123:S134"/>
    <mergeCell ref="Y123:Y134"/>
    <mergeCell ref="T123:T133"/>
    <mergeCell ref="AN100:AN122"/>
    <mergeCell ref="Z100:Z122"/>
    <mergeCell ref="AA100:AA122"/>
    <mergeCell ref="AB100:AB122"/>
    <mergeCell ref="AC100:AC122"/>
    <mergeCell ref="AD100:AD122"/>
    <mergeCell ref="AE100:AE122"/>
    <mergeCell ref="R100:R122"/>
    <mergeCell ref="S100:S122"/>
    <mergeCell ref="Y100:Y122"/>
    <mergeCell ref="T108:T110"/>
    <mergeCell ref="T111:T122"/>
    <mergeCell ref="AJ100:AJ122"/>
    <mergeCell ref="AK100:AK122"/>
    <mergeCell ref="AI100:AI122"/>
    <mergeCell ref="AL100:AL122"/>
    <mergeCell ref="U106:U107"/>
    <mergeCell ref="U113:U114"/>
    <mergeCell ref="U103:U104"/>
    <mergeCell ref="U115:U116"/>
    <mergeCell ref="T100:T107"/>
    <mergeCell ref="AG123:AG134"/>
    <mergeCell ref="AH123:AH134"/>
    <mergeCell ref="AI123:AI134"/>
    <mergeCell ref="AP123:AP134"/>
    <mergeCell ref="AQ123:AQ134"/>
    <mergeCell ref="AM123:AM134"/>
    <mergeCell ref="AN123:AN134"/>
    <mergeCell ref="AO123:AO134"/>
    <mergeCell ref="AM135:AM155"/>
    <mergeCell ref="AN135:AN155"/>
    <mergeCell ref="AO135:AO155"/>
    <mergeCell ref="AP135:AP155"/>
    <mergeCell ref="AJ123:AJ134"/>
    <mergeCell ref="AK123:AK134"/>
    <mergeCell ref="AL123:AL134"/>
    <mergeCell ref="AQ135:AQ155"/>
    <mergeCell ref="AL135:AL155"/>
    <mergeCell ref="AF135:AF155"/>
    <mergeCell ref="AG135:AG155"/>
    <mergeCell ref="AH135:AH155"/>
    <mergeCell ref="AI135:AI155"/>
    <mergeCell ref="AJ135:AJ155"/>
    <mergeCell ref="AK135:AK155"/>
    <mergeCell ref="R135:R155"/>
    <mergeCell ref="S135:S155"/>
    <mergeCell ref="Y135:Y155"/>
    <mergeCell ref="T137:T155"/>
    <mergeCell ref="Z135:Z155"/>
    <mergeCell ref="AA135:AA155"/>
    <mergeCell ref="AB135:AB155"/>
    <mergeCell ref="AC135:AC155"/>
    <mergeCell ref="AD135:AD155"/>
    <mergeCell ref="AE135:AE155"/>
    <mergeCell ref="U135:U136"/>
    <mergeCell ref="U137:U138"/>
    <mergeCell ref="U144:U145"/>
    <mergeCell ref="U147:U148"/>
    <mergeCell ref="U151:U152"/>
    <mergeCell ref="T135:T136"/>
    <mergeCell ref="J154:J155"/>
    <mergeCell ref="K154:K155"/>
    <mergeCell ref="Q154:Q155"/>
    <mergeCell ref="J140:J141"/>
    <mergeCell ref="K140:K141"/>
    <mergeCell ref="Q140:Q141"/>
    <mergeCell ref="J142:J143"/>
    <mergeCell ref="K142:K143"/>
    <mergeCell ref="Q142:Q143"/>
    <mergeCell ref="J144:J146"/>
    <mergeCell ref="K144:K146"/>
    <mergeCell ref="Q144:Q146"/>
    <mergeCell ref="J147:J149"/>
    <mergeCell ref="K147:K149"/>
    <mergeCell ref="Q147:Q149"/>
    <mergeCell ref="J151:J153"/>
    <mergeCell ref="K151:K153"/>
    <mergeCell ref="Q151:Q153"/>
    <mergeCell ref="N135:N155"/>
    <mergeCell ref="O135:O155"/>
    <mergeCell ref="P135:P155"/>
    <mergeCell ref="J135:J136"/>
    <mergeCell ref="K135:K136"/>
    <mergeCell ref="J137:J139"/>
    <mergeCell ref="Q137:Q139"/>
    <mergeCell ref="J123:J134"/>
    <mergeCell ref="K123:K134"/>
    <mergeCell ref="L123:L134"/>
    <mergeCell ref="M123:M134"/>
    <mergeCell ref="N123:N134"/>
    <mergeCell ref="O123:O134"/>
    <mergeCell ref="L100:L122"/>
    <mergeCell ref="Q135:Q136"/>
    <mergeCell ref="L137:L139"/>
    <mergeCell ref="L135:L136"/>
    <mergeCell ref="M135:M136"/>
    <mergeCell ref="K137:K139"/>
  </mergeCells>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T255"/>
  <sheetViews>
    <sheetView showGridLines="0" zoomScale="50" zoomScaleNormal="50" workbookViewId="0">
      <selection activeCell="B13" sqref="B13"/>
    </sheetView>
  </sheetViews>
  <sheetFormatPr baseColWidth="10" defaultColWidth="10.42578125" defaultRowHeight="15.75" x14ac:dyDescent="0.25"/>
  <cols>
    <col min="1" max="1" width="17.140625" style="17" customWidth="1"/>
    <col min="2" max="3" width="10.42578125" style="1"/>
    <col min="4" max="4" width="18" style="1" customWidth="1"/>
    <col min="5" max="6" width="10.42578125" style="1"/>
    <col min="7" max="7" width="20" style="1" customWidth="1"/>
    <col min="8" max="8" width="10.42578125" style="1"/>
    <col min="9" max="9" width="22.5703125" style="1" customWidth="1"/>
    <col min="10" max="10" width="20.85546875" style="1" customWidth="1"/>
    <col min="11" max="11" width="41.140625" style="233" customWidth="1"/>
    <col min="12" max="12" width="24" style="167" customWidth="1"/>
    <col min="13" max="13" width="26.140625" style="234" customWidth="1"/>
    <col min="14" max="14" width="42.140625" style="167" customWidth="1"/>
    <col min="15" max="15" width="24.28515625" style="167" customWidth="1"/>
    <col min="16" max="16" width="39.7109375" style="233" customWidth="1"/>
    <col min="17" max="17" width="25" style="273" customWidth="1"/>
    <col min="18" max="18" width="32.5703125" style="274" customWidth="1"/>
    <col min="19" max="19" width="34.42578125" style="233" customWidth="1"/>
    <col min="20" max="20" width="55.42578125" style="233" customWidth="1"/>
    <col min="21" max="21" width="45.42578125" style="233" customWidth="1"/>
    <col min="22" max="22" width="33.5703125" style="2074" customWidth="1"/>
    <col min="23" max="23" width="20.85546875" style="237" customWidth="1"/>
    <col min="24" max="24" width="29" style="1423" customWidth="1"/>
    <col min="25" max="40" width="10.42578125" style="1"/>
    <col min="41" max="41" width="19.7109375" style="238" customWidth="1"/>
    <col min="42" max="42" width="25" style="239" customWidth="1"/>
    <col min="43" max="43" width="33" style="191" customWidth="1"/>
    <col min="44" max="254" width="10.42578125" style="1"/>
  </cols>
  <sheetData>
    <row r="1" spans="1:254" ht="26.25" customHeight="1" x14ac:dyDescent="0.25">
      <c r="A1" s="2976" t="s">
        <v>2542</v>
      </c>
      <c r="B1" s="2977"/>
      <c r="C1" s="2977"/>
      <c r="D1" s="2977"/>
      <c r="E1" s="2977"/>
      <c r="F1" s="2977"/>
      <c r="G1" s="2977"/>
      <c r="H1" s="2977"/>
      <c r="I1" s="2977"/>
      <c r="J1" s="2977"/>
      <c r="K1" s="2977"/>
      <c r="L1" s="2977"/>
      <c r="M1" s="2977"/>
      <c r="N1" s="2977"/>
      <c r="O1" s="2977"/>
      <c r="P1" s="2977"/>
      <c r="Q1" s="2977"/>
      <c r="R1" s="2977"/>
      <c r="S1" s="2977"/>
      <c r="T1" s="2977"/>
      <c r="U1" s="2977"/>
      <c r="V1" s="2977"/>
      <c r="W1" s="2977"/>
      <c r="X1" s="2977"/>
      <c r="Y1" s="2977"/>
      <c r="Z1" s="2977"/>
      <c r="AA1" s="2977"/>
      <c r="AB1" s="2977"/>
      <c r="AC1" s="2977"/>
      <c r="AD1" s="2977"/>
      <c r="AE1" s="2977"/>
      <c r="AF1" s="2977"/>
      <c r="AG1" s="2977"/>
      <c r="AH1" s="2977"/>
      <c r="AI1" s="2977"/>
      <c r="AJ1" s="2977"/>
      <c r="AK1" s="2977"/>
      <c r="AL1" s="2977"/>
      <c r="AM1" s="2977"/>
      <c r="AN1" s="2977"/>
      <c r="AO1" s="2977"/>
      <c r="AP1" s="244" t="s">
        <v>0</v>
      </c>
      <c r="AQ1" s="245" t="s">
        <v>118</v>
      </c>
      <c r="AR1" s="124"/>
      <c r="AS1" s="124"/>
      <c r="AV1" s="124"/>
      <c r="AW1" s="124"/>
      <c r="AX1" s="124"/>
      <c r="AY1" s="124"/>
      <c r="AZ1" s="124"/>
      <c r="BA1" s="124"/>
      <c r="BB1" s="124"/>
      <c r="BC1" s="124"/>
      <c r="BD1" s="124"/>
      <c r="BE1" s="124"/>
      <c r="BF1" s="124"/>
      <c r="BG1" s="124"/>
      <c r="BH1" s="124"/>
      <c r="BI1" s="124"/>
      <c r="BJ1" s="124"/>
      <c r="BK1" s="124"/>
    </row>
    <row r="2" spans="1:254" ht="31.5" customHeight="1" x14ac:dyDescent="0.25">
      <c r="A2" s="2978"/>
      <c r="B2" s="2923"/>
      <c r="C2" s="2923"/>
      <c r="D2" s="2923"/>
      <c r="E2" s="2923"/>
      <c r="F2" s="2923"/>
      <c r="G2" s="2923"/>
      <c r="H2" s="2923"/>
      <c r="I2" s="2923"/>
      <c r="J2" s="2923"/>
      <c r="K2" s="2923"/>
      <c r="L2" s="2923"/>
      <c r="M2" s="2923"/>
      <c r="N2" s="2923"/>
      <c r="O2" s="2923"/>
      <c r="P2" s="2923"/>
      <c r="Q2" s="2923"/>
      <c r="R2" s="2923"/>
      <c r="S2" s="2923"/>
      <c r="T2" s="2923"/>
      <c r="U2" s="2923"/>
      <c r="V2" s="2923"/>
      <c r="W2" s="2923"/>
      <c r="X2" s="2923"/>
      <c r="Y2" s="2923"/>
      <c r="Z2" s="2923"/>
      <c r="AA2" s="2923"/>
      <c r="AB2" s="2923"/>
      <c r="AC2" s="2923"/>
      <c r="AD2" s="2923"/>
      <c r="AE2" s="2923"/>
      <c r="AF2" s="2923"/>
      <c r="AG2" s="2923"/>
      <c r="AH2" s="2923"/>
      <c r="AI2" s="2923"/>
      <c r="AJ2" s="2923"/>
      <c r="AK2" s="2923"/>
      <c r="AL2" s="2923"/>
      <c r="AM2" s="2923"/>
      <c r="AN2" s="2923"/>
      <c r="AO2" s="2923"/>
      <c r="AP2" s="125" t="s">
        <v>2</v>
      </c>
      <c r="AQ2" s="246" t="s">
        <v>119</v>
      </c>
      <c r="AR2" s="124"/>
      <c r="AS2" s="124"/>
      <c r="AV2" s="124"/>
      <c r="AW2" s="124"/>
      <c r="AX2" s="124"/>
      <c r="AY2" s="124"/>
      <c r="AZ2" s="124"/>
      <c r="BA2" s="124"/>
      <c r="BB2" s="124"/>
      <c r="BC2" s="124"/>
      <c r="BD2" s="124"/>
      <c r="BE2" s="124"/>
      <c r="BF2" s="124"/>
      <c r="BG2" s="124"/>
      <c r="BH2" s="124"/>
      <c r="BI2" s="124"/>
      <c r="BJ2" s="124"/>
      <c r="BK2" s="124"/>
    </row>
    <row r="3" spans="1:254" ht="35.25" customHeight="1" x14ac:dyDescent="0.25">
      <c r="A3" s="2978"/>
      <c r="B3" s="2923"/>
      <c r="C3" s="2923"/>
      <c r="D3" s="2923"/>
      <c r="E3" s="2923"/>
      <c r="F3" s="2923"/>
      <c r="G3" s="2923"/>
      <c r="H3" s="2923"/>
      <c r="I3" s="2923"/>
      <c r="J3" s="2923"/>
      <c r="K3" s="2923"/>
      <c r="L3" s="2923"/>
      <c r="M3" s="2923"/>
      <c r="N3" s="2923"/>
      <c r="O3" s="2923"/>
      <c r="P3" s="2923"/>
      <c r="Q3" s="2923"/>
      <c r="R3" s="2923"/>
      <c r="S3" s="2923"/>
      <c r="T3" s="2923"/>
      <c r="U3" s="2923"/>
      <c r="V3" s="2923"/>
      <c r="W3" s="2923"/>
      <c r="X3" s="2923"/>
      <c r="Y3" s="2923"/>
      <c r="Z3" s="2923"/>
      <c r="AA3" s="2923"/>
      <c r="AB3" s="2923"/>
      <c r="AC3" s="2923"/>
      <c r="AD3" s="2923"/>
      <c r="AE3" s="2923"/>
      <c r="AF3" s="2923"/>
      <c r="AG3" s="2923"/>
      <c r="AH3" s="2923"/>
      <c r="AI3" s="2923"/>
      <c r="AJ3" s="2923"/>
      <c r="AK3" s="2923"/>
      <c r="AL3" s="2923"/>
      <c r="AM3" s="2923"/>
      <c r="AN3" s="2923"/>
      <c r="AO3" s="2923"/>
      <c r="AP3" s="4" t="s">
        <v>4</v>
      </c>
      <c r="AQ3" s="247" t="s">
        <v>5</v>
      </c>
      <c r="AR3" s="124"/>
      <c r="AS3" s="124"/>
      <c r="AV3" s="124"/>
      <c r="AW3" s="124"/>
      <c r="AX3" s="124"/>
      <c r="AY3" s="124"/>
      <c r="AZ3" s="124"/>
      <c r="BA3" s="124"/>
      <c r="BB3" s="124"/>
      <c r="BC3" s="124"/>
      <c r="BD3" s="124"/>
      <c r="BE3" s="124"/>
      <c r="BF3" s="124"/>
      <c r="BG3" s="124"/>
      <c r="BH3" s="124"/>
      <c r="BI3" s="124"/>
      <c r="BJ3" s="124"/>
      <c r="BK3" s="124"/>
    </row>
    <row r="4" spans="1:254" ht="36" customHeight="1" x14ac:dyDescent="0.25">
      <c r="A4" s="2979"/>
      <c r="B4" s="2924"/>
      <c r="C4" s="2924"/>
      <c r="D4" s="2924"/>
      <c r="E4" s="2924"/>
      <c r="F4" s="2924"/>
      <c r="G4" s="2924"/>
      <c r="H4" s="2924"/>
      <c r="I4" s="2924"/>
      <c r="J4" s="2924"/>
      <c r="K4" s="2924"/>
      <c r="L4" s="2924"/>
      <c r="M4" s="2924"/>
      <c r="N4" s="2924"/>
      <c r="O4" s="2924"/>
      <c r="P4" s="2924"/>
      <c r="Q4" s="2924"/>
      <c r="R4" s="2924"/>
      <c r="S4" s="2924"/>
      <c r="T4" s="2924"/>
      <c r="U4" s="2924"/>
      <c r="V4" s="2924"/>
      <c r="W4" s="2924"/>
      <c r="X4" s="2924"/>
      <c r="Y4" s="2924"/>
      <c r="Z4" s="2924"/>
      <c r="AA4" s="2924"/>
      <c r="AB4" s="2924"/>
      <c r="AC4" s="2924"/>
      <c r="AD4" s="2924"/>
      <c r="AE4" s="2924"/>
      <c r="AF4" s="2924"/>
      <c r="AG4" s="2924"/>
      <c r="AH4" s="2924"/>
      <c r="AI4" s="2924"/>
      <c r="AJ4" s="2924"/>
      <c r="AK4" s="2924"/>
      <c r="AL4" s="2924"/>
      <c r="AM4" s="2924"/>
      <c r="AN4" s="2924"/>
      <c r="AO4" s="2924"/>
      <c r="AP4" s="4" t="s">
        <v>6</v>
      </c>
      <c r="AQ4" s="248" t="s">
        <v>7</v>
      </c>
      <c r="AR4" s="124"/>
      <c r="AS4" s="124"/>
      <c r="AV4" s="124"/>
      <c r="AW4" s="124"/>
      <c r="AX4" s="124"/>
      <c r="AY4" s="124"/>
      <c r="AZ4" s="124"/>
      <c r="BA4" s="124"/>
      <c r="BB4" s="124"/>
      <c r="BC4" s="124"/>
      <c r="BD4" s="124"/>
      <c r="BE4" s="124"/>
      <c r="BF4" s="124"/>
      <c r="BG4" s="124"/>
      <c r="BH4" s="124"/>
      <c r="BI4" s="124"/>
      <c r="BJ4" s="124"/>
      <c r="BK4" s="124"/>
    </row>
    <row r="5" spans="1:254" ht="54.75" customHeight="1" x14ac:dyDescent="0.25">
      <c r="A5" s="2980" t="s">
        <v>8</v>
      </c>
      <c r="B5" s="2925"/>
      <c r="C5" s="2925"/>
      <c r="D5" s="2925"/>
      <c r="E5" s="2925"/>
      <c r="F5" s="2925"/>
      <c r="G5" s="2925"/>
      <c r="H5" s="2925"/>
      <c r="I5" s="2925"/>
      <c r="J5" s="2925"/>
      <c r="K5" s="2925"/>
      <c r="L5" s="2925"/>
      <c r="M5" s="2925"/>
      <c r="N5" s="2926" t="s">
        <v>120</v>
      </c>
      <c r="O5" s="2926"/>
      <c r="P5" s="2926"/>
      <c r="Q5" s="2926"/>
      <c r="R5" s="2926"/>
      <c r="S5" s="2926"/>
      <c r="T5" s="2926"/>
      <c r="U5" s="2926"/>
      <c r="V5" s="2926"/>
      <c r="W5" s="2926"/>
      <c r="X5" s="2926"/>
      <c r="Y5" s="2926"/>
      <c r="Z5" s="2926"/>
      <c r="AA5" s="2926"/>
      <c r="AB5" s="2926"/>
      <c r="AC5" s="2926"/>
      <c r="AD5" s="2926"/>
      <c r="AE5" s="2926"/>
      <c r="AF5" s="2926"/>
      <c r="AG5" s="2926"/>
      <c r="AH5" s="2926"/>
      <c r="AI5" s="2926"/>
      <c r="AJ5" s="2926"/>
      <c r="AK5" s="2926"/>
      <c r="AL5" s="2926"/>
      <c r="AM5" s="2926"/>
      <c r="AN5" s="2926"/>
      <c r="AO5" s="2926"/>
      <c r="AP5" s="2926"/>
      <c r="AQ5" s="2983"/>
      <c r="AR5" s="124"/>
      <c r="AS5" s="124"/>
      <c r="AT5" s="124"/>
      <c r="AU5" s="124"/>
      <c r="AV5" s="124"/>
      <c r="AW5" s="124"/>
      <c r="AX5" s="124"/>
      <c r="AY5" s="124"/>
      <c r="AZ5" s="124"/>
      <c r="BA5" s="124"/>
      <c r="BB5" s="124"/>
      <c r="BC5" s="124"/>
      <c r="BD5" s="124"/>
      <c r="BE5" s="124"/>
      <c r="BF5" s="124"/>
      <c r="BG5" s="124"/>
      <c r="BH5" s="124"/>
      <c r="BI5" s="124"/>
      <c r="BJ5" s="124"/>
      <c r="BK5" s="124"/>
    </row>
    <row r="6" spans="1:254" ht="39.75" customHeight="1" x14ac:dyDescent="0.25">
      <c r="A6" s="2981"/>
      <c r="B6" s="2982"/>
      <c r="C6" s="2982"/>
      <c r="D6" s="2982"/>
      <c r="E6" s="2982"/>
      <c r="F6" s="2982"/>
      <c r="G6" s="2982"/>
      <c r="H6" s="2982"/>
      <c r="I6" s="2982"/>
      <c r="J6" s="2982"/>
      <c r="K6" s="2982"/>
      <c r="L6" s="2982"/>
      <c r="M6" s="2982"/>
      <c r="N6" s="249"/>
      <c r="O6" s="250"/>
      <c r="P6" s="250"/>
      <c r="Q6" s="1746"/>
      <c r="R6" s="1690"/>
      <c r="S6" s="250"/>
      <c r="T6" s="250"/>
      <c r="U6" s="250"/>
      <c r="V6" s="1706"/>
      <c r="W6" s="251"/>
      <c r="X6" s="1746"/>
      <c r="Y6" s="2984" t="s">
        <v>10</v>
      </c>
      <c r="Z6" s="2982"/>
      <c r="AA6" s="2982"/>
      <c r="AB6" s="2982"/>
      <c r="AC6" s="2982"/>
      <c r="AD6" s="2982"/>
      <c r="AE6" s="2982"/>
      <c r="AF6" s="2982"/>
      <c r="AG6" s="2982"/>
      <c r="AH6" s="2982"/>
      <c r="AI6" s="2982"/>
      <c r="AJ6" s="2982"/>
      <c r="AK6" s="2982"/>
      <c r="AL6" s="2982"/>
      <c r="AM6" s="2985"/>
      <c r="AN6" s="1746"/>
      <c r="AO6" s="252"/>
      <c r="AP6" s="252"/>
      <c r="AQ6" s="253"/>
      <c r="AR6" s="124"/>
      <c r="AS6" s="124"/>
      <c r="AT6" s="124"/>
      <c r="AU6" s="124"/>
      <c r="AV6" s="124"/>
      <c r="AW6" s="124"/>
      <c r="AX6" s="124"/>
      <c r="AY6" s="124"/>
      <c r="AZ6" s="124"/>
      <c r="BA6" s="124"/>
      <c r="BB6" s="124"/>
      <c r="BC6" s="124"/>
      <c r="BD6" s="124"/>
      <c r="BE6" s="124"/>
      <c r="BF6" s="124"/>
      <c r="BG6" s="124"/>
      <c r="BH6" s="124"/>
      <c r="BI6" s="124"/>
      <c r="BJ6" s="124"/>
      <c r="BK6" s="124"/>
    </row>
    <row r="7" spans="1:254" ht="27.75" customHeight="1" x14ac:dyDescent="0.25">
      <c r="A7" s="2986" t="s">
        <v>11</v>
      </c>
      <c r="B7" s="2934" t="s">
        <v>12</v>
      </c>
      <c r="C7" s="2934"/>
      <c r="D7" s="2934" t="s">
        <v>11</v>
      </c>
      <c r="E7" s="2934" t="s">
        <v>13</v>
      </c>
      <c r="F7" s="2934"/>
      <c r="G7" s="2934" t="s">
        <v>11</v>
      </c>
      <c r="H7" s="2934" t="s">
        <v>14</v>
      </c>
      <c r="I7" s="2934"/>
      <c r="J7" s="2934" t="s">
        <v>11</v>
      </c>
      <c r="K7" s="2934" t="s">
        <v>15</v>
      </c>
      <c r="L7" s="2934" t="s">
        <v>16</v>
      </c>
      <c r="M7" s="2934" t="s">
        <v>17</v>
      </c>
      <c r="N7" s="2934" t="s">
        <v>18</v>
      </c>
      <c r="O7" s="2934" t="s">
        <v>19</v>
      </c>
      <c r="P7" s="2934" t="s">
        <v>9</v>
      </c>
      <c r="Q7" s="2994" t="s">
        <v>20</v>
      </c>
      <c r="R7" s="2994" t="s">
        <v>21</v>
      </c>
      <c r="S7" s="2930" t="s">
        <v>22</v>
      </c>
      <c r="T7" s="2930" t="s">
        <v>23</v>
      </c>
      <c r="U7" s="2930" t="s">
        <v>24</v>
      </c>
      <c r="V7" s="2993" t="s">
        <v>21</v>
      </c>
      <c r="W7" s="2974" t="s">
        <v>11</v>
      </c>
      <c r="X7" s="2931" t="s">
        <v>25</v>
      </c>
      <c r="Y7" s="2942" t="s">
        <v>26</v>
      </c>
      <c r="Z7" s="2943"/>
      <c r="AA7" s="2944" t="s">
        <v>27</v>
      </c>
      <c r="AB7" s="2945"/>
      <c r="AC7" s="2945"/>
      <c r="AD7" s="2945"/>
      <c r="AE7" s="2946" t="s">
        <v>28</v>
      </c>
      <c r="AF7" s="2947"/>
      <c r="AG7" s="2947"/>
      <c r="AH7" s="2947"/>
      <c r="AI7" s="2947"/>
      <c r="AJ7" s="2947"/>
      <c r="AK7" s="2944" t="s">
        <v>29</v>
      </c>
      <c r="AL7" s="2945"/>
      <c r="AM7" s="2945"/>
      <c r="AN7" s="2988" t="s">
        <v>30</v>
      </c>
      <c r="AO7" s="2990" t="s">
        <v>31</v>
      </c>
      <c r="AP7" s="2990" t="s">
        <v>32</v>
      </c>
      <c r="AQ7" s="2991" t="s">
        <v>33</v>
      </c>
      <c r="AR7" s="124"/>
      <c r="AS7" s="124"/>
      <c r="AT7" s="124"/>
      <c r="AU7" s="124"/>
      <c r="AV7" s="124"/>
      <c r="AW7" s="124"/>
      <c r="AX7" s="124"/>
      <c r="AY7" s="124"/>
      <c r="AZ7" s="124"/>
      <c r="BA7" s="124"/>
      <c r="BB7" s="124"/>
      <c r="BC7" s="124"/>
      <c r="BD7" s="124"/>
      <c r="BE7" s="124"/>
      <c r="BF7" s="124"/>
      <c r="BG7" s="124"/>
      <c r="BH7" s="124"/>
      <c r="BI7" s="124"/>
      <c r="BJ7" s="124"/>
      <c r="BK7" s="124"/>
    </row>
    <row r="8" spans="1:254" ht="179.25" customHeight="1" x14ac:dyDescent="0.25">
      <c r="A8" s="2987"/>
      <c r="B8" s="2935"/>
      <c r="C8" s="2935"/>
      <c r="D8" s="2935"/>
      <c r="E8" s="2935"/>
      <c r="F8" s="2935"/>
      <c r="G8" s="2935"/>
      <c r="H8" s="2935"/>
      <c r="I8" s="2935"/>
      <c r="J8" s="2935"/>
      <c r="K8" s="2935"/>
      <c r="L8" s="2935"/>
      <c r="M8" s="2966"/>
      <c r="N8" s="2933"/>
      <c r="O8" s="2935"/>
      <c r="P8" s="2935"/>
      <c r="Q8" s="2995"/>
      <c r="R8" s="2995"/>
      <c r="S8" s="2932"/>
      <c r="T8" s="2932"/>
      <c r="U8" s="2932"/>
      <c r="V8" s="2993"/>
      <c r="W8" s="2975"/>
      <c r="X8" s="2933"/>
      <c r="Y8" s="127" t="s">
        <v>34</v>
      </c>
      <c r="Z8" s="128" t="s">
        <v>35</v>
      </c>
      <c r="AA8" s="127" t="s">
        <v>36</v>
      </c>
      <c r="AB8" s="127" t="s">
        <v>121</v>
      </c>
      <c r="AC8" s="127" t="s">
        <v>122</v>
      </c>
      <c r="AD8" s="127" t="s">
        <v>123</v>
      </c>
      <c r="AE8" s="127" t="s">
        <v>40</v>
      </c>
      <c r="AF8" s="127" t="s">
        <v>41</v>
      </c>
      <c r="AG8" s="127" t="s">
        <v>42</v>
      </c>
      <c r="AH8" s="127" t="s">
        <v>43</v>
      </c>
      <c r="AI8" s="127" t="s">
        <v>44</v>
      </c>
      <c r="AJ8" s="127" t="s">
        <v>45</v>
      </c>
      <c r="AK8" s="127" t="s">
        <v>46</v>
      </c>
      <c r="AL8" s="127" t="s">
        <v>47</v>
      </c>
      <c r="AM8" s="127" t="s">
        <v>48</v>
      </c>
      <c r="AN8" s="2989"/>
      <c r="AO8" s="2990"/>
      <c r="AP8" s="2990"/>
      <c r="AQ8" s="2992"/>
      <c r="AR8" s="124"/>
      <c r="AS8" s="124"/>
      <c r="AT8" s="124"/>
      <c r="AU8" s="124"/>
      <c r="AV8" s="124"/>
      <c r="AW8" s="124"/>
      <c r="AX8" s="124"/>
      <c r="AY8" s="124"/>
      <c r="AZ8" s="124"/>
      <c r="BA8" s="124"/>
      <c r="BB8" s="124"/>
      <c r="BC8" s="124"/>
      <c r="BD8" s="124"/>
      <c r="BE8" s="124"/>
      <c r="BF8" s="124"/>
      <c r="BG8" s="124"/>
      <c r="BH8" s="124"/>
      <c r="BI8" s="124"/>
      <c r="BJ8" s="124"/>
      <c r="BK8" s="124"/>
    </row>
    <row r="9" spans="1:254" x14ac:dyDescent="0.25">
      <c r="A9" s="254">
        <v>5</v>
      </c>
      <c r="B9" s="137" t="s">
        <v>49</v>
      </c>
      <c r="C9" s="137"/>
      <c r="D9" s="1788"/>
      <c r="E9" s="1788"/>
      <c r="F9" s="137"/>
      <c r="G9" s="137"/>
      <c r="H9" s="137"/>
      <c r="I9" s="137"/>
      <c r="J9" s="137"/>
      <c r="K9" s="132"/>
      <c r="L9" s="132"/>
      <c r="M9" s="133"/>
      <c r="N9" s="132"/>
      <c r="O9" s="132"/>
      <c r="P9" s="132"/>
      <c r="Q9" s="255"/>
      <c r="R9" s="255"/>
      <c r="S9" s="132"/>
      <c r="T9" s="132"/>
      <c r="U9" s="132"/>
      <c r="V9" s="2073"/>
      <c r="W9" s="136"/>
      <c r="X9" s="133"/>
      <c r="Y9" s="137"/>
      <c r="Z9" s="137"/>
      <c r="AA9" s="137"/>
      <c r="AB9" s="137"/>
      <c r="AC9" s="137"/>
      <c r="AD9" s="137"/>
      <c r="AE9" s="137"/>
      <c r="AF9" s="137"/>
      <c r="AG9" s="137"/>
      <c r="AH9" s="137"/>
      <c r="AI9" s="137"/>
      <c r="AJ9" s="137"/>
      <c r="AK9" s="137"/>
      <c r="AL9" s="137"/>
      <c r="AM9" s="137"/>
      <c r="AN9" s="137"/>
      <c r="AO9" s="256"/>
      <c r="AP9" s="256"/>
      <c r="AQ9" s="257"/>
      <c r="AR9" s="124"/>
      <c r="AS9" s="124"/>
      <c r="AT9" s="124"/>
      <c r="AU9" s="124"/>
      <c r="AV9" s="124"/>
      <c r="AW9" s="124"/>
      <c r="AX9" s="124"/>
      <c r="AY9" s="124"/>
      <c r="AZ9" s="124"/>
      <c r="BA9" s="124"/>
      <c r="BB9" s="124"/>
      <c r="BC9" s="124"/>
      <c r="BD9" s="124"/>
      <c r="BE9" s="124"/>
      <c r="BF9" s="124"/>
      <c r="BG9" s="124"/>
      <c r="BH9" s="124"/>
      <c r="BI9" s="124"/>
      <c r="BJ9" s="124"/>
      <c r="BK9" s="124"/>
    </row>
    <row r="10" spans="1:254" x14ac:dyDescent="0.25">
      <c r="A10" s="1775"/>
      <c r="B10" s="1776"/>
      <c r="C10" s="1776"/>
      <c r="D10" s="258">
        <v>28</v>
      </c>
      <c r="E10" s="150" t="s">
        <v>124</v>
      </c>
      <c r="F10" s="150"/>
      <c r="G10" s="150"/>
      <c r="H10" s="150"/>
      <c r="I10" s="150"/>
      <c r="J10" s="150"/>
      <c r="K10" s="144"/>
      <c r="L10" s="144"/>
      <c r="M10" s="145"/>
      <c r="N10" s="259"/>
      <c r="O10" s="144"/>
      <c r="P10" s="144"/>
      <c r="Q10" s="260"/>
      <c r="R10" s="260"/>
      <c r="S10" s="144"/>
      <c r="T10" s="144"/>
      <c r="U10" s="144"/>
      <c r="V10" s="2075"/>
      <c r="W10" s="149"/>
      <c r="X10" s="145"/>
      <c r="Y10" s="150"/>
      <c r="Z10" s="150"/>
      <c r="AA10" s="150"/>
      <c r="AB10" s="150"/>
      <c r="AC10" s="150"/>
      <c r="AD10" s="150"/>
      <c r="AE10" s="150"/>
      <c r="AF10" s="150"/>
      <c r="AG10" s="150"/>
      <c r="AH10" s="150"/>
      <c r="AI10" s="150"/>
      <c r="AJ10" s="150"/>
      <c r="AK10" s="150"/>
      <c r="AL10" s="150"/>
      <c r="AM10" s="150"/>
      <c r="AN10" s="150"/>
      <c r="AO10" s="151"/>
      <c r="AP10" s="151"/>
      <c r="AQ10" s="261"/>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row>
    <row r="11" spans="1:254" x14ac:dyDescent="0.25">
      <c r="A11" s="1775"/>
      <c r="B11" s="1776"/>
      <c r="C11" s="1776"/>
      <c r="D11" s="1777"/>
      <c r="E11" s="1776"/>
      <c r="F11" s="1776"/>
      <c r="G11" s="262">
        <v>89</v>
      </c>
      <c r="H11" s="162" t="s">
        <v>51</v>
      </c>
      <c r="I11" s="162"/>
      <c r="J11" s="162"/>
      <c r="K11" s="263"/>
      <c r="L11" s="263"/>
      <c r="M11" s="210"/>
      <c r="N11" s="264"/>
      <c r="O11" s="263"/>
      <c r="P11" s="263"/>
      <c r="Q11" s="265"/>
      <c r="R11" s="265"/>
      <c r="S11" s="263"/>
      <c r="T11" s="263"/>
      <c r="U11" s="263"/>
      <c r="V11" s="2076"/>
      <c r="W11" s="266"/>
      <c r="X11" s="210"/>
      <c r="Y11" s="267"/>
      <c r="Z11" s="267"/>
      <c r="AA11" s="267"/>
      <c r="AB11" s="267"/>
      <c r="AC11" s="267"/>
      <c r="AD11" s="267"/>
      <c r="AE11" s="267"/>
      <c r="AF11" s="267"/>
      <c r="AG11" s="267"/>
      <c r="AH11" s="267"/>
      <c r="AI11" s="267"/>
      <c r="AJ11" s="267"/>
      <c r="AK11" s="267"/>
      <c r="AL11" s="267"/>
      <c r="AM11" s="267"/>
      <c r="AN11" s="267"/>
      <c r="AO11" s="268"/>
      <c r="AP11" s="268"/>
      <c r="AQ11" s="269"/>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row>
    <row r="12" spans="1:254" ht="84.75" customHeight="1" x14ac:dyDescent="0.25">
      <c r="A12" s="16"/>
      <c r="B12" s="1742"/>
      <c r="C12" s="1742"/>
      <c r="D12" s="1782"/>
      <c r="E12" s="1742"/>
      <c r="F12" s="1742"/>
      <c r="G12" s="1781"/>
      <c r="H12" s="1742"/>
      <c r="I12" s="1742"/>
      <c r="J12" s="2795">
        <v>275</v>
      </c>
      <c r="K12" s="3020" t="s">
        <v>125</v>
      </c>
      <c r="L12" s="2795" t="s">
        <v>126</v>
      </c>
      <c r="M12" s="2795">
        <v>4</v>
      </c>
      <c r="N12" s="2795" t="s">
        <v>127</v>
      </c>
      <c r="O12" s="2998" t="s">
        <v>128</v>
      </c>
      <c r="P12" s="2767" t="s">
        <v>129</v>
      </c>
      <c r="Q12" s="2969">
        <f>+SUM(V12:V13)/R12</f>
        <v>0.64534997205058287</v>
      </c>
      <c r="R12" s="2999">
        <f>SUM(V12:V18)</f>
        <v>1870945991</v>
      </c>
      <c r="S12" s="2767" t="s">
        <v>130</v>
      </c>
      <c r="T12" s="2768" t="s">
        <v>131</v>
      </c>
      <c r="U12" s="3022" t="s">
        <v>132</v>
      </c>
      <c r="V12" s="2077">
        <f>952473039-25058096-35000000</f>
        <v>892414943</v>
      </c>
      <c r="W12" s="2068">
        <v>20</v>
      </c>
      <c r="X12" s="1692" t="s">
        <v>61</v>
      </c>
      <c r="Y12" s="3005">
        <v>294321</v>
      </c>
      <c r="Z12" s="2804">
        <v>283947</v>
      </c>
      <c r="AA12" s="2804">
        <v>135754</v>
      </c>
      <c r="AB12" s="2804">
        <v>44640</v>
      </c>
      <c r="AC12" s="2804">
        <v>308178</v>
      </c>
      <c r="AD12" s="2804">
        <v>89696</v>
      </c>
      <c r="AE12" s="2804">
        <v>2145</v>
      </c>
      <c r="AF12" s="2804">
        <v>12718</v>
      </c>
      <c r="AG12" s="2804">
        <v>26</v>
      </c>
      <c r="AH12" s="2804">
        <v>37</v>
      </c>
      <c r="AI12" s="2804"/>
      <c r="AJ12" s="2804"/>
      <c r="AK12" s="2804">
        <v>54612</v>
      </c>
      <c r="AL12" s="2804">
        <v>21944</v>
      </c>
      <c r="AM12" s="2804">
        <v>1010</v>
      </c>
      <c r="AN12" s="2804">
        <f>+Y12+Z12</f>
        <v>578268</v>
      </c>
      <c r="AO12" s="3025">
        <v>43473</v>
      </c>
      <c r="AP12" s="3000">
        <v>43830</v>
      </c>
      <c r="AQ12" s="3003" t="s">
        <v>134</v>
      </c>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row>
    <row r="13" spans="1:254" ht="84.75" customHeight="1" x14ac:dyDescent="0.25">
      <c r="A13" s="16"/>
      <c r="B13" s="1742"/>
      <c r="C13" s="1742"/>
      <c r="D13" s="1782"/>
      <c r="E13" s="1742"/>
      <c r="F13" s="1742"/>
      <c r="G13" s="1782"/>
      <c r="H13" s="1742"/>
      <c r="I13" s="1742"/>
      <c r="J13" s="2773"/>
      <c r="K13" s="3021"/>
      <c r="L13" s="2773"/>
      <c r="M13" s="2773"/>
      <c r="N13" s="2914"/>
      <c r="O13" s="2998"/>
      <c r="P13" s="2767"/>
      <c r="Q13" s="2969"/>
      <c r="R13" s="2999"/>
      <c r="S13" s="2767"/>
      <c r="T13" s="2766"/>
      <c r="U13" s="3023"/>
      <c r="V13" s="2077">
        <f>0+359941904-44941904</f>
        <v>315000000</v>
      </c>
      <c r="W13" s="2068">
        <v>88</v>
      </c>
      <c r="X13" s="1692" t="s">
        <v>135</v>
      </c>
      <c r="Y13" s="3006"/>
      <c r="Z13" s="2967"/>
      <c r="AA13" s="2967"/>
      <c r="AB13" s="2967"/>
      <c r="AC13" s="2967"/>
      <c r="AD13" s="2967"/>
      <c r="AE13" s="2967"/>
      <c r="AF13" s="2967"/>
      <c r="AG13" s="2967"/>
      <c r="AH13" s="2967"/>
      <c r="AI13" s="2967"/>
      <c r="AJ13" s="2967"/>
      <c r="AK13" s="2967"/>
      <c r="AL13" s="2967"/>
      <c r="AM13" s="2967"/>
      <c r="AN13" s="2967"/>
      <c r="AO13" s="3026"/>
      <c r="AP13" s="3001"/>
      <c r="AQ13" s="3003"/>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row>
    <row r="14" spans="1:254" ht="54.75" customHeight="1" x14ac:dyDescent="0.25">
      <c r="A14" s="16"/>
      <c r="B14" s="2996"/>
      <c r="C14" s="2996"/>
      <c r="D14" s="1782"/>
      <c r="E14" s="2996"/>
      <c r="F14" s="2996"/>
      <c r="G14" s="1782"/>
      <c r="H14" s="2996"/>
      <c r="I14" s="2996"/>
      <c r="J14" s="2795">
        <v>276</v>
      </c>
      <c r="K14" s="2831" t="s">
        <v>136</v>
      </c>
      <c r="L14" s="2767" t="s">
        <v>137</v>
      </c>
      <c r="M14" s="2997">
        <v>1</v>
      </c>
      <c r="N14" s="2914"/>
      <c r="O14" s="2998"/>
      <c r="P14" s="2767"/>
      <c r="Q14" s="2969">
        <f>+SUM(V14:V15)/R12</f>
        <v>0.22102778486885782</v>
      </c>
      <c r="R14" s="2999"/>
      <c r="S14" s="2767"/>
      <c r="T14" s="2767" t="s">
        <v>138</v>
      </c>
      <c r="U14" s="3004" t="s">
        <v>139</v>
      </c>
      <c r="V14" s="2077">
        <f>240000000+25058096</f>
        <v>265058096</v>
      </c>
      <c r="W14" s="2068">
        <v>20</v>
      </c>
      <c r="X14" s="1692" t="s">
        <v>133</v>
      </c>
      <c r="Y14" s="3006"/>
      <c r="Z14" s="2967"/>
      <c r="AA14" s="2967"/>
      <c r="AB14" s="2967"/>
      <c r="AC14" s="2967"/>
      <c r="AD14" s="2967"/>
      <c r="AE14" s="2967"/>
      <c r="AF14" s="2967"/>
      <c r="AG14" s="2967"/>
      <c r="AH14" s="2967"/>
      <c r="AI14" s="2967"/>
      <c r="AJ14" s="2967"/>
      <c r="AK14" s="2967"/>
      <c r="AL14" s="2967"/>
      <c r="AM14" s="2967"/>
      <c r="AN14" s="2967"/>
      <c r="AO14" s="3026"/>
      <c r="AP14" s="3001"/>
      <c r="AQ14" s="3003"/>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row>
    <row r="15" spans="1:254" ht="60.75" customHeight="1" x14ac:dyDescent="0.25">
      <c r="A15" s="16"/>
      <c r="B15" s="1742"/>
      <c r="C15" s="1742"/>
      <c r="D15" s="1782"/>
      <c r="E15" s="1742"/>
      <c r="F15" s="1742"/>
      <c r="G15" s="1782"/>
      <c r="H15" s="1742"/>
      <c r="I15" s="1742"/>
      <c r="J15" s="2773"/>
      <c r="K15" s="2831"/>
      <c r="L15" s="2767"/>
      <c r="M15" s="2997"/>
      <c r="N15" s="2914"/>
      <c r="O15" s="2998"/>
      <c r="P15" s="2767"/>
      <c r="Q15" s="2969"/>
      <c r="R15" s="2999"/>
      <c r="S15" s="2767"/>
      <c r="T15" s="2767"/>
      <c r="U15" s="3004"/>
      <c r="V15" s="2077">
        <f>0+103531048+44941904</f>
        <v>148472952</v>
      </c>
      <c r="W15" s="2068">
        <v>88</v>
      </c>
      <c r="X15" s="1692" t="s">
        <v>135</v>
      </c>
      <c r="Y15" s="3006"/>
      <c r="Z15" s="2967"/>
      <c r="AA15" s="2967"/>
      <c r="AB15" s="2967"/>
      <c r="AC15" s="2967"/>
      <c r="AD15" s="2967"/>
      <c r="AE15" s="2967"/>
      <c r="AF15" s="2967"/>
      <c r="AG15" s="2967"/>
      <c r="AH15" s="2967"/>
      <c r="AI15" s="2967"/>
      <c r="AJ15" s="2967"/>
      <c r="AK15" s="2967"/>
      <c r="AL15" s="2967"/>
      <c r="AM15" s="2967"/>
      <c r="AN15" s="2967"/>
      <c r="AO15" s="3026"/>
      <c r="AP15" s="3001"/>
      <c r="AQ15" s="3003"/>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row>
    <row r="16" spans="1:254" ht="44.25" customHeight="1" x14ac:dyDescent="0.25">
      <c r="A16" s="16"/>
      <c r="B16" s="1742"/>
      <c r="C16" s="1742"/>
      <c r="D16" s="1782"/>
      <c r="E16" s="1742"/>
      <c r="F16" s="1742"/>
      <c r="G16" s="1782"/>
      <c r="H16" s="1742"/>
      <c r="I16" s="1742"/>
      <c r="J16" s="2795">
        <v>277</v>
      </c>
      <c r="K16" s="2768" t="s">
        <v>140</v>
      </c>
      <c r="L16" s="2768" t="s">
        <v>141</v>
      </c>
      <c r="M16" s="2795">
        <v>1</v>
      </c>
      <c r="N16" s="2914"/>
      <c r="O16" s="2998"/>
      <c r="P16" s="2767"/>
      <c r="Q16" s="2969">
        <f>+V16/R12</f>
        <v>0.13362224308055934</v>
      </c>
      <c r="R16" s="2999"/>
      <c r="S16" s="2767"/>
      <c r="T16" s="2768" t="s">
        <v>142</v>
      </c>
      <c r="U16" s="2970" t="s">
        <v>143</v>
      </c>
      <c r="V16" s="2973">
        <v>250000000</v>
      </c>
      <c r="W16" s="3007">
        <v>56</v>
      </c>
      <c r="X16" s="3008" t="s">
        <v>144</v>
      </c>
      <c r="Y16" s="2967"/>
      <c r="Z16" s="2967"/>
      <c r="AA16" s="2967"/>
      <c r="AB16" s="2967"/>
      <c r="AC16" s="2967"/>
      <c r="AD16" s="2967"/>
      <c r="AE16" s="2967"/>
      <c r="AF16" s="2967"/>
      <c r="AG16" s="2967"/>
      <c r="AH16" s="2967"/>
      <c r="AI16" s="2967"/>
      <c r="AJ16" s="2967"/>
      <c r="AK16" s="2967"/>
      <c r="AL16" s="2967"/>
      <c r="AM16" s="2967"/>
      <c r="AN16" s="2967"/>
      <c r="AO16" s="3026"/>
      <c r="AP16" s="3001"/>
      <c r="AQ16" s="3003"/>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row>
    <row r="17" spans="1:254" ht="44.25" customHeight="1" x14ac:dyDescent="0.25">
      <c r="A17" s="16"/>
      <c r="B17" s="1742"/>
      <c r="C17" s="1742"/>
      <c r="D17" s="1782"/>
      <c r="E17" s="1742"/>
      <c r="F17" s="1742"/>
      <c r="G17" s="1782"/>
      <c r="H17" s="1742"/>
      <c r="I17" s="1742"/>
      <c r="J17" s="2914"/>
      <c r="K17" s="2888"/>
      <c r="L17" s="2888"/>
      <c r="M17" s="2914"/>
      <c r="N17" s="2914"/>
      <c r="O17" s="2998"/>
      <c r="P17" s="2767"/>
      <c r="Q17" s="2969"/>
      <c r="R17" s="2999"/>
      <c r="S17" s="2767"/>
      <c r="T17" s="2888"/>
      <c r="U17" s="2971"/>
      <c r="V17" s="2973"/>
      <c r="W17" s="3007"/>
      <c r="X17" s="3009"/>
      <c r="Y17" s="2967"/>
      <c r="Z17" s="2967"/>
      <c r="AA17" s="2967"/>
      <c r="AB17" s="2967"/>
      <c r="AC17" s="2967"/>
      <c r="AD17" s="2967"/>
      <c r="AE17" s="2967"/>
      <c r="AF17" s="2967"/>
      <c r="AG17" s="2967"/>
      <c r="AH17" s="2967"/>
      <c r="AI17" s="2967"/>
      <c r="AJ17" s="2967"/>
      <c r="AK17" s="2967"/>
      <c r="AL17" s="2967"/>
      <c r="AM17" s="2967"/>
      <c r="AN17" s="2967"/>
      <c r="AO17" s="3026"/>
      <c r="AP17" s="3001"/>
      <c r="AQ17" s="3003"/>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row>
    <row r="18" spans="1:254" ht="57" customHeight="1" x14ac:dyDescent="0.25">
      <c r="A18" s="16"/>
      <c r="B18" s="1742"/>
      <c r="C18" s="1742"/>
      <c r="D18" s="1782"/>
      <c r="E18" s="1742"/>
      <c r="F18" s="1742"/>
      <c r="G18" s="1782"/>
      <c r="H18" s="1742"/>
      <c r="I18" s="1742"/>
      <c r="J18" s="2773"/>
      <c r="K18" s="2766"/>
      <c r="L18" s="2766"/>
      <c r="M18" s="2773"/>
      <c r="N18" s="2773"/>
      <c r="O18" s="2998"/>
      <c r="P18" s="2767"/>
      <c r="Q18" s="2969"/>
      <c r="R18" s="2999"/>
      <c r="S18" s="2767"/>
      <c r="T18" s="2766"/>
      <c r="U18" s="2972"/>
      <c r="V18" s="2973"/>
      <c r="W18" s="3007"/>
      <c r="X18" s="3010"/>
      <c r="Y18" s="2968"/>
      <c r="Z18" s="2968"/>
      <c r="AA18" s="2968"/>
      <c r="AB18" s="2968"/>
      <c r="AC18" s="2968"/>
      <c r="AD18" s="2968"/>
      <c r="AE18" s="2968"/>
      <c r="AF18" s="2968"/>
      <c r="AG18" s="2968"/>
      <c r="AH18" s="2968"/>
      <c r="AI18" s="2968"/>
      <c r="AJ18" s="2968"/>
      <c r="AK18" s="2968"/>
      <c r="AL18" s="2968"/>
      <c r="AM18" s="2968"/>
      <c r="AN18" s="2968"/>
      <c r="AO18" s="3027"/>
      <c r="AP18" s="3002"/>
      <c r="AQ18" s="3003"/>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row>
    <row r="19" spans="1:254" ht="102.75" customHeight="1" x14ac:dyDescent="0.25">
      <c r="A19" s="16"/>
      <c r="B19" s="2996"/>
      <c r="C19" s="2996"/>
      <c r="D19" s="1782"/>
      <c r="E19" s="2996"/>
      <c r="F19" s="2996"/>
      <c r="G19" s="1782"/>
      <c r="H19" s="2996"/>
      <c r="I19" s="2996"/>
      <c r="J19" s="1743">
        <v>278</v>
      </c>
      <c r="K19" s="1744" t="s">
        <v>145</v>
      </c>
      <c r="L19" s="1744" t="s">
        <v>146</v>
      </c>
      <c r="M19" s="1745">
        <v>1</v>
      </c>
      <c r="N19" s="2795" t="s">
        <v>147</v>
      </c>
      <c r="O19" s="2998" t="s">
        <v>148</v>
      </c>
      <c r="P19" s="2767" t="s">
        <v>149</v>
      </c>
      <c r="Q19" s="1872">
        <f>+V19/R19</f>
        <v>2.3035344376974434E-2</v>
      </c>
      <c r="R19" s="2999">
        <f>SUM(V19:V21)</f>
        <v>477527048</v>
      </c>
      <c r="S19" s="2767" t="s">
        <v>150</v>
      </c>
      <c r="T19" s="1918" t="s">
        <v>151</v>
      </c>
      <c r="U19" s="1456" t="s">
        <v>152</v>
      </c>
      <c r="V19" s="2077">
        <f>10000000+1000000</f>
        <v>11000000</v>
      </c>
      <c r="W19" s="2069">
        <v>20</v>
      </c>
      <c r="X19" s="1786" t="s">
        <v>153</v>
      </c>
      <c r="Y19" s="3028">
        <v>294321</v>
      </c>
      <c r="Z19" s="3016">
        <v>283947</v>
      </c>
      <c r="AA19" s="3016">
        <v>135754</v>
      </c>
      <c r="AB19" s="3016">
        <v>44640</v>
      </c>
      <c r="AC19" s="3016">
        <v>308178</v>
      </c>
      <c r="AD19" s="3016">
        <v>89696</v>
      </c>
      <c r="AE19" s="3016">
        <v>2145</v>
      </c>
      <c r="AF19" s="3016">
        <v>12718</v>
      </c>
      <c r="AG19" s="3016">
        <v>26</v>
      </c>
      <c r="AH19" s="3016">
        <v>37</v>
      </c>
      <c r="AI19" s="3016"/>
      <c r="AJ19" s="3016"/>
      <c r="AK19" s="3016">
        <v>54612</v>
      </c>
      <c r="AL19" s="3016">
        <v>21944</v>
      </c>
      <c r="AM19" s="3016">
        <v>1010</v>
      </c>
      <c r="AN19" s="3016">
        <f>+Y19+Z19</f>
        <v>578268</v>
      </c>
      <c r="AO19" s="3024">
        <v>43473</v>
      </c>
      <c r="AP19" s="3011">
        <v>43830</v>
      </c>
      <c r="AQ19" s="3003" t="s">
        <v>154</v>
      </c>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row>
    <row r="20" spans="1:254" ht="65.25" customHeight="1" x14ac:dyDescent="0.25">
      <c r="A20" s="16"/>
      <c r="B20" s="1742"/>
      <c r="C20" s="1742"/>
      <c r="D20" s="1782"/>
      <c r="E20" s="1742"/>
      <c r="F20" s="1742"/>
      <c r="G20" s="1782"/>
      <c r="H20" s="1742"/>
      <c r="I20" s="1742"/>
      <c r="J20" s="2795">
        <v>279</v>
      </c>
      <c r="K20" s="2768" t="s">
        <v>155</v>
      </c>
      <c r="L20" s="2768" t="s">
        <v>156</v>
      </c>
      <c r="M20" s="2795">
        <v>1</v>
      </c>
      <c r="N20" s="2914"/>
      <c r="O20" s="2998"/>
      <c r="P20" s="2767"/>
      <c r="Q20" s="2969">
        <f>+SUM(V20:V21)/R19</f>
        <v>0.97696465562302559</v>
      </c>
      <c r="R20" s="2999"/>
      <c r="S20" s="2767"/>
      <c r="T20" s="3030" t="s">
        <v>157</v>
      </c>
      <c r="U20" s="3032" t="s">
        <v>158</v>
      </c>
      <c r="V20" s="2077">
        <f>306000000+34000000</f>
        <v>340000000</v>
      </c>
      <c r="W20" s="2070">
        <v>20</v>
      </c>
      <c r="X20" s="1786" t="s">
        <v>153</v>
      </c>
      <c r="Y20" s="3029"/>
      <c r="Z20" s="3017"/>
      <c r="AA20" s="3017"/>
      <c r="AB20" s="3017"/>
      <c r="AC20" s="3017"/>
      <c r="AD20" s="3017"/>
      <c r="AE20" s="3017"/>
      <c r="AF20" s="3017"/>
      <c r="AG20" s="3017"/>
      <c r="AH20" s="3017"/>
      <c r="AI20" s="3017"/>
      <c r="AJ20" s="3017"/>
      <c r="AK20" s="3017"/>
      <c r="AL20" s="3017"/>
      <c r="AM20" s="3017"/>
      <c r="AN20" s="3017"/>
      <c r="AO20" s="3024"/>
      <c r="AP20" s="3011"/>
      <c r="AQ20" s="3003"/>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row>
    <row r="21" spans="1:254" ht="72" customHeight="1" thickBot="1" x14ac:dyDescent="0.3">
      <c r="A21" s="16"/>
      <c r="B21" s="1742"/>
      <c r="C21" s="1742"/>
      <c r="D21" s="1782"/>
      <c r="E21" s="1742"/>
      <c r="F21" s="1742"/>
      <c r="G21" s="1782"/>
      <c r="H21" s="1742"/>
      <c r="I21" s="1742"/>
      <c r="J21" s="2914"/>
      <c r="K21" s="2888"/>
      <c r="L21" s="2888"/>
      <c r="M21" s="2914"/>
      <c r="N21" s="2914"/>
      <c r="O21" s="2795"/>
      <c r="P21" s="2768"/>
      <c r="Q21" s="3034"/>
      <c r="R21" s="3018"/>
      <c r="S21" s="2767"/>
      <c r="T21" s="3031"/>
      <c r="U21" s="3033"/>
      <c r="V21" s="2078">
        <f>0+126527048</f>
        <v>126527048</v>
      </c>
      <c r="W21" s="2071">
        <v>88</v>
      </c>
      <c r="X21" s="1920" t="s">
        <v>135</v>
      </c>
      <c r="Y21" s="3029"/>
      <c r="Z21" s="3017"/>
      <c r="AA21" s="3017"/>
      <c r="AB21" s="3017"/>
      <c r="AC21" s="3017"/>
      <c r="AD21" s="3017"/>
      <c r="AE21" s="3017"/>
      <c r="AF21" s="3017"/>
      <c r="AG21" s="3017"/>
      <c r="AH21" s="3017"/>
      <c r="AI21" s="3017"/>
      <c r="AJ21" s="3017"/>
      <c r="AK21" s="3017"/>
      <c r="AL21" s="3017"/>
      <c r="AM21" s="3017"/>
      <c r="AN21" s="3017"/>
      <c r="AO21" s="3025"/>
      <c r="AP21" s="3000"/>
      <c r="AQ21" s="3012"/>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row>
    <row r="22" spans="1:254" ht="39" customHeight="1" thickBot="1" x14ac:dyDescent="0.3">
      <c r="A22" s="2063"/>
      <c r="B22" s="18"/>
      <c r="C22" s="18"/>
      <c r="D22" s="18"/>
      <c r="E22" s="18"/>
      <c r="F22" s="18"/>
      <c r="G22" s="18"/>
      <c r="H22" s="18"/>
      <c r="I22" s="18"/>
      <c r="J22" s="2064"/>
      <c r="K22" s="2062"/>
      <c r="L22" s="2062"/>
      <c r="M22" s="19"/>
      <c r="N22" s="2062"/>
      <c r="O22" s="2062"/>
      <c r="P22" s="2062"/>
      <c r="Q22" s="2065"/>
      <c r="R22" s="2066">
        <f>SUM(R12:R21)</f>
        <v>2348473039</v>
      </c>
      <c r="S22" s="3035"/>
      <c r="T22" s="3036"/>
      <c r="U22" s="3037"/>
      <c r="V22" s="2072">
        <f>SUM(V12:V21)</f>
        <v>2348473039</v>
      </c>
      <c r="W22" s="2060"/>
      <c r="X22" s="2061"/>
      <c r="Y22" s="18"/>
      <c r="Z22" s="18"/>
      <c r="AA22" s="18"/>
      <c r="AB22" s="18"/>
      <c r="AC22" s="18"/>
      <c r="AD22" s="18"/>
      <c r="AE22" s="18"/>
      <c r="AF22" s="18"/>
      <c r="AG22" s="18"/>
      <c r="AH22" s="18"/>
      <c r="AI22" s="18"/>
      <c r="AJ22" s="18"/>
      <c r="AK22" s="18"/>
      <c r="AL22" s="18"/>
      <c r="AM22" s="18"/>
      <c r="AN22" s="18"/>
      <c r="AO22" s="229"/>
      <c r="AP22" s="270"/>
      <c r="AQ22" s="231"/>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row>
    <row r="23" spans="1:254" x14ac:dyDescent="0.25">
      <c r="A23" s="3013"/>
      <c r="B23" s="3013"/>
      <c r="C23" s="3013"/>
      <c r="D23" s="3013"/>
      <c r="E23" s="3013"/>
      <c r="F23" s="3013"/>
      <c r="G23" s="3013"/>
      <c r="H23" s="3013"/>
      <c r="I23" s="3013"/>
      <c r="J23" s="3013"/>
      <c r="K23" s="3013"/>
      <c r="L23" s="3013"/>
      <c r="M23" s="3013"/>
      <c r="N23" s="3013"/>
      <c r="O23" s="3013"/>
      <c r="P23" s="3013"/>
      <c r="Q23" s="3013"/>
      <c r="R23" s="1705" t="s">
        <v>159</v>
      </c>
      <c r="S23" s="3014"/>
      <c r="T23" s="3014"/>
      <c r="U23" s="3014"/>
      <c r="V23" s="1706"/>
      <c r="W23" s="1707"/>
      <c r="X23" s="1708"/>
      <c r="Y23" s="1709"/>
      <c r="Z23" s="1710"/>
      <c r="AA23" s="271"/>
      <c r="AB23" s="271"/>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1"/>
      <c r="BE23" s="271"/>
      <c r="BF23" s="272"/>
      <c r="BG23" s="272"/>
      <c r="BH23" s="272"/>
      <c r="BI23" s="272"/>
      <c r="BJ23" s="272"/>
      <c r="BK23" s="272"/>
      <c r="BL23" s="272"/>
      <c r="BM23" s="272"/>
    </row>
    <row r="24" spans="1:254" x14ac:dyDescent="0.25">
      <c r="A24" s="1740"/>
      <c r="B24" s="1740"/>
      <c r="C24" s="1740"/>
      <c r="D24" s="1740"/>
      <c r="E24" s="1740"/>
      <c r="F24" s="1740"/>
      <c r="G24" s="1740"/>
      <c r="H24" s="1740"/>
      <c r="I24" s="1740"/>
      <c r="J24" s="1740"/>
      <c r="K24" s="1740"/>
      <c r="L24" s="1740"/>
      <c r="M24" s="1740"/>
      <c r="N24" s="1740"/>
      <c r="O24" s="1740"/>
      <c r="P24" s="1740"/>
      <c r="Q24" s="1740"/>
      <c r="R24" s="1705"/>
      <c r="S24" s="1741"/>
      <c r="T24" s="1741"/>
      <c r="U24" s="1741"/>
      <c r="V24" s="1706"/>
      <c r="W24" s="1707"/>
      <c r="X24" s="1708"/>
      <c r="Y24" s="1711"/>
      <c r="Z24" s="1711"/>
      <c r="AA24" s="1040"/>
      <c r="AB24" s="1040"/>
      <c r="AC24" s="1040"/>
      <c r="AD24" s="1040"/>
      <c r="AE24" s="1040"/>
      <c r="AF24" s="1040"/>
      <c r="AG24" s="1040"/>
      <c r="AH24" s="1040"/>
      <c r="AI24" s="1040"/>
      <c r="AJ24" s="1040"/>
      <c r="AK24" s="1040"/>
      <c r="AL24" s="1040"/>
      <c r="AM24" s="1040"/>
      <c r="AN24" s="1040"/>
      <c r="AO24" s="272"/>
      <c r="AP24" s="272"/>
      <c r="AQ24" s="272"/>
      <c r="AR24" s="272"/>
      <c r="AS24" s="272"/>
      <c r="AT24" s="272"/>
      <c r="AU24" s="272"/>
      <c r="AV24" s="272"/>
      <c r="AW24" s="272"/>
      <c r="AX24" s="272"/>
      <c r="AY24" s="272"/>
      <c r="AZ24" s="272"/>
      <c r="BA24" s="272"/>
      <c r="BB24" s="272"/>
      <c r="BC24" s="272"/>
      <c r="BD24" s="271"/>
      <c r="BE24" s="271"/>
      <c r="BF24" s="272"/>
      <c r="BG24" s="272"/>
      <c r="BH24" s="272"/>
      <c r="BI24" s="272"/>
      <c r="BJ24" s="272"/>
      <c r="BK24" s="272"/>
      <c r="BL24" s="272"/>
      <c r="BM24" s="272"/>
    </row>
    <row r="25" spans="1:254" x14ac:dyDescent="0.25">
      <c r="A25" s="1740"/>
      <c r="B25" s="1740"/>
      <c r="C25" s="1740"/>
      <c r="D25" s="1740"/>
      <c r="E25" s="1740"/>
      <c r="F25" s="1740"/>
      <c r="G25" s="1740"/>
      <c r="H25" s="1740"/>
      <c r="I25" s="1740"/>
      <c r="J25" s="1740"/>
      <c r="K25" s="1740"/>
      <c r="L25" s="1740"/>
      <c r="M25" s="1740"/>
      <c r="N25" s="1740"/>
      <c r="O25" s="1740"/>
      <c r="P25" s="1740"/>
      <c r="Q25" s="1740"/>
      <c r="R25" s="1705"/>
      <c r="S25" s="1741"/>
      <c r="T25" s="1741"/>
      <c r="U25" s="1741"/>
      <c r="V25" s="1706"/>
      <c r="W25" s="1707"/>
      <c r="X25" s="1708"/>
      <c r="Y25" s="1709"/>
      <c r="Z25" s="1710"/>
      <c r="AA25" s="271"/>
      <c r="AB25" s="271"/>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1"/>
      <c r="BE25" s="271"/>
      <c r="BF25" s="272"/>
      <c r="BG25" s="272"/>
      <c r="BH25" s="272"/>
      <c r="BI25" s="272"/>
      <c r="BJ25" s="272"/>
      <c r="BK25" s="272"/>
      <c r="BL25" s="272"/>
      <c r="BM25" s="272"/>
    </row>
    <row r="26" spans="1:254" x14ac:dyDescent="0.25">
      <c r="A26" s="1740"/>
      <c r="B26" s="1740"/>
      <c r="C26" s="1740"/>
      <c r="D26" s="1740"/>
      <c r="E26" s="1740"/>
      <c r="F26" s="1740"/>
      <c r="G26" s="1740"/>
      <c r="H26" s="1740"/>
      <c r="I26" s="1740"/>
      <c r="J26" s="1740"/>
      <c r="K26" s="1740"/>
      <c r="L26" s="1740"/>
      <c r="M26" s="1740"/>
      <c r="N26" s="1740"/>
      <c r="O26" s="1740"/>
      <c r="P26" s="1740"/>
      <c r="Q26" s="1740"/>
      <c r="R26" s="1705"/>
      <c r="S26" s="1741"/>
      <c r="T26" s="1741"/>
      <c r="U26" s="1741"/>
      <c r="V26" s="1706"/>
      <c r="W26" s="1707"/>
      <c r="X26" s="1708"/>
      <c r="Y26" s="1711"/>
      <c r="Z26" s="1711"/>
      <c r="AA26" s="1040"/>
      <c r="AB26" s="1040"/>
      <c r="AC26" s="1040"/>
      <c r="AD26" s="1040"/>
      <c r="AE26" s="1040"/>
      <c r="AF26" s="1040"/>
      <c r="AG26" s="1040"/>
      <c r="AH26" s="1040"/>
      <c r="AI26" s="1040"/>
      <c r="AJ26" s="1040"/>
      <c r="AK26" s="1040"/>
      <c r="AL26" s="1040"/>
      <c r="AM26" s="1040"/>
      <c r="AN26" s="1040"/>
      <c r="AO26" s="1040"/>
      <c r="AP26" s="272"/>
      <c r="AQ26" s="272"/>
      <c r="AR26" s="272"/>
      <c r="AS26" s="272"/>
      <c r="AT26" s="272"/>
      <c r="AU26" s="272"/>
      <c r="AV26" s="272"/>
      <c r="AW26" s="272"/>
      <c r="AX26" s="272"/>
      <c r="AY26" s="272"/>
      <c r="AZ26" s="272"/>
      <c r="BA26" s="272"/>
      <c r="BB26" s="272"/>
      <c r="BC26" s="272"/>
      <c r="BD26" s="271"/>
      <c r="BE26" s="271"/>
      <c r="BF26" s="272"/>
      <c r="BG26" s="272"/>
      <c r="BH26" s="272"/>
      <c r="BI26" s="272"/>
      <c r="BJ26" s="272"/>
      <c r="BK26" s="272"/>
      <c r="BL26" s="272"/>
      <c r="BM26" s="272"/>
    </row>
    <row r="27" spans="1:254" x14ac:dyDescent="0.25">
      <c r="A27" s="1712"/>
      <c r="B27" s="1713"/>
      <c r="C27" s="1713"/>
      <c r="D27" s="1713"/>
      <c r="E27" s="1713"/>
      <c r="F27" s="1713"/>
      <c r="G27" s="1713"/>
      <c r="H27" s="1713"/>
      <c r="I27" s="1713"/>
      <c r="J27" s="1714"/>
      <c r="K27" s="1715"/>
      <c r="L27" s="1739"/>
      <c r="M27" s="1716"/>
      <c r="N27" s="1739"/>
      <c r="O27" s="1739"/>
      <c r="P27" s="1739"/>
      <c r="Q27" s="1716"/>
      <c r="R27" s="1705"/>
      <c r="S27" s="1739"/>
      <c r="T27" s="1715"/>
      <c r="U27" s="1715"/>
      <c r="V27" s="1706"/>
      <c r="W27" s="1717"/>
      <c r="X27" s="1718"/>
      <c r="Y27" s="1713"/>
      <c r="Z27" s="1713"/>
    </row>
    <row r="28" spans="1:254" x14ac:dyDescent="0.25">
      <c r="A28" s="1712"/>
      <c r="B28" s="1713"/>
      <c r="C28" s="1713"/>
      <c r="D28" s="1713"/>
      <c r="E28" s="1713"/>
      <c r="F28" s="1713"/>
      <c r="G28" s="1713"/>
      <c r="H28" s="1713"/>
      <c r="I28" s="1713"/>
      <c r="J28" s="1714"/>
      <c r="K28" s="1715"/>
      <c r="L28" s="1739"/>
      <c r="M28" s="3015" t="s">
        <v>160</v>
      </c>
      <c r="N28" s="3015"/>
      <c r="O28" s="3015"/>
      <c r="P28" s="3015"/>
      <c r="Q28" s="3015"/>
      <c r="R28" s="3015"/>
      <c r="S28" s="3015"/>
      <c r="T28" s="1715"/>
      <c r="U28" s="1715"/>
      <c r="V28" s="1706"/>
      <c r="W28" s="1717"/>
      <c r="X28" s="1718"/>
      <c r="Y28" s="1713"/>
      <c r="Z28" s="1713"/>
    </row>
    <row r="29" spans="1:254" x14ac:dyDescent="0.25">
      <c r="A29" s="1712"/>
      <c r="B29" s="1713"/>
      <c r="C29" s="1713"/>
      <c r="D29" s="1713"/>
      <c r="E29" s="1713"/>
      <c r="F29" s="1713"/>
      <c r="G29" s="1713"/>
      <c r="H29" s="1713"/>
      <c r="I29" s="1713"/>
      <c r="J29" s="1714"/>
      <c r="K29" s="1715"/>
      <c r="L29" s="1739"/>
      <c r="M29" s="3019" t="s">
        <v>161</v>
      </c>
      <c r="N29" s="3019"/>
      <c r="O29" s="3019"/>
      <c r="P29" s="3019"/>
      <c r="Q29" s="3019"/>
      <c r="R29" s="3019"/>
      <c r="S29" s="3019"/>
      <c r="T29" s="1715"/>
      <c r="U29" s="1715"/>
      <c r="V29" s="1706"/>
      <c r="W29" s="1717"/>
      <c r="X29" s="1718"/>
      <c r="Y29" s="1713"/>
      <c r="Z29" s="1713"/>
    </row>
    <row r="30" spans="1:254" x14ac:dyDescent="0.25">
      <c r="A30" s="1712"/>
      <c r="B30" s="1713"/>
      <c r="C30" s="1713"/>
      <c r="D30" s="1713"/>
      <c r="E30" s="1713"/>
      <c r="F30" s="1713"/>
      <c r="G30" s="1713"/>
      <c r="H30" s="1713"/>
      <c r="I30" s="1713"/>
      <c r="J30" s="1713"/>
      <c r="K30" s="1719"/>
      <c r="L30" s="1720"/>
      <c r="M30" s="1708"/>
      <c r="N30" s="1720"/>
      <c r="O30" s="1720"/>
      <c r="P30" s="1719"/>
      <c r="Q30" s="1721"/>
      <c r="R30" s="1705"/>
      <c r="S30" s="1719"/>
      <c r="T30" s="1719"/>
      <c r="U30" s="1719"/>
      <c r="V30" s="1706"/>
      <c r="W30" s="1717"/>
      <c r="X30" s="1718"/>
      <c r="Y30" s="1713"/>
      <c r="Z30" s="1713"/>
    </row>
    <row r="31" spans="1:254" x14ac:dyDescent="0.25">
      <c r="A31" s="1712"/>
      <c r="B31" s="1713"/>
      <c r="C31" s="1713"/>
      <c r="D31" s="1713"/>
      <c r="E31" s="1713"/>
      <c r="F31" s="1713"/>
      <c r="G31" s="1713"/>
      <c r="H31" s="1713"/>
      <c r="I31" s="1713"/>
      <c r="J31" s="1713"/>
      <c r="K31" s="1719"/>
      <c r="L31" s="1720"/>
      <c r="M31" s="1708"/>
      <c r="N31" s="1720"/>
      <c r="O31" s="1720"/>
      <c r="P31" s="1719"/>
      <c r="Q31" s="1721"/>
      <c r="R31" s="1705"/>
      <c r="S31" s="1719"/>
      <c r="T31" s="1719"/>
      <c r="U31" s="1719"/>
      <c r="V31" s="1706"/>
      <c r="W31" s="1717"/>
      <c r="X31" s="1718"/>
      <c r="Y31" s="1713"/>
      <c r="Z31" s="1713"/>
    </row>
    <row r="32" spans="1:254" x14ac:dyDescent="0.25">
      <c r="A32" s="1712"/>
      <c r="B32" s="1713"/>
      <c r="C32" s="1713"/>
      <c r="D32" s="1713"/>
      <c r="E32" s="1713"/>
      <c r="F32" s="1713"/>
      <c r="G32" s="1713"/>
      <c r="H32" s="1713"/>
      <c r="I32" s="1713"/>
      <c r="J32" s="1713"/>
      <c r="K32" s="1719"/>
      <c r="L32" s="1720"/>
      <c r="M32" s="1708"/>
      <c r="N32" s="1720"/>
      <c r="O32" s="1720"/>
      <c r="P32" s="1719"/>
      <c r="Q32" s="1721"/>
      <c r="R32" s="1705"/>
      <c r="S32" s="1719"/>
      <c r="T32" s="1719"/>
      <c r="U32" s="1719"/>
      <c r="V32" s="1706"/>
      <c r="W32" s="1717"/>
      <c r="X32" s="1718"/>
      <c r="Y32" s="1713"/>
      <c r="Z32" s="1713"/>
    </row>
    <row r="33" spans="1:26" x14ac:dyDescent="0.25">
      <c r="A33" s="1712"/>
      <c r="B33" s="1713"/>
      <c r="C33" s="1713"/>
      <c r="D33" s="1713"/>
      <c r="E33" s="1713"/>
      <c r="F33" s="1713"/>
      <c r="G33" s="1713"/>
      <c r="H33" s="1713"/>
      <c r="I33" s="1713"/>
      <c r="J33" s="1713"/>
      <c r="K33" s="1719"/>
      <c r="L33" s="1720"/>
      <c r="M33" s="1708"/>
      <c r="N33" s="1720"/>
      <c r="O33" s="1720"/>
      <c r="P33" s="1719"/>
      <c r="Q33" s="1721"/>
      <c r="R33" s="1722"/>
      <c r="S33" s="1719"/>
      <c r="T33" s="1719"/>
      <c r="U33" s="1719"/>
      <c r="V33" s="1706"/>
      <c r="W33" s="1717"/>
      <c r="X33" s="1718"/>
      <c r="Y33" s="1713"/>
      <c r="Z33" s="1713"/>
    </row>
    <row r="34" spans="1:26" x14ac:dyDescent="0.25">
      <c r="A34" s="1712"/>
      <c r="B34" s="1713"/>
      <c r="C34" s="1713"/>
      <c r="D34" s="1713"/>
      <c r="E34" s="1713"/>
      <c r="F34" s="1713"/>
      <c r="G34" s="1713"/>
      <c r="H34" s="1713"/>
      <c r="I34" s="1713"/>
      <c r="J34" s="1713"/>
      <c r="K34" s="1719"/>
      <c r="L34" s="1720"/>
      <c r="M34" s="1708"/>
      <c r="N34" s="1720"/>
      <c r="O34" s="1720"/>
      <c r="P34" s="1719"/>
      <c r="Q34" s="1721"/>
      <c r="R34" s="1722"/>
      <c r="S34" s="1719"/>
      <c r="T34" s="1719"/>
      <c r="U34" s="1719"/>
      <c r="V34" s="1706"/>
      <c r="W34" s="1717"/>
      <c r="X34" s="1718"/>
      <c r="Y34" s="1713"/>
      <c r="Z34" s="1713"/>
    </row>
    <row r="35" spans="1:26" x14ac:dyDescent="0.25">
      <c r="A35" s="1712"/>
      <c r="B35" s="1713"/>
      <c r="C35" s="1713"/>
      <c r="D35" s="1713"/>
      <c r="E35" s="1713"/>
      <c r="F35" s="1713"/>
      <c r="G35" s="1713"/>
      <c r="H35" s="1713"/>
      <c r="I35" s="1713"/>
      <c r="J35" s="1713"/>
      <c r="K35" s="1719"/>
      <c r="L35" s="1720"/>
      <c r="M35" s="1708"/>
      <c r="N35" s="1720"/>
      <c r="O35" s="1720"/>
      <c r="P35" s="1719"/>
      <c r="Q35" s="1721"/>
      <c r="R35" s="1722"/>
      <c r="S35" s="1719"/>
      <c r="T35" s="1719"/>
      <c r="U35" s="1719"/>
      <c r="V35" s="1706"/>
      <c r="W35" s="1717"/>
      <c r="X35" s="1718"/>
      <c r="Y35" s="1713"/>
      <c r="Z35" s="1713"/>
    </row>
    <row r="36" spans="1:26" x14ac:dyDescent="0.25">
      <c r="A36" s="1712"/>
      <c r="B36" s="1713"/>
      <c r="C36" s="1713"/>
      <c r="D36" s="1713"/>
      <c r="E36" s="1713"/>
      <c r="F36" s="1713"/>
      <c r="G36" s="1713"/>
      <c r="H36" s="1713"/>
      <c r="I36" s="1713"/>
      <c r="J36" s="1713"/>
      <c r="K36" s="1719"/>
      <c r="L36" s="1720"/>
      <c r="M36" s="1708"/>
      <c r="N36" s="1720"/>
      <c r="O36" s="1720"/>
      <c r="P36" s="1719"/>
      <c r="Q36" s="1721"/>
      <c r="R36" s="1722"/>
      <c r="S36" s="1719"/>
      <c r="T36" s="1719"/>
      <c r="U36" s="1719"/>
      <c r="V36" s="1706"/>
      <c r="W36" s="1717"/>
      <c r="X36" s="1718"/>
      <c r="Y36" s="1713"/>
      <c r="Z36" s="1713"/>
    </row>
    <row r="37" spans="1:26" x14ac:dyDescent="0.25">
      <c r="A37" s="1712"/>
      <c r="B37" s="1713"/>
      <c r="C37" s="1713"/>
      <c r="D37" s="1713"/>
      <c r="E37" s="1713"/>
      <c r="F37" s="1713"/>
      <c r="G37" s="1713"/>
      <c r="H37" s="1713"/>
      <c r="I37" s="1713"/>
      <c r="J37" s="1713"/>
      <c r="K37" s="1719"/>
      <c r="L37" s="1720"/>
      <c r="M37" s="1708"/>
      <c r="N37" s="1720"/>
      <c r="O37" s="1720"/>
      <c r="P37" s="1719"/>
      <c r="Q37" s="1721"/>
      <c r="R37" s="1722"/>
      <c r="S37" s="1719"/>
      <c r="T37" s="1719"/>
      <c r="U37" s="1719"/>
      <c r="V37" s="1706"/>
      <c r="W37" s="1717"/>
      <c r="X37" s="1718"/>
      <c r="Y37" s="1713"/>
      <c r="Z37" s="1713"/>
    </row>
    <row r="38" spans="1:26" x14ac:dyDescent="0.25">
      <c r="A38" s="1712"/>
      <c r="B38" s="1713"/>
      <c r="C38" s="1713"/>
      <c r="D38" s="1713"/>
      <c r="E38" s="1713"/>
      <c r="F38" s="1713"/>
      <c r="G38" s="1713"/>
      <c r="H38" s="1713"/>
      <c r="I38" s="1713"/>
      <c r="J38" s="1713"/>
      <c r="K38" s="1719"/>
      <c r="L38" s="1720"/>
      <c r="M38" s="1708"/>
      <c r="N38" s="1720"/>
      <c r="O38" s="1720"/>
      <c r="P38" s="1719"/>
      <c r="Q38" s="1721"/>
      <c r="R38" s="1722"/>
      <c r="S38" s="1719"/>
      <c r="T38" s="1719"/>
      <c r="U38" s="1719"/>
      <c r="V38" s="1706"/>
      <c r="W38" s="1717"/>
      <c r="X38" s="1718"/>
      <c r="Y38" s="1713"/>
      <c r="Z38" s="1713"/>
    </row>
    <row r="39" spans="1:26" x14ac:dyDescent="0.25">
      <c r="A39" s="1712"/>
      <c r="B39" s="1713"/>
      <c r="C39" s="1713"/>
      <c r="D39" s="1713"/>
      <c r="E39" s="1713"/>
      <c r="F39" s="1713"/>
      <c r="G39" s="1713"/>
      <c r="H39" s="1713"/>
      <c r="I39" s="1713"/>
      <c r="J39" s="1713"/>
      <c r="K39" s="1719"/>
      <c r="L39" s="1720"/>
      <c r="M39" s="1708"/>
      <c r="N39" s="1720"/>
      <c r="O39" s="1720"/>
      <c r="P39" s="1719"/>
      <c r="Q39" s="1721"/>
      <c r="R39" s="1722"/>
      <c r="S39" s="1719"/>
      <c r="T39" s="1719"/>
      <c r="U39" s="1719"/>
      <c r="V39" s="1706"/>
      <c r="W39" s="1717"/>
      <c r="X39" s="1718"/>
      <c r="Y39" s="1713"/>
      <c r="Z39" s="1713"/>
    </row>
    <row r="40" spans="1:26" x14ac:dyDescent="0.25">
      <c r="A40" s="1712"/>
      <c r="B40" s="1713"/>
      <c r="C40" s="1713"/>
      <c r="D40" s="1713"/>
      <c r="E40" s="1713"/>
      <c r="F40" s="1713"/>
      <c r="G40" s="1713"/>
      <c r="H40" s="1713"/>
      <c r="I40" s="1713"/>
      <c r="J40" s="1713"/>
      <c r="K40" s="1719"/>
      <c r="L40" s="1720"/>
      <c r="M40" s="1708"/>
      <c r="N40" s="1720"/>
      <c r="O40" s="1720"/>
      <c r="P40" s="1719"/>
      <c r="Q40" s="1721"/>
      <c r="R40" s="1722"/>
      <c r="S40" s="1719"/>
      <c r="T40" s="1719"/>
      <c r="U40" s="1719"/>
      <c r="V40" s="1706"/>
      <c r="W40" s="1717"/>
      <c r="X40" s="1718"/>
      <c r="Y40" s="1713"/>
      <c r="Z40" s="1713"/>
    </row>
    <row r="41" spans="1:26" x14ac:dyDescent="0.25">
      <c r="A41" s="1712"/>
      <c r="B41" s="1713"/>
      <c r="C41" s="1713"/>
      <c r="D41" s="1713"/>
      <c r="E41" s="1713"/>
      <c r="F41" s="1713"/>
      <c r="G41" s="1713"/>
      <c r="H41" s="1713"/>
      <c r="I41" s="1713"/>
      <c r="J41" s="1713"/>
      <c r="K41" s="1719"/>
      <c r="L41" s="1720"/>
      <c r="M41" s="1708"/>
      <c r="N41" s="1720"/>
      <c r="O41" s="1720"/>
      <c r="P41" s="1719"/>
      <c r="Q41" s="1721"/>
      <c r="R41" s="1722"/>
      <c r="S41" s="1719"/>
      <c r="T41" s="1719"/>
      <c r="U41" s="1719"/>
      <c r="V41" s="1706"/>
      <c r="W41" s="1717"/>
      <c r="X41" s="1718"/>
      <c r="Y41" s="1713"/>
      <c r="Z41" s="1713"/>
    </row>
    <row r="42" spans="1:26" x14ac:dyDescent="0.25">
      <c r="A42" s="1712"/>
      <c r="B42" s="1713"/>
      <c r="C42" s="1713"/>
      <c r="D42" s="1713"/>
      <c r="E42" s="1713"/>
      <c r="F42" s="1713"/>
      <c r="G42" s="1713"/>
      <c r="H42" s="1713"/>
      <c r="I42" s="1713"/>
      <c r="J42" s="1713"/>
      <c r="K42" s="1719"/>
      <c r="L42" s="1720"/>
      <c r="M42" s="1708"/>
      <c r="N42" s="1720"/>
      <c r="O42" s="1720"/>
      <c r="P42" s="1719"/>
      <c r="Q42" s="1721"/>
      <c r="R42" s="1722"/>
      <c r="S42" s="1719"/>
      <c r="T42" s="1719"/>
      <c r="U42" s="1719"/>
      <c r="V42" s="1706"/>
      <c r="W42" s="1717"/>
      <c r="X42" s="1718"/>
      <c r="Y42" s="1713"/>
      <c r="Z42" s="1713"/>
    </row>
    <row r="43" spans="1:26" x14ac:dyDescent="0.25">
      <c r="A43" s="1712"/>
      <c r="B43" s="1713"/>
      <c r="C43" s="1713"/>
      <c r="D43" s="1713"/>
      <c r="E43" s="1713"/>
      <c r="F43" s="1713"/>
      <c r="G43" s="1713"/>
      <c r="H43" s="1713"/>
      <c r="I43" s="1713"/>
      <c r="J43" s="1713"/>
      <c r="K43" s="1719"/>
      <c r="L43" s="1720"/>
      <c r="M43" s="1708"/>
      <c r="N43" s="1720"/>
      <c r="O43" s="1720"/>
      <c r="P43" s="1719"/>
      <c r="Q43" s="1721"/>
      <c r="R43" s="1722"/>
      <c r="S43" s="1719"/>
      <c r="T43" s="1719"/>
      <c r="U43" s="1719"/>
      <c r="V43" s="1706"/>
      <c r="W43" s="1717"/>
      <c r="X43" s="1718"/>
      <c r="Y43" s="1713"/>
      <c r="Z43" s="1713"/>
    </row>
    <row r="44" spans="1:26" x14ac:dyDescent="0.25">
      <c r="A44" s="1712"/>
      <c r="B44" s="1713"/>
      <c r="C44" s="1713"/>
      <c r="D44" s="1713"/>
      <c r="E44" s="1713"/>
      <c r="F44" s="1713"/>
      <c r="G44" s="1713"/>
      <c r="H44" s="1713"/>
      <c r="I44" s="1713"/>
      <c r="J44" s="1713"/>
      <c r="K44" s="1719"/>
      <c r="L44" s="1720"/>
      <c r="M44" s="1708"/>
      <c r="N44" s="1720"/>
      <c r="O44" s="1720"/>
      <c r="P44" s="1719"/>
      <c r="Q44" s="1721"/>
      <c r="R44" s="1722"/>
      <c r="S44" s="1719"/>
      <c r="T44" s="1719"/>
      <c r="U44" s="1719"/>
      <c r="V44" s="1706"/>
      <c r="W44" s="1717"/>
      <c r="X44" s="1718"/>
      <c r="Y44" s="1713"/>
      <c r="Z44" s="1713"/>
    </row>
    <row r="45" spans="1:26" x14ac:dyDescent="0.25">
      <c r="A45" s="1712"/>
      <c r="B45" s="1713"/>
      <c r="C45" s="1713"/>
      <c r="D45" s="1713"/>
      <c r="E45" s="1713"/>
      <c r="F45" s="1713"/>
      <c r="G45" s="1713"/>
      <c r="H45" s="1713"/>
      <c r="I45" s="1713"/>
      <c r="J45" s="1713"/>
      <c r="K45" s="1719"/>
      <c r="L45" s="1720"/>
      <c r="M45" s="1708"/>
      <c r="N45" s="1720"/>
      <c r="O45" s="1720"/>
      <c r="P45" s="1719"/>
      <c r="Q45" s="1721"/>
      <c r="R45" s="1722"/>
      <c r="S45" s="1719"/>
      <c r="T45" s="1719"/>
      <c r="U45" s="1719"/>
      <c r="V45" s="1706"/>
      <c r="W45" s="1717"/>
      <c r="X45" s="1718"/>
      <c r="Y45" s="1713"/>
      <c r="Z45" s="1713"/>
    </row>
    <row r="46" spans="1:26" x14ac:dyDescent="0.25">
      <c r="A46" s="1712"/>
      <c r="B46" s="1713"/>
      <c r="C46" s="1713"/>
      <c r="D46" s="1713"/>
      <c r="E46" s="1713"/>
      <c r="F46" s="1713"/>
      <c r="G46" s="1713"/>
      <c r="H46" s="1713"/>
      <c r="I46" s="1713"/>
      <c r="J46" s="1713"/>
      <c r="K46" s="1719"/>
      <c r="L46" s="1720"/>
      <c r="M46" s="1708"/>
      <c r="N46" s="1720"/>
      <c r="O46" s="1720"/>
      <c r="P46" s="1719"/>
      <c r="Q46" s="1721"/>
      <c r="R46" s="1722"/>
      <c r="S46" s="1719"/>
      <c r="T46" s="1719"/>
      <c r="U46" s="1719"/>
      <c r="V46" s="1706"/>
      <c r="W46" s="1717"/>
      <c r="X46" s="1718"/>
      <c r="Y46" s="1713"/>
      <c r="Z46" s="1713"/>
    </row>
    <row r="47" spans="1:26" x14ac:dyDescent="0.25">
      <c r="A47" s="1712"/>
      <c r="B47" s="1713"/>
      <c r="C47" s="1713"/>
      <c r="D47" s="1713"/>
      <c r="E47" s="1713"/>
      <c r="F47" s="1713"/>
      <c r="G47" s="1713"/>
      <c r="H47" s="1713"/>
      <c r="I47" s="1713"/>
      <c r="J47" s="1713"/>
      <c r="K47" s="1719"/>
      <c r="L47" s="1720"/>
      <c r="M47" s="1708"/>
      <c r="N47" s="1720"/>
      <c r="O47" s="1720"/>
      <c r="P47" s="1719"/>
      <c r="Q47" s="1721"/>
      <c r="R47" s="1722"/>
      <c r="S47" s="1719"/>
      <c r="T47" s="1719"/>
      <c r="U47" s="1719"/>
      <c r="V47" s="1706"/>
      <c r="W47" s="1717"/>
      <c r="X47" s="1718"/>
      <c r="Y47" s="1713"/>
      <c r="Z47" s="1713"/>
    </row>
    <row r="48" spans="1:26" x14ac:dyDescent="0.25">
      <c r="A48" s="1712"/>
      <c r="B48" s="1713"/>
      <c r="C48" s="1713"/>
      <c r="D48" s="1713"/>
      <c r="E48" s="1713"/>
      <c r="F48" s="1713"/>
      <c r="G48" s="1713"/>
      <c r="H48" s="1713"/>
      <c r="I48" s="1713"/>
      <c r="J48" s="1713"/>
      <c r="K48" s="1719"/>
      <c r="L48" s="1720"/>
      <c r="M48" s="1708"/>
      <c r="N48" s="1720"/>
      <c r="O48" s="1720"/>
      <c r="P48" s="1719"/>
      <c r="Q48" s="1721"/>
      <c r="R48" s="1722"/>
      <c r="S48" s="1719"/>
      <c r="T48" s="1719"/>
      <c r="U48" s="1719"/>
      <c r="V48" s="1706"/>
      <c r="W48" s="1717"/>
      <c r="X48" s="1718"/>
      <c r="Y48" s="1713"/>
      <c r="Z48" s="1713"/>
    </row>
    <row r="49" spans="1:26" x14ac:dyDescent="0.25">
      <c r="A49" s="1712"/>
      <c r="B49" s="1713"/>
      <c r="C49" s="1713"/>
      <c r="D49" s="1713"/>
      <c r="E49" s="1713"/>
      <c r="F49" s="1713"/>
      <c r="G49" s="1713"/>
      <c r="H49" s="1713"/>
      <c r="I49" s="1713"/>
      <c r="J49" s="1713"/>
      <c r="K49" s="1719"/>
      <c r="L49" s="1720"/>
      <c r="M49" s="1708"/>
      <c r="N49" s="1720"/>
      <c r="O49" s="1720"/>
      <c r="P49" s="1719"/>
      <c r="Q49" s="1721"/>
      <c r="R49" s="1722"/>
      <c r="S49" s="1719"/>
      <c r="T49" s="1719"/>
      <c r="U49" s="1719"/>
      <c r="V49" s="1706"/>
      <c r="W49" s="1717"/>
      <c r="X49" s="1718"/>
      <c r="Y49" s="1713"/>
      <c r="Z49" s="1713"/>
    </row>
    <row r="50" spans="1:26" x14ac:dyDescent="0.25">
      <c r="A50" s="1712"/>
      <c r="B50" s="1713"/>
      <c r="C50" s="1713"/>
      <c r="D50" s="1713"/>
      <c r="E50" s="1713"/>
      <c r="F50" s="1713"/>
      <c r="G50" s="1713"/>
      <c r="H50" s="1713"/>
      <c r="I50" s="1713"/>
      <c r="J50" s="1713"/>
      <c r="K50" s="1719"/>
      <c r="L50" s="1720"/>
      <c r="M50" s="1708"/>
      <c r="N50" s="1720"/>
      <c r="O50" s="1720"/>
      <c r="P50" s="1719"/>
      <c r="Q50" s="1721"/>
      <c r="R50" s="1722"/>
      <c r="S50" s="1719"/>
      <c r="T50" s="1719"/>
      <c r="U50" s="1719"/>
      <c r="V50" s="1706"/>
      <c r="W50" s="1717"/>
      <c r="X50" s="1718"/>
      <c r="Y50" s="1713"/>
      <c r="Z50" s="1713"/>
    </row>
    <row r="51" spans="1:26" x14ac:dyDescent="0.25">
      <c r="A51" s="1712"/>
      <c r="B51" s="1713"/>
      <c r="C51" s="1713"/>
      <c r="D51" s="1713"/>
      <c r="E51" s="1713"/>
      <c r="F51" s="1713"/>
      <c r="G51" s="1713"/>
      <c r="H51" s="1713"/>
      <c r="I51" s="1713"/>
      <c r="J51" s="1713"/>
      <c r="K51" s="1719"/>
      <c r="L51" s="1720"/>
      <c r="M51" s="1708"/>
      <c r="N51" s="1720"/>
      <c r="O51" s="1720"/>
      <c r="P51" s="1719"/>
      <c r="Q51" s="1721"/>
      <c r="R51" s="1722"/>
      <c r="S51" s="1719"/>
      <c r="T51" s="1719"/>
      <c r="U51" s="1719"/>
      <c r="V51" s="1706"/>
      <c r="W51" s="1717"/>
      <c r="X51" s="1718"/>
      <c r="Y51" s="1713"/>
      <c r="Z51" s="1713"/>
    </row>
    <row r="52" spans="1:26" x14ac:dyDescent="0.25">
      <c r="A52" s="1712"/>
      <c r="B52" s="1713"/>
      <c r="C52" s="1713"/>
      <c r="D52" s="1713"/>
      <c r="E52" s="1713"/>
      <c r="F52" s="1713"/>
      <c r="G52" s="1713"/>
      <c r="H52" s="1713"/>
      <c r="I52" s="1713"/>
      <c r="J52" s="1713"/>
      <c r="K52" s="1719"/>
      <c r="L52" s="1720"/>
      <c r="M52" s="1708"/>
      <c r="N52" s="1720"/>
      <c r="O52" s="1720"/>
      <c r="P52" s="1719"/>
      <c r="Q52" s="1721"/>
      <c r="R52" s="1722"/>
      <c r="S52" s="1719"/>
      <c r="T52" s="1719"/>
      <c r="U52" s="1719"/>
      <c r="V52" s="1706"/>
      <c r="W52" s="1717"/>
      <c r="X52" s="1718"/>
      <c r="Y52" s="1713"/>
      <c r="Z52" s="1713"/>
    </row>
    <row r="53" spans="1:26" x14ac:dyDescent="0.25">
      <c r="A53" s="1712"/>
      <c r="B53" s="1713"/>
      <c r="C53" s="1713"/>
      <c r="D53" s="1713"/>
      <c r="E53" s="1713"/>
      <c r="F53" s="1713"/>
      <c r="G53" s="1713"/>
      <c r="H53" s="1713"/>
      <c r="I53" s="1713"/>
      <c r="J53" s="1713"/>
      <c r="K53" s="1719"/>
      <c r="L53" s="1720"/>
      <c r="M53" s="1708"/>
      <c r="N53" s="1720"/>
      <c r="O53" s="1720"/>
      <c r="P53" s="1719"/>
      <c r="Q53" s="1721"/>
      <c r="R53" s="1722"/>
      <c r="S53" s="1719"/>
      <c r="T53" s="1719"/>
      <c r="U53" s="1719"/>
      <c r="V53" s="1706"/>
      <c r="W53" s="1717"/>
      <c r="X53" s="1718"/>
      <c r="Y53" s="1713"/>
      <c r="Z53" s="1713"/>
    </row>
    <row r="54" spans="1:26" x14ac:dyDescent="0.25">
      <c r="A54" s="1712"/>
      <c r="B54" s="1713"/>
      <c r="C54" s="1713"/>
      <c r="D54" s="1713"/>
      <c r="E54" s="1713"/>
      <c r="F54" s="1713"/>
      <c r="G54" s="1713"/>
      <c r="H54" s="1713"/>
      <c r="I54" s="1713"/>
      <c r="J54" s="1713"/>
      <c r="K54" s="1719"/>
      <c r="L54" s="1720"/>
      <c r="M54" s="1708"/>
      <c r="N54" s="1720"/>
      <c r="O54" s="1720"/>
      <c r="P54" s="1719"/>
      <c r="Q54" s="1721"/>
      <c r="R54" s="1722"/>
      <c r="S54" s="1719"/>
      <c r="T54" s="1719"/>
      <c r="U54" s="1719"/>
      <c r="V54" s="1706"/>
      <c r="W54" s="1717"/>
      <c r="X54" s="1718"/>
      <c r="Y54" s="1713"/>
      <c r="Z54" s="1713"/>
    </row>
    <row r="55" spans="1:26" x14ac:dyDescent="0.25">
      <c r="A55" s="1712"/>
      <c r="B55" s="1713"/>
      <c r="C55" s="1713"/>
      <c r="D55" s="1713"/>
      <c r="E55" s="1713"/>
      <c r="F55" s="1713"/>
      <c r="G55" s="1713"/>
      <c r="H55" s="1713"/>
      <c r="I55" s="1713"/>
      <c r="J55" s="1713"/>
      <c r="K55" s="1719"/>
      <c r="L55" s="1720"/>
      <c r="M55" s="1708"/>
      <c r="N55" s="1720"/>
      <c r="O55" s="1720"/>
      <c r="P55" s="1719"/>
      <c r="Q55" s="1721"/>
      <c r="R55" s="1722"/>
      <c r="S55" s="1719"/>
      <c r="T55" s="1719"/>
      <c r="U55" s="1719"/>
      <c r="V55" s="1706"/>
      <c r="W55" s="1717"/>
      <c r="X55" s="1718"/>
      <c r="Y55" s="1713"/>
      <c r="Z55" s="1713"/>
    </row>
    <row r="56" spans="1:26" x14ac:dyDescent="0.25">
      <c r="A56" s="1712"/>
      <c r="B56" s="1713"/>
      <c r="C56" s="1713"/>
      <c r="D56" s="1713"/>
      <c r="E56" s="1713"/>
      <c r="F56" s="1713"/>
      <c r="G56" s="1713"/>
      <c r="H56" s="1713"/>
      <c r="I56" s="1713"/>
      <c r="J56" s="1713"/>
      <c r="K56" s="1719"/>
      <c r="L56" s="1720"/>
      <c r="M56" s="1708"/>
      <c r="N56" s="1720"/>
      <c r="O56" s="1720"/>
      <c r="P56" s="1719"/>
      <c r="Q56" s="1721"/>
      <c r="R56" s="1722"/>
      <c r="S56" s="1719"/>
      <c r="T56" s="1719"/>
      <c r="U56" s="1719"/>
      <c r="V56" s="1706"/>
      <c r="W56" s="1717"/>
      <c r="X56" s="1718"/>
      <c r="Y56" s="1713"/>
      <c r="Z56" s="1713"/>
    </row>
    <row r="57" spans="1:26" x14ac:dyDescent="0.25">
      <c r="A57" s="1712"/>
      <c r="B57" s="1713"/>
      <c r="C57" s="1713"/>
      <c r="D57" s="1713"/>
      <c r="E57" s="1713"/>
      <c r="F57" s="1713"/>
      <c r="G57" s="1713"/>
      <c r="H57" s="1713"/>
      <c r="I57" s="1713"/>
      <c r="J57" s="1713"/>
      <c r="K57" s="1719"/>
      <c r="L57" s="1720"/>
      <c r="M57" s="1708"/>
      <c r="N57" s="1720"/>
      <c r="O57" s="1720"/>
      <c r="P57" s="1719"/>
      <c r="Q57" s="1721"/>
      <c r="R57" s="1722"/>
      <c r="S57" s="1719"/>
      <c r="T57" s="1719"/>
      <c r="U57" s="1719"/>
      <c r="V57" s="1706"/>
      <c r="W57" s="1717"/>
      <c r="X57" s="1718"/>
      <c r="Y57" s="1713"/>
      <c r="Z57" s="1713"/>
    </row>
    <row r="58" spans="1:26" x14ac:dyDescent="0.25">
      <c r="A58" s="1712"/>
      <c r="B58" s="1713"/>
      <c r="C58" s="1713"/>
      <c r="D58" s="1713"/>
      <c r="E58" s="1713"/>
      <c r="F58" s="1713"/>
      <c r="G58" s="1713"/>
      <c r="H58" s="1713"/>
      <c r="I58" s="1713"/>
      <c r="J58" s="1713"/>
      <c r="K58" s="1719"/>
      <c r="L58" s="1720"/>
      <c r="M58" s="1708"/>
      <c r="N58" s="1720"/>
      <c r="O58" s="1720"/>
      <c r="P58" s="1719"/>
      <c r="Q58" s="1721"/>
      <c r="R58" s="1722"/>
      <c r="S58" s="1719"/>
      <c r="T58" s="1719"/>
      <c r="U58" s="1719"/>
      <c r="V58" s="1706"/>
      <c r="W58" s="1717"/>
      <c r="X58" s="1718"/>
      <c r="Y58" s="1713"/>
      <c r="Z58" s="1713"/>
    </row>
    <row r="59" spans="1:26" x14ac:dyDescent="0.25">
      <c r="A59" s="1712"/>
      <c r="B59" s="1713"/>
      <c r="C59" s="1713"/>
      <c r="D59" s="1713"/>
      <c r="E59" s="1713"/>
      <c r="F59" s="1713"/>
      <c r="G59" s="1713"/>
      <c r="H59" s="1713"/>
      <c r="I59" s="1713"/>
      <c r="J59" s="1713"/>
      <c r="K59" s="1719"/>
      <c r="L59" s="1720"/>
      <c r="M59" s="1708"/>
      <c r="N59" s="1720"/>
      <c r="O59" s="1720"/>
      <c r="P59" s="1719"/>
      <c r="Q59" s="1721"/>
      <c r="R59" s="1722"/>
      <c r="S59" s="1719"/>
      <c r="T59" s="1719"/>
      <c r="U59" s="1719"/>
      <c r="V59" s="1706"/>
      <c r="W59" s="1717"/>
      <c r="X59" s="1718"/>
      <c r="Y59" s="1713"/>
      <c r="Z59" s="1713"/>
    </row>
    <row r="60" spans="1:26" x14ac:dyDescent="0.25">
      <c r="A60" s="1712"/>
      <c r="B60" s="1713"/>
      <c r="C60" s="1713"/>
      <c r="D60" s="1713"/>
      <c r="E60" s="1713"/>
      <c r="F60" s="1713"/>
      <c r="G60" s="1713"/>
      <c r="H60" s="1713"/>
      <c r="I60" s="1713"/>
      <c r="J60" s="1713"/>
      <c r="K60" s="1719"/>
      <c r="L60" s="1720"/>
      <c r="M60" s="1708"/>
      <c r="N60" s="1720"/>
      <c r="O60" s="1720"/>
      <c r="P60" s="1719"/>
      <c r="Q60" s="1721"/>
      <c r="R60" s="1722"/>
      <c r="S60" s="1719"/>
      <c r="T60" s="1719"/>
      <c r="U60" s="1719"/>
      <c r="V60" s="1706"/>
      <c r="W60" s="1717"/>
      <c r="X60" s="1718"/>
      <c r="Y60" s="1713"/>
      <c r="Z60" s="1713"/>
    </row>
    <row r="61" spans="1:26" x14ac:dyDescent="0.25">
      <c r="A61" s="1712"/>
      <c r="B61" s="1713"/>
      <c r="C61" s="1713"/>
      <c r="D61" s="1713"/>
      <c r="E61" s="1713"/>
      <c r="F61" s="1713"/>
      <c r="G61" s="1713"/>
      <c r="H61" s="1713"/>
      <c r="I61" s="1713"/>
      <c r="J61" s="1713"/>
      <c r="K61" s="1719"/>
      <c r="L61" s="1720"/>
      <c r="M61" s="1708"/>
      <c r="N61" s="1720"/>
      <c r="O61" s="1720"/>
      <c r="P61" s="1719"/>
      <c r="Q61" s="1721"/>
      <c r="R61" s="1722"/>
      <c r="S61" s="1719"/>
      <c r="T61" s="1719"/>
      <c r="U61" s="1719"/>
      <c r="V61" s="1706"/>
      <c r="W61" s="1717"/>
      <c r="X61" s="1718"/>
      <c r="Y61" s="1713"/>
      <c r="Z61" s="1713"/>
    </row>
    <row r="62" spans="1:26" x14ac:dyDescent="0.25">
      <c r="A62" s="1712"/>
      <c r="B62" s="1713"/>
      <c r="C62" s="1713"/>
      <c r="D62" s="1713"/>
      <c r="E62" s="1713"/>
      <c r="F62" s="1713"/>
      <c r="G62" s="1713"/>
      <c r="H62" s="1713"/>
      <c r="I62" s="1713"/>
      <c r="J62" s="1713"/>
      <c r="K62" s="1719"/>
      <c r="L62" s="1720"/>
      <c r="M62" s="1708"/>
      <c r="N62" s="1720"/>
      <c r="O62" s="1720"/>
      <c r="P62" s="1719"/>
      <c r="Q62" s="1721"/>
      <c r="R62" s="1722"/>
      <c r="S62" s="1719"/>
      <c r="T62" s="1719"/>
      <c r="U62" s="1719"/>
      <c r="V62" s="1706"/>
      <c r="W62" s="1717"/>
      <c r="X62" s="1718"/>
      <c r="Y62" s="1713"/>
      <c r="Z62" s="1713"/>
    </row>
    <row r="63" spans="1:26" x14ac:dyDescent="0.25">
      <c r="A63" s="1712"/>
      <c r="B63" s="1713"/>
      <c r="C63" s="1713"/>
      <c r="D63" s="1713"/>
      <c r="E63" s="1713"/>
      <c r="F63" s="1713"/>
      <c r="G63" s="1713"/>
      <c r="H63" s="1713"/>
      <c r="I63" s="1713"/>
      <c r="J63" s="1713"/>
      <c r="K63" s="1719"/>
      <c r="L63" s="1720"/>
      <c r="M63" s="1708"/>
      <c r="N63" s="1720"/>
      <c r="O63" s="1720"/>
      <c r="P63" s="1719"/>
      <c r="Q63" s="1721"/>
      <c r="R63" s="1722"/>
      <c r="S63" s="1719"/>
      <c r="T63" s="1719"/>
      <c r="U63" s="1719"/>
      <c r="V63" s="1706"/>
      <c r="W63" s="1717"/>
      <c r="X63" s="1718"/>
      <c r="Y63" s="1713"/>
      <c r="Z63" s="1713"/>
    </row>
    <row r="64" spans="1:26" x14ac:dyDescent="0.25">
      <c r="A64" s="1712"/>
      <c r="B64" s="1713"/>
      <c r="C64" s="1713"/>
      <c r="D64" s="1713"/>
      <c r="E64" s="1713"/>
      <c r="F64" s="1713"/>
      <c r="G64" s="1713"/>
      <c r="H64" s="1713"/>
      <c r="I64" s="1713"/>
      <c r="J64" s="1713"/>
      <c r="K64" s="1719"/>
      <c r="L64" s="1720"/>
      <c r="M64" s="1708"/>
      <c r="N64" s="1720"/>
      <c r="O64" s="1720"/>
      <c r="P64" s="1719"/>
      <c r="Q64" s="1721"/>
      <c r="R64" s="1722"/>
      <c r="S64" s="1719"/>
      <c r="T64" s="1719"/>
      <c r="U64" s="1719"/>
      <c r="V64" s="1706"/>
      <c r="W64" s="1717"/>
      <c r="X64" s="1718"/>
      <c r="Y64" s="1713"/>
      <c r="Z64" s="1713"/>
    </row>
    <row r="65" spans="1:26" x14ac:dyDescent="0.25">
      <c r="A65" s="1712"/>
      <c r="B65" s="1713"/>
      <c r="C65" s="1713"/>
      <c r="D65" s="1713"/>
      <c r="E65" s="1713"/>
      <c r="F65" s="1713"/>
      <c r="G65" s="1713"/>
      <c r="H65" s="1713"/>
      <c r="I65" s="1713"/>
      <c r="J65" s="1713"/>
      <c r="K65" s="1719"/>
      <c r="L65" s="1720"/>
      <c r="M65" s="1708"/>
      <c r="N65" s="1720"/>
      <c r="O65" s="1720"/>
      <c r="P65" s="1719"/>
      <c r="Q65" s="1721"/>
      <c r="R65" s="1722"/>
      <c r="S65" s="1719"/>
      <c r="T65" s="1719"/>
      <c r="U65" s="1719"/>
      <c r="V65" s="1706"/>
      <c r="W65" s="1717"/>
      <c r="X65" s="1718"/>
      <c r="Y65" s="1713"/>
      <c r="Z65" s="1713"/>
    </row>
    <row r="66" spans="1:26" x14ac:dyDescent="0.25">
      <c r="A66" s="1712"/>
      <c r="B66" s="1713"/>
      <c r="C66" s="1713"/>
      <c r="D66" s="1713"/>
      <c r="E66" s="1713"/>
      <c r="F66" s="1713"/>
      <c r="G66" s="1713"/>
      <c r="H66" s="1713"/>
      <c r="I66" s="1713"/>
      <c r="J66" s="1713"/>
      <c r="K66" s="1719"/>
      <c r="L66" s="1720"/>
      <c r="M66" s="1708"/>
      <c r="N66" s="1720"/>
      <c r="O66" s="1720"/>
      <c r="P66" s="1719"/>
      <c r="Q66" s="1721"/>
      <c r="R66" s="1722"/>
      <c r="S66" s="1719"/>
      <c r="T66" s="1719"/>
      <c r="U66" s="1719"/>
      <c r="V66" s="1706"/>
      <c r="W66" s="1717"/>
      <c r="X66" s="1718"/>
      <c r="Y66" s="1713"/>
      <c r="Z66" s="1713"/>
    </row>
    <row r="67" spans="1:26" x14ac:dyDescent="0.25">
      <c r="A67" s="1712"/>
      <c r="B67" s="1713"/>
      <c r="C67" s="1713"/>
      <c r="D67" s="1713"/>
      <c r="E67" s="1713"/>
      <c r="F67" s="1713"/>
      <c r="G67" s="1713"/>
      <c r="H67" s="1713"/>
      <c r="I67" s="1713"/>
      <c r="J67" s="1713"/>
      <c r="K67" s="1719"/>
      <c r="L67" s="1720"/>
      <c r="M67" s="1708"/>
      <c r="N67" s="1720"/>
      <c r="O67" s="1720"/>
      <c r="P67" s="1719"/>
      <c r="Q67" s="1721"/>
      <c r="R67" s="1722"/>
      <c r="S67" s="1719"/>
      <c r="T67" s="1719"/>
      <c r="U67" s="1719"/>
      <c r="V67" s="1706"/>
      <c r="W67" s="1717"/>
      <c r="X67" s="1718"/>
      <c r="Y67" s="1713"/>
      <c r="Z67" s="1713"/>
    </row>
    <row r="68" spans="1:26" x14ac:dyDescent="0.25">
      <c r="A68" s="1712"/>
      <c r="B68" s="1713"/>
      <c r="C68" s="1713"/>
      <c r="D68" s="1713"/>
      <c r="E68" s="1713"/>
      <c r="F68" s="1713"/>
      <c r="G68" s="1713"/>
      <c r="H68" s="1713"/>
      <c r="I68" s="1713"/>
      <c r="J68" s="1713"/>
      <c r="K68" s="1719"/>
      <c r="L68" s="1720"/>
      <c r="M68" s="1708"/>
      <c r="N68" s="1720"/>
      <c r="O68" s="1720"/>
      <c r="P68" s="1719"/>
      <c r="Q68" s="1721"/>
      <c r="R68" s="1722"/>
      <c r="S68" s="1719"/>
      <c r="T68" s="1719"/>
      <c r="U68" s="1719"/>
      <c r="V68" s="1706"/>
      <c r="W68" s="1717"/>
      <c r="X68" s="1718"/>
      <c r="Y68" s="1713"/>
      <c r="Z68" s="1713"/>
    </row>
    <row r="69" spans="1:26" x14ac:dyDescent="0.25">
      <c r="A69" s="1712"/>
      <c r="B69" s="1713"/>
      <c r="C69" s="1713"/>
      <c r="D69" s="1713"/>
      <c r="E69" s="1713"/>
      <c r="F69" s="1713"/>
      <c r="G69" s="1713"/>
      <c r="H69" s="1713"/>
      <c r="I69" s="1713"/>
      <c r="J69" s="1713"/>
      <c r="K69" s="1719"/>
      <c r="L69" s="1720"/>
      <c r="M69" s="1708"/>
      <c r="N69" s="1720"/>
      <c r="O69" s="1720"/>
      <c r="P69" s="1719"/>
      <c r="Q69" s="1721"/>
      <c r="R69" s="1722"/>
      <c r="S69" s="1719"/>
      <c r="T69" s="1719"/>
      <c r="U69" s="1719"/>
      <c r="V69" s="1706"/>
      <c r="W69" s="1717"/>
      <c r="X69" s="1718"/>
      <c r="Y69" s="1713"/>
      <c r="Z69" s="1713"/>
    </row>
    <row r="70" spans="1:26" x14ac:dyDescent="0.25">
      <c r="A70" s="1712"/>
      <c r="B70" s="1713"/>
      <c r="C70" s="1713"/>
      <c r="D70" s="1713"/>
      <c r="E70" s="1713"/>
      <c r="F70" s="1713"/>
      <c r="G70" s="1713"/>
      <c r="H70" s="1713"/>
      <c r="I70" s="1713"/>
      <c r="J70" s="1713"/>
      <c r="K70" s="1719"/>
      <c r="L70" s="1720"/>
      <c r="M70" s="1708"/>
      <c r="N70" s="1720"/>
      <c r="O70" s="1720"/>
      <c r="P70" s="1719"/>
      <c r="Q70" s="1721"/>
      <c r="R70" s="1722"/>
      <c r="S70" s="1719"/>
      <c r="T70" s="1719"/>
      <c r="U70" s="1719"/>
      <c r="V70" s="1706"/>
      <c r="W70" s="1717"/>
      <c r="X70" s="1718"/>
      <c r="Y70" s="1713"/>
      <c r="Z70" s="1713"/>
    </row>
    <row r="71" spans="1:26" x14ac:dyDescent="0.25">
      <c r="A71" s="1712"/>
      <c r="B71" s="1713"/>
      <c r="C71" s="1713"/>
      <c r="D71" s="1713"/>
      <c r="E71" s="1713"/>
      <c r="F71" s="1713"/>
      <c r="G71" s="1713"/>
      <c r="H71" s="1713"/>
      <c r="I71" s="1713"/>
      <c r="J71" s="1713"/>
      <c r="K71" s="1719"/>
      <c r="L71" s="1720"/>
      <c r="M71" s="1708"/>
      <c r="N71" s="1720"/>
      <c r="O71" s="1720"/>
      <c r="P71" s="1719"/>
      <c r="Q71" s="1721"/>
      <c r="R71" s="1722"/>
      <c r="S71" s="1719"/>
      <c r="T71" s="1719"/>
      <c r="U71" s="1719"/>
      <c r="V71" s="1706"/>
      <c r="W71" s="1717"/>
      <c r="X71" s="1718"/>
      <c r="Y71" s="1713"/>
      <c r="Z71" s="1713"/>
    </row>
    <row r="72" spans="1:26" x14ac:dyDescent="0.25">
      <c r="A72" s="1712"/>
      <c r="B72" s="1713"/>
      <c r="C72" s="1713"/>
      <c r="D72" s="1713"/>
      <c r="E72" s="1713"/>
      <c r="F72" s="1713"/>
      <c r="G72" s="1713"/>
      <c r="H72" s="1713"/>
      <c r="I72" s="1713"/>
      <c r="J72" s="1713"/>
      <c r="K72" s="1719"/>
      <c r="L72" s="1720"/>
      <c r="M72" s="1708"/>
      <c r="N72" s="1720"/>
      <c r="O72" s="1720"/>
      <c r="P72" s="1719"/>
      <c r="Q72" s="1721"/>
      <c r="R72" s="1722"/>
      <c r="S72" s="1719"/>
      <c r="T72" s="1719"/>
      <c r="U72" s="1719"/>
      <c r="V72" s="1706"/>
      <c r="W72" s="1717"/>
      <c r="X72" s="1718"/>
      <c r="Y72" s="1713"/>
      <c r="Z72" s="1713"/>
    </row>
    <row r="73" spans="1:26" x14ac:dyDescent="0.25">
      <c r="A73" s="1712"/>
      <c r="B73" s="1713"/>
      <c r="C73" s="1713"/>
      <c r="D73" s="1713"/>
      <c r="E73" s="1713"/>
      <c r="F73" s="1713"/>
      <c r="G73" s="1713"/>
      <c r="H73" s="1713"/>
      <c r="I73" s="1713"/>
      <c r="J73" s="1713"/>
      <c r="K73" s="1719"/>
      <c r="L73" s="1720"/>
      <c r="M73" s="1708"/>
      <c r="N73" s="1720"/>
      <c r="O73" s="1720"/>
      <c r="P73" s="1719"/>
      <c r="Q73" s="1721"/>
      <c r="R73" s="1722"/>
      <c r="S73" s="1719"/>
      <c r="T73" s="1719"/>
      <c r="U73" s="1719"/>
      <c r="V73" s="1706"/>
      <c r="W73" s="1717"/>
      <c r="X73" s="1718"/>
      <c r="Y73" s="1713"/>
      <c r="Z73" s="1713"/>
    </row>
    <row r="74" spans="1:26" x14ac:dyDescent="0.25">
      <c r="A74" s="1712"/>
      <c r="B74" s="1713"/>
      <c r="C74" s="1713"/>
      <c r="D74" s="1713"/>
      <c r="E74" s="1713"/>
      <c r="F74" s="1713"/>
      <c r="G74" s="1713"/>
      <c r="H74" s="1713"/>
      <c r="I74" s="1713"/>
      <c r="J74" s="1713"/>
      <c r="K74" s="1719"/>
      <c r="L74" s="1720"/>
      <c r="M74" s="1708"/>
      <c r="N74" s="1720"/>
      <c r="O74" s="1720"/>
      <c r="P74" s="1719"/>
      <c r="Q74" s="1721"/>
      <c r="R74" s="1722"/>
      <c r="S74" s="1719"/>
      <c r="T74" s="1719"/>
      <c r="U74" s="1719"/>
      <c r="V74" s="1706"/>
      <c r="W74" s="1717"/>
      <c r="X74" s="1718"/>
      <c r="Y74" s="1713"/>
      <c r="Z74" s="1713"/>
    </row>
    <row r="75" spans="1:26" x14ac:dyDescent="0.25">
      <c r="A75" s="1712"/>
      <c r="B75" s="1713"/>
      <c r="C75" s="1713"/>
      <c r="D75" s="1713"/>
      <c r="E75" s="1713"/>
      <c r="F75" s="1713"/>
      <c r="G75" s="1713"/>
      <c r="H75" s="1713"/>
      <c r="I75" s="1713"/>
      <c r="J75" s="1713"/>
      <c r="K75" s="1719"/>
      <c r="L75" s="1720"/>
      <c r="M75" s="1708"/>
      <c r="N75" s="1720"/>
      <c r="O75" s="1720"/>
      <c r="P75" s="1719"/>
      <c r="Q75" s="1721"/>
      <c r="R75" s="1722"/>
      <c r="S75" s="1719"/>
      <c r="T75" s="1719"/>
      <c r="U75" s="1719"/>
      <c r="V75" s="1706"/>
      <c r="W75" s="1717"/>
      <c r="X75" s="1718"/>
      <c r="Y75" s="1713"/>
      <c r="Z75" s="1713"/>
    </row>
    <row r="76" spans="1:26" x14ac:dyDescent="0.25">
      <c r="A76" s="1712"/>
      <c r="B76" s="1713"/>
      <c r="C76" s="1713"/>
      <c r="D76" s="1713"/>
      <c r="E76" s="1713"/>
      <c r="F76" s="1713"/>
      <c r="G76" s="1713"/>
      <c r="H76" s="1713"/>
      <c r="I76" s="1713"/>
      <c r="J76" s="1713"/>
      <c r="K76" s="1719"/>
      <c r="L76" s="1720"/>
      <c r="M76" s="1708"/>
      <c r="N76" s="1720"/>
      <c r="O76" s="1720"/>
      <c r="P76" s="1719"/>
      <c r="Q76" s="1721"/>
      <c r="R76" s="1722"/>
      <c r="S76" s="1719"/>
      <c r="T76" s="1719"/>
      <c r="U76" s="1719"/>
      <c r="V76" s="1706"/>
      <c r="W76" s="1717"/>
      <c r="X76" s="1718"/>
      <c r="Y76" s="1713"/>
      <c r="Z76" s="1713"/>
    </row>
    <row r="77" spans="1:26" x14ac:dyDescent="0.25">
      <c r="A77" s="1712"/>
      <c r="B77" s="1713"/>
      <c r="C77" s="1713"/>
      <c r="D77" s="1713"/>
      <c r="E77" s="1713"/>
      <c r="F77" s="1713"/>
      <c r="G77" s="1713"/>
      <c r="H77" s="1713"/>
      <c r="I77" s="1713"/>
      <c r="J77" s="1713"/>
      <c r="K77" s="1719"/>
      <c r="L77" s="1720"/>
      <c r="M77" s="1708"/>
      <c r="N77" s="1720"/>
      <c r="O77" s="1720"/>
      <c r="P77" s="1719"/>
      <c r="Q77" s="1721"/>
      <c r="R77" s="1722"/>
      <c r="S77" s="1719"/>
      <c r="T77" s="1719"/>
      <c r="U77" s="1719"/>
      <c r="V77" s="1706"/>
      <c r="W77" s="1717"/>
      <c r="X77" s="1718"/>
      <c r="Y77" s="1713"/>
      <c r="Z77" s="1713"/>
    </row>
    <row r="78" spans="1:26" x14ac:dyDescent="0.25">
      <c r="A78" s="1712"/>
      <c r="B78" s="1713"/>
      <c r="C78" s="1713"/>
      <c r="D78" s="1713"/>
      <c r="E78" s="1713"/>
      <c r="F78" s="1713"/>
      <c r="G78" s="1713"/>
      <c r="H78" s="1713"/>
      <c r="I78" s="1713"/>
      <c r="J78" s="1713"/>
      <c r="K78" s="1719"/>
      <c r="L78" s="1720"/>
      <c r="M78" s="1708"/>
      <c r="N78" s="1720"/>
      <c r="O78" s="1720"/>
      <c r="P78" s="1719"/>
      <c r="Q78" s="1721"/>
      <c r="R78" s="1722"/>
      <c r="S78" s="1719"/>
      <c r="T78" s="1719"/>
      <c r="U78" s="1719"/>
      <c r="V78" s="1706"/>
      <c r="W78" s="1717"/>
      <c r="X78" s="1718"/>
      <c r="Y78" s="1713"/>
      <c r="Z78" s="1713"/>
    </row>
    <row r="79" spans="1:26" x14ac:dyDescent="0.25">
      <c r="A79" s="1712"/>
      <c r="B79" s="1713"/>
      <c r="C79" s="1713"/>
      <c r="D79" s="1713"/>
      <c r="E79" s="1713"/>
      <c r="F79" s="1713"/>
      <c r="G79" s="1713"/>
      <c r="H79" s="1713"/>
      <c r="I79" s="1713"/>
      <c r="J79" s="1713"/>
      <c r="K79" s="1719"/>
      <c r="L79" s="1720"/>
      <c r="M79" s="1708"/>
      <c r="N79" s="1720"/>
      <c r="O79" s="1720"/>
      <c r="P79" s="1719"/>
      <c r="Q79" s="1721"/>
      <c r="R79" s="1722"/>
      <c r="S79" s="1719"/>
      <c r="T79" s="1719"/>
      <c r="U79" s="1719"/>
      <c r="V79" s="1706"/>
      <c r="W79" s="1717"/>
      <c r="X79" s="1718"/>
      <c r="Y79" s="1713"/>
      <c r="Z79" s="1713"/>
    </row>
    <row r="80" spans="1:26" x14ac:dyDescent="0.25">
      <c r="A80" s="1712"/>
      <c r="B80" s="1713"/>
      <c r="C80" s="1713"/>
      <c r="D80" s="1713"/>
      <c r="E80" s="1713"/>
      <c r="F80" s="1713"/>
      <c r="G80" s="1713"/>
      <c r="H80" s="1713"/>
      <c r="I80" s="1713"/>
      <c r="J80" s="1713"/>
      <c r="K80" s="1719"/>
      <c r="L80" s="1720"/>
      <c r="M80" s="1708"/>
      <c r="N80" s="1720"/>
      <c r="O80" s="1720"/>
      <c r="P80" s="1719"/>
      <c r="Q80" s="1721"/>
      <c r="R80" s="1722"/>
      <c r="S80" s="1719"/>
      <c r="T80" s="1719"/>
      <c r="U80" s="1719"/>
      <c r="V80" s="1706"/>
      <c r="W80" s="1717"/>
      <c r="X80" s="1718"/>
      <c r="Y80" s="1713"/>
      <c r="Z80" s="1713"/>
    </row>
    <row r="81" spans="1:26" x14ac:dyDescent="0.25">
      <c r="A81" s="1712"/>
      <c r="B81" s="1713"/>
      <c r="C81" s="1713"/>
      <c r="D81" s="1713"/>
      <c r="E81" s="1713"/>
      <c r="F81" s="1713"/>
      <c r="G81" s="1713"/>
      <c r="H81" s="1713"/>
      <c r="I81" s="1713"/>
      <c r="J81" s="1713"/>
      <c r="K81" s="1719"/>
      <c r="L81" s="1720"/>
      <c r="M81" s="1708"/>
      <c r="N81" s="1720"/>
      <c r="O81" s="1720"/>
      <c r="P81" s="1719"/>
      <c r="Q81" s="1721"/>
      <c r="R81" s="1722"/>
      <c r="S81" s="1719"/>
      <c r="T81" s="1719"/>
      <c r="U81" s="1719"/>
      <c r="V81" s="1706"/>
      <c r="W81" s="1717"/>
      <c r="X81" s="1718"/>
      <c r="Y81" s="1713"/>
      <c r="Z81" s="1713"/>
    </row>
    <row r="82" spans="1:26" x14ac:dyDescent="0.25">
      <c r="M82" s="1780"/>
      <c r="V82" s="1706"/>
      <c r="X82" s="1831"/>
    </row>
    <row r="83" spans="1:26" x14ac:dyDescent="0.25">
      <c r="M83" s="1780"/>
      <c r="V83" s="1706"/>
      <c r="X83" s="1831"/>
    </row>
    <row r="84" spans="1:26" x14ac:dyDescent="0.25">
      <c r="M84" s="1780"/>
      <c r="V84" s="1706"/>
      <c r="X84" s="1831"/>
    </row>
    <row r="85" spans="1:26" x14ac:dyDescent="0.25">
      <c r="M85" s="1780"/>
      <c r="V85" s="1706"/>
      <c r="X85" s="1831"/>
    </row>
    <row r="86" spans="1:26" x14ac:dyDescent="0.25">
      <c r="M86" s="1780"/>
      <c r="V86" s="1706"/>
      <c r="X86" s="1831"/>
    </row>
    <row r="87" spans="1:26" x14ac:dyDescent="0.25">
      <c r="M87" s="1780"/>
      <c r="V87" s="1706"/>
      <c r="X87" s="1831"/>
    </row>
    <row r="88" spans="1:26" x14ac:dyDescent="0.25">
      <c r="M88" s="1780"/>
      <c r="V88" s="1706"/>
      <c r="X88" s="1831"/>
    </row>
    <row r="89" spans="1:26" x14ac:dyDescent="0.25">
      <c r="M89" s="1780"/>
      <c r="V89" s="1706"/>
      <c r="X89" s="1831"/>
    </row>
    <row r="90" spans="1:26" x14ac:dyDescent="0.25">
      <c r="M90" s="1780"/>
      <c r="V90" s="1706"/>
      <c r="X90" s="1831"/>
    </row>
    <row r="91" spans="1:26" x14ac:dyDescent="0.25">
      <c r="M91" s="1780"/>
      <c r="V91" s="1706"/>
      <c r="X91" s="1831"/>
    </row>
    <row r="92" spans="1:26" x14ac:dyDescent="0.25">
      <c r="M92" s="1780"/>
      <c r="V92" s="1706"/>
      <c r="X92" s="1831"/>
    </row>
    <row r="93" spans="1:26" x14ac:dyDescent="0.25">
      <c r="M93" s="1780"/>
      <c r="V93" s="1706"/>
      <c r="X93" s="1831"/>
    </row>
    <row r="94" spans="1:26" x14ac:dyDescent="0.25">
      <c r="M94" s="1780"/>
      <c r="V94" s="1706"/>
      <c r="X94" s="1831"/>
    </row>
    <row r="95" spans="1:26" x14ac:dyDescent="0.25">
      <c r="M95" s="1780"/>
      <c r="V95" s="1706"/>
      <c r="X95" s="1831"/>
    </row>
    <row r="96" spans="1:26" x14ac:dyDescent="0.25">
      <c r="M96" s="1780"/>
      <c r="V96" s="1706"/>
      <c r="X96" s="1831"/>
    </row>
    <row r="97" spans="22:22" x14ac:dyDescent="0.25">
      <c r="V97" s="1706"/>
    </row>
    <row r="98" spans="22:22" x14ac:dyDescent="0.25">
      <c r="V98" s="1706"/>
    </row>
    <row r="99" spans="22:22" x14ac:dyDescent="0.25">
      <c r="V99" s="1706"/>
    </row>
    <row r="100" spans="22:22" x14ac:dyDescent="0.25">
      <c r="V100" s="1706"/>
    </row>
    <row r="101" spans="22:22" x14ac:dyDescent="0.25">
      <c r="V101" s="1706"/>
    </row>
    <row r="102" spans="22:22" x14ac:dyDescent="0.25">
      <c r="V102" s="1706"/>
    </row>
    <row r="103" spans="22:22" x14ac:dyDescent="0.25">
      <c r="V103" s="1706"/>
    </row>
    <row r="104" spans="22:22" x14ac:dyDescent="0.25">
      <c r="V104" s="1706"/>
    </row>
    <row r="105" spans="22:22" x14ac:dyDescent="0.25">
      <c r="V105" s="1706"/>
    </row>
    <row r="106" spans="22:22" x14ac:dyDescent="0.25">
      <c r="V106" s="1706"/>
    </row>
    <row r="107" spans="22:22" x14ac:dyDescent="0.25">
      <c r="V107" s="1706"/>
    </row>
    <row r="108" spans="22:22" x14ac:dyDescent="0.25">
      <c r="V108" s="1706"/>
    </row>
    <row r="109" spans="22:22" x14ac:dyDescent="0.25">
      <c r="V109" s="1706"/>
    </row>
    <row r="110" spans="22:22" x14ac:dyDescent="0.25">
      <c r="V110" s="1706"/>
    </row>
    <row r="111" spans="22:22" x14ac:dyDescent="0.25">
      <c r="V111" s="1706"/>
    </row>
    <row r="112" spans="22:22" x14ac:dyDescent="0.25">
      <c r="V112" s="1706"/>
    </row>
    <row r="113" spans="22:22" x14ac:dyDescent="0.25">
      <c r="V113" s="1706"/>
    </row>
    <row r="114" spans="22:22" x14ac:dyDescent="0.25">
      <c r="V114" s="1706"/>
    </row>
    <row r="115" spans="22:22" x14ac:dyDescent="0.25">
      <c r="V115" s="1706"/>
    </row>
    <row r="116" spans="22:22" x14ac:dyDescent="0.25">
      <c r="V116" s="1706"/>
    </row>
    <row r="117" spans="22:22" x14ac:dyDescent="0.25">
      <c r="V117" s="1706"/>
    </row>
    <row r="118" spans="22:22" x14ac:dyDescent="0.25">
      <c r="V118" s="1706"/>
    </row>
    <row r="119" spans="22:22" x14ac:dyDescent="0.25">
      <c r="V119" s="1706"/>
    </row>
    <row r="120" spans="22:22" x14ac:dyDescent="0.25">
      <c r="V120" s="1706"/>
    </row>
    <row r="121" spans="22:22" x14ac:dyDescent="0.25">
      <c r="V121" s="1706"/>
    </row>
    <row r="122" spans="22:22" x14ac:dyDescent="0.25">
      <c r="V122" s="1706"/>
    </row>
    <row r="123" spans="22:22" x14ac:dyDescent="0.25">
      <c r="V123" s="1706"/>
    </row>
    <row r="124" spans="22:22" x14ac:dyDescent="0.25">
      <c r="V124" s="1706"/>
    </row>
    <row r="125" spans="22:22" x14ac:dyDescent="0.25">
      <c r="V125" s="1706"/>
    </row>
    <row r="126" spans="22:22" x14ac:dyDescent="0.25">
      <c r="V126" s="1706"/>
    </row>
    <row r="127" spans="22:22" x14ac:dyDescent="0.25">
      <c r="V127" s="1706"/>
    </row>
    <row r="128" spans="22:22" x14ac:dyDescent="0.25">
      <c r="V128" s="1706"/>
    </row>
    <row r="129" spans="22:22" x14ac:dyDescent="0.25">
      <c r="V129" s="1706"/>
    </row>
    <row r="130" spans="22:22" x14ac:dyDescent="0.25">
      <c r="V130" s="1706"/>
    </row>
    <row r="131" spans="22:22" x14ac:dyDescent="0.25">
      <c r="V131" s="1706"/>
    </row>
    <row r="132" spans="22:22" x14ac:dyDescent="0.25">
      <c r="V132" s="1706"/>
    </row>
    <row r="133" spans="22:22" x14ac:dyDescent="0.25">
      <c r="V133" s="1706"/>
    </row>
    <row r="134" spans="22:22" x14ac:dyDescent="0.25">
      <c r="V134" s="1706"/>
    </row>
    <row r="135" spans="22:22" x14ac:dyDescent="0.25">
      <c r="V135" s="1706"/>
    </row>
    <row r="136" spans="22:22" x14ac:dyDescent="0.25">
      <c r="V136" s="1706"/>
    </row>
    <row r="137" spans="22:22" x14ac:dyDescent="0.25">
      <c r="V137" s="1706"/>
    </row>
    <row r="138" spans="22:22" x14ac:dyDescent="0.25">
      <c r="V138" s="1706"/>
    </row>
    <row r="139" spans="22:22" x14ac:dyDescent="0.25">
      <c r="V139" s="1706"/>
    </row>
    <row r="140" spans="22:22" x14ac:dyDescent="0.25">
      <c r="V140" s="1706"/>
    </row>
    <row r="141" spans="22:22" x14ac:dyDescent="0.25">
      <c r="V141" s="1706"/>
    </row>
    <row r="142" spans="22:22" x14ac:dyDescent="0.25">
      <c r="V142" s="1706"/>
    </row>
    <row r="143" spans="22:22" x14ac:dyDescent="0.25">
      <c r="V143" s="1706"/>
    </row>
    <row r="144" spans="22:22" x14ac:dyDescent="0.25">
      <c r="V144" s="1706"/>
    </row>
    <row r="145" spans="22:22" x14ac:dyDescent="0.25">
      <c r="V145" s="1706"/>
    </row>
    <row r="146" spans="22:22" x14ac:dyDescent="0.25">
      <c r="V146" s="1706"/>
    </row>
    <row r="147" spans="22:22" x14ac:dyDescent="0.25">
      <c r="V147" s="1706"/>
    </row>
    <row r="148" spans="22:22" x14ac:dyDescent="0.25">
      <c r="V148" s="1706"/>
    </row>
    <row r="149" spans="22:22" x14ac:dyDescent="0.25">
      <c r="V149" s="1706"/>
    </row>
    <row r="150" spans="22:22" x14ac:dyDescent="0.25">
      <c r="V150" s="1706"/>
    </row>
    <row r="151" spans="22:22" x14ac:dyDescent="0.25">
      <c r="V151" s="1706"/>
    </row>
    <row r="152" spans="22:22" x14ac:dyDescent="0.25">
      <c r="V152" s="1706"/>
    </row>
    <row r="153" spans="22:22" x14ac:dyDescent="0.25">
      <c r="V153" s="1706"/>
    </row>
    <row r="154" spans="22:22" x14ac:dyDescent="0.25">
      <c r="V154" s="1706"/>
    </row>
    <row r="155" spans="22:22" x14ac:dyDescent="0.25">
      <c r="V155" s="1706"/>
    </row>
    <row r="156" spans="22:22" x14ac:dyDescent="0.25">
      <c r="V156" s="1706"/>
    </row>
    <row r="157" spans="22:22" x14ac:dyDescent="0.25">
      <c r="V157" s="1706"/>
    </row>
    <row r="158" spans="22:22" x14ac:dyDescent="0.25">
      <c r="V158" s="1706"/>
    </row>
    <row r="159" spans="22:22" x14ac:dyDescent="0.25">
      <c r="V159" s="1706"/>
    </row>
    <row r="160" spans="22:22" x14ac:dyDescent="0.25">
      <c r="V160" s="1706"/>
    </row>
    <row r="161" spans="22:22" x14ac:dyDescent="0.25">
      <c r="V161" s="1706"/>
    </row>
    <row r="162" spans="22:22" x14ac:dyDescent="0.25">
      <c r="V162" s="1706"/>
    </row>
    <row r="163" spans="22:22" x14ac:dyDescent="0.25">
      <c r="V163" s="1706"/>
    </row>
    <row r="164" spans="22:22" x14ac:dyDescent="0.25">
      <c r="V164" s="1706"/>
    </row>
    <row r="165" spans="22:22" x14ac:dyDescent="0.25">
      <c r="V165" s="1706"/>
    </row>
    <row r="166" spans="22:22" x14ac:dyDescent="0.25">
      <c r="V166" s="1706"/>
    </row>
    <row r="167" spans="22:22" x14ac:dyDescent="0.25">
      <c r="V167" s="1706"/>
    </row>
    <row r="168" spans="22:22" x14ac:dyDescent="0.25">
      <c r="V168" s="1706"/>
    </row>
    <row r="169" spans="22:22" x14ac:dyDescent="0.25">
      <c r="V169" s="1706"/>
    </row>
    <row r="170" spans="22:22" x14ac:dyDescent="0.25">
      <c r="V170" s="1706"/>
    </row>
    <row r="171" spans="22:22" x14ac:dyDescent="0.25">
      <c r="V171" s="1706"/>
    </row>
    <row r="172" spans="22:22" x14ac:dyDescent="0.25">
      <c r="V172" s="1706"/>
    </row>
    <row r="173" spans="22:22" x14ac:dyDescent="0.25">
      <c r="V173" s="1706"/>
    </row>
    <row r="174" spans="22:22" x14ac:dyDescent="0.25">
      <c r="V174" s="1706"/>
    </row>
    <row r="175" spans="22:22" x14ac:dyDescent="0.25">
      <c r="V175" s="1706"/>
    </row>
    <row r="176" spans="22:22" x14ac:dyDescent="0.25">
      <c r="V176" s="1706"/>
    </row>
    <row r="177" spans="22:22" x14ac:dyDescent="0.25">
      <c r="V177" s="1706"/>
    </row>
    <row r="178" spans="22:22" x14ac:dyDescent="0.25">
      <c r="V178" s="1706"/>
    </row>
    <row r="179" spans="22:22" x14ac:dyDescent="0.25">
      <c r="V179" s="1706"/>
    </row>
    <row r="180" spans="22:22" x14ac:dyDescent="0.25">
      <c r="V180" s="1706"/>
    </row>
    <row r="181" spans="22:22" x14ac:dyDescent="0.25">
      <c r="V181" s="1706"/>
    </row>
    <row r="182" spans="22:22" x14ac:dyDescent="0.25">
      <c r="V182" s="1706"/>
    </row>
    <row r="183" spans="22:22" x14ac:dyDescent="0.25">
      <c r="V183" s="1706"/>
    </row>
    <row r="184" spans="22:22" x14ac:dyDescent="0.25">
      <c r="V184" s="1706"/>
    </row>
    <row r="185" spans="22:22" x14ac:dyDescent="0.25">
      <c r="V185" s="1706"/>
    </row>
    <row r="186" spans="22:22" x14ac:dyDescent="0.25">
      <c r="V186" s="1706"/>
    </row>
    <row r="187" spans="22:22" x14ac:dyDescent="0.25">
      <c r="V187" s="1706"/>
    </row>
    <row r="188" spans="22:22" x14ac:dyDescent="0.25">
      <c r="V188" s="1706"/>
    </row>
    <row r="189" spans="22:22" x14ac:dyDescent="0.25">
      <c r="V189" s="1706"/>
    </row>
    <row r="190" spans="22:22" x14ac:dyDescent="0.25">
      <c r="V190" s="1706"/>
    </row>
    <row r="191" spans="22:22" x14ac:dyDescent="0.25">
      <c r="V191" s="1706"/>
    </row>
    <row r="192" spans="22:22" x14ac:dyDescent="0.25">
      <c r="V192" s="1706"/>
    </row>
    <row r="193" spans="22:22" x14ac:dyDescent="0.25">
      <c r="V193" s="1706"/>
    </row>
    <row r="194" spans="22:22" x14ac:dyDescent="0.25">
      <c r="V194" s="1706"/>
    </row>
    <row r="195" spans="22:22" x14ac:dyDescent="0.25">
      <c r="V195" s="1706"/>
    </row>
    <row r="196" spans="22:22" x14ac:dyDescent="0.25">
      <c r="V196" s="1706"/>
    </row>
    <row r="197" spans="22:22" x14ac:dyDescent="0.25">
      <c r="V197" s="1706"/>
    </row>
    <row r="198" spans="22:22" x14ac:dyDescent="0.25">
      <c r="V198" s="1706"/>
    </row>
    <row r="199" spans="22:22" x14ac:dyDescent="0.25">
      <c r="V199" s="1706"/>
    </row>
    <row r="200" spans="22:22" x14ac:dyDescent="0.25">
      <c r="V200" s="1706"/>
    </row>
    <row r="201" spans="22:22" x14ac:dyDescent="0.25">
      <c r="V201" s="1706"/>
    </row>
    <row r="202" spans="22:22" x14ac:dyDescent="0.25">
      <c r="V202" s="1706"/>
    </row>
    <row r="203" spans="22:22" x14ac:dyDescent="0.25">
      <c r="V203" s="1706"/>
    </row>
    <row r="204" spans="22:22" x14ac:dyDescent="0.25">
      <c r="V204" s="1706"/>
    </row>
    <row r="205" spans="22:22" x14ac:dyDescent="0.25">
      <c r="V205" s="1706"/>
    </row>
    <row r="206" spans="22:22" x14ac:dyDescent="0.25">
      <c r="V206" s="1706"/>
    </row>
    <row r="207" spans="22:22" x14ac:dyDescent="0.25">
      <c r="V207" s="1706"/>
    </row>
    <row r="208" spans="22:22" x14ac:dyDescent="0.25">
      <c r="V208" s="1706"/>
    </row>
    <row r="209" spans="22:22" x14ac:dyDescent="0.25">
      <c r="V209" s="1706"/>
    </row>
    <row r="210" spans="22:22" x14ac:dyDescent="0.25">
      <c r="V210" s="1706"/>
    </row>
    <row r="211" spans="22:22" x14ac:dyDescent="0.25">
      <c r="V211" s="1706"/>
    </row>
    <row r="212" spans="22:22" x14ac:dyDescent="0.25">
      <c r="V212" s="1706"/>
    </row>
    <row r="213" spans="22:22" x14ac:dyDescent="0.25">
      <c r="V213" s="1706"/>
    </row>
    <row r="214" spans="22:22" x14ac:dyDescent="0.25">
      <c r="V214" s="1706"/>
    </row>
    <row r="215" spans="22:22" x14ac:dyDescent="0.25">
      <c r="V215" s="1706"/>
    </row>
    <row r="216" spans="22:22" x14ac:dyDescent="0.25">
      <c r="V216" s="1706"/>
    </row>
    <row r="217" spans="22:22" x14ac:dyDescent="0.25">
      <c r="V217" s="1706"/>
    </row>
    <row r="218" spans="22:22" x14ac:dyDescent="0.25">
      <c r="V218" s="1706"/>
    </row>
    <row r="219" spans="22:22" x14ac:dyDescent="0.25">
      <c r="V219" s="1706"/>
    </row>
    <row r="220" spans="22:22" x14ac:dyDescent="0.25">
      <c r="V220" s="1706"/>
    </row>
    <row r="221" spans="22:22" x14ac:dyDescent="0.25">
      <c r="V221" s="1706"/>
    </row>
    <row r="222" spans="22:22" x14ac:dyDescent="0.25">
      <c r="V222" s="1706"/>
    </row>
    <row r="223" spans="22:22" x14ac:dyDescent="0.25">
      <c r="V223" s="1706"/>
    </row>
    <row r="224" spans="22:22" x14ac:dyDescent="0.25">
      <c r="V224" s="1706"/>
    </row>
    <row r="225" spans="22:22" x14ac:dyDescent="0.25">
      <c r="V225" s="1706"/>
    </row>
    <row r="226" spans="22:22" x14ac:dyDescent="0.25">
      <c r="V226" s="1706"/>
    </row>
    <row r="227" spans="22:22" x14ac:dyDescent="0.25">
      <c r="V227" s="1706"/>
    </row>
    <row r="228" spans="22:22" x14ac:dyDescent="0.25">
      <c r="V228" s="1706"/>
    </row>
    <row r="229" spans="22:22" x14ac:dyDescent="0.25">
      <c r="V229" s="1706"/>
    </row>
    <row r="230" spans="22:22" x14ac:dyDescent="0.25">
      <c r="V230" s="1706"/>
    </row>
    <row r="231" spans="22:22" x14ac:dyDescent="0.25">
      <c r="V231" s="1706"/>
    </row>
    <row r="232" spans="22:22" x14ac:dyDescent="0.25">
      <c r="V232" s="1706"/>
    </row>
    <row r="233" spans="22:22" x14ac:dyDescent="0.25">
      <c r="V233" s="1706"/>
    </row>
    <row r="234" spans="22:22" x14ac:dyDescent="0.25">
      <c r="V234" s="1706"/>
    </row>
    <row r="235" spans="22:22" x14ac:dyDescent="0.25">
      <c r="V235" s="1706"/>
    </row>
    <row r="236" spans="22:22" x14ac:dyDescent="0.25">
      <c r="V236" s="1706"/>
    </row>
    <row r="237" spans="22:22" x14ac:dyDescent="0.25">
      <c r="V237" s="1706"/>
    </row>
    <row r="238" spans="22:22" x14ac:dyDescent="0.25">
      <c r="V238" s="1706"/>
    </row>
    <row r="239" spans="22:22" x14ac:dyDescent="0.25">
      <c r="V239" s="1706"/>
    </row>
    <row r="240" spans="22:22" x14ac:dyDescent="0.25">
      <c r="V240" s="1706"/>
    </row>
    <row r="241" spans="22:22" x14ac:dyDescent="0.25">
      <c r="V241" s="1706"/>
    </row>
    <row r="242" spans="22:22" x14ac:dyDescent="0.25">
      <c r="V242" s="1706"/>
    </row>
    <row r="243" spans="22:22" x14ac:dyDescent="0.25">
      <c r="V243" s="1706"/>
    </row>
    <row r="244" spans="22:22" x14ac:dyDescent="0.25">
      <c r="V244" s="1706"/>
    </row>
    <row r="245" spans="22:22" x14ac:dyDescent="0.25">
      <c r="V245" s="1706"/>
    </row>
    <row r="246" spans="22:22" x14ac:dyDescent="0.25">
      <c r="V246" s="1706"/>
    </row>
    <row r="247" spans="22:22" x14ac:dyDescent="0.25">
      <c r="V247" s="1706"/>
    </row>
    <row r="248" spans="22:22" x14ac:dyDescent="0.25">
      <c r="V248" s="1706"/>
    </row>
    <row r="249" spans="22:22" x14ac:dyDescent="0.25">
      <c r="V249" s="1706"/>
    </row>
    <row r="250" spans="22:22" x14ac:dyDescent="0.25">
      <c r="V250" s="1706"/>
    </row>
    <row r="251" spans="22:22" x14ac:dyDescent="0.25">
      <c r="V251" s="1706"/>
    </row>
    <row r="252" spans="22:22" x14ac:dyDescent="0.25">
      <c r="V252" s="1706"/>
    </row>
    <row r="253" spans="22:22" x14ac:dyDescent="0.25">
      <c r="V253" s="1706"/>
    </row>
    <row r="254" spans="22:22" x14ac:dyDescent="0.25">
      <c r="V254" s="1706"/>
    </row>
    <row r="255" spans="22:22" x14ac:dyDescent="0.25">
      <c r="V255" s="1706"/>
    </row>
  </sheetData>
  <sheetProtection password="A60F" sheet="1" objects="1" scenarios="1"/>
  <mergeCells count="123">
    <mergeCell ref="M29:S29"/>
    <mergeCell ref="AL19:AL21"/>
    <mergeCell ref="J12:J13"/>
    <mergeCell ref="K12:K13"/>
    <mergeCell ref="T12:T13"/>
    <mergeCell ref="U12:U13"/>
    <mergeCell ref="AO19:AO21"/>
    <mergeCell ref="AM12:AM18"/>
    <mergeCell ref="AN12:AN18"/>
    <mergeCell ref="AO12:AO18"/>
    <mergeCell ref="Y19:Y21"/>
    <mergeCell ref="Z19:Z21"/>
    <mergeCell ref="AA19:AA21"/>
    <mergeCell ref="AB19:AB21"/>
    <mergeCell ref="J20:J21"/>
    <mergeCell ref="K20:K21"/>
    <mergeCell ref="T20:T21"/>
    <mergeCell ref="U20:U21"/>
    <mergeCell ref="L20:L21"/>
    <mergeCell ref="M20:M21"/>
    <mergeCell ref="Q20:Q21"/>
    <mergeCell ref="L12:L13"/>
    <mergeCell ref="M12:M13"/>
    <mergeCell ref="S22:U22"/>
    <mergeCell ref="AP19:AP21"/>
    <mergeCell ref="AQ19:AQ21"/>
    <mergeCell ref="A23:Q23"/>
    <mergeCell ref="S23:U23"/>
    <mergeCell ref="M28:S28"/>
    <mergeCell ref="AC19:AC21"/>
    <mergeCell ref="AD19:AD21"/>
    <mergeCell ref="AE19:AE21"/>
    <mergeCell ref="AF19:AF21"/>
    <mergeCell ref="AG19:AG21"/>
    <mergeCell ref="AH19:AH21"/>
    <mergeCell ref="AI19:AI21"/>
    <mergeCell ref="AJ19:AJ21"/>
    <mergeCell ref="AK19:AK21"/>
    <mergeCell ref="B19:C19"/>
    <mergeCell ref="E19:F19"/>
    <mergeCell ref="H19:I19"/>
    <mergeCell ref="N19:N21"/>
    <mergeCell ref="O19:O21"/>
    <mergeCell ref="P19:P21"/>
    <mergeCell ref="R19:R21"/>
    <mergeCell ref="S19:S21"/>
    <mergeCell ref="AM19:AM21"/>
    <mergeCell ref="AN19:AN21"/>
    <mergeCell ref="AP12:AP18"/>
    <mergeCell ref="AQ12:AQ18"/>
    <mergeCell ref="U14:U15"/>
    <mergeCell ref="AE12:AE18"/>
    <mergeCell ref="AF12:AF18"/>
    <mergeCell ref="AG12:AG18"/>
    <mergeCell ref="AH12:AH18"/>
    <mergeCell ref="AI12:AI18"/>
    <mergeCell ref="AJ12:AJ18"/>
    <mergeCell ref="AK12:AK18"/>
    <mergeCell ref="AL12:AL18"/>
    <mergeCell ref="AD12:AD18"/>
    <mergeCell ref="Y12:Y18"/>
    <mergeCell ref="Z12:Z18"/>
    <mergeCell ref="AB12:AB18"/>
    <mergeCell ref="AC12:AC18"/>
    <mergeCell ref="W16:W18"/>
    <mergeCell ref="X16:X18"/>
    <mergeCell ref="B14:C14"/>
    <mergeCell ref="E14:F14"/>
    <mergeCell ref="H14:I14"/>
    <mergeCell ref="J14:J15"/>
    <mergeCell ref="K14:K15"/>
    <mergeCell ref="L14:L15"/>
    <mergeCell ref="M14:M15"/>
    <mergeCell ref="Q14:Q15"/>
    <mergeCell ref="T14:T15"/>
    <mergeCell ref="N12:N18"/>
    <mergeCell ref="O12:O18"/>
    <mergeCell ref="P12:P18"/>
    <mergeCell ref="R12:R18"/>
    <mergeCell ref="S12:S18"/>
    <mergeCell ref="A1:AO4"/>
    <mergeCell ref="A5:M6"/>
    <mergeCell ref="N5:AQ5"/>
    <mergeCell ref="Y6:AM6"/>
    <mergeCell ref="A7:A8"/>
    <mergeCell ref="B7:C8"/>
    <mergeCell ref="D7:D8"/>
    <mergeCell ref="E7:F8"/>
    <mergeCell ref="G7:G8"/>
    <mergeCell ref="H7:I8"/>
    <mergeCell ref="AN7:AN8"/>
    <mergeCell ref="AO7:AO8"/>
    <mergeCell ref="AP7:AP8"/>
    <mergeCell ref="AQ7:AQ8"/>
    <mergeCell ref="AA7:AD7"/>
    <mergeCell ref="AE7:AJ7"/>
    <mergeCell ref="AK7:AM7"/>
    <mergeCell ref="V7:V8"/>
    <mergeCell ref="X7:X8"/>
    <mergeCell ref="Y7:Z7"/>
    <mergeCell ref="P7:P8"/>
    <mergeCell ref="Q7:Q8"/>
    <mergeCell ref="R7:R8"/>
    <mergeCell ref="S7:S8"/>
    <mergeCell ref="T7:T8"/>
    <mergeCell ref="U7:U8"/>
    <mergeCell ref="J7:J8"/>
    <mergeCell ref="K7:K8"/>
    <mergeCell ref="L7:L8"/>
    <mergeCell ref="M7:M8"/>
    <mergeCell ref="AA12:AA18"/>
    <mergeCell ref="N7:N8"/>
    <mergeCell ref="O7:O8"/>
    <mergeCell ref="J16:J18"/>
    <mergeCell ref="K16:K18"/>
    <mergeCell ref="L16:L18"/>
    <mergeCell ref="M16:M18"/>
    <mergeCell ref="Q16:Q18"/>
    <mergeCell ref="T16:T18"/>
    <mergeCell ref="U16:U18"/>
    <mergeCell ref="V16:V18"/>
    <mergeCell ref="Q12:Q13"/>
    <mergeCell ref="W7:W8"/>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K73"/>
  <sheetViews>
    <sheetView showGridLines="0" zoomScale="60" zoomScaleNormal="60" workbookViewId="0">
      <selection activeCell="A7" sqref="A7:A8"/>
    </sheetView>
  </sheetViews>
  <sheetFormatPr baseColWidth="10" defaultColWidth="11.42578125" defaultRowHeight="27" customHeight="1" x14ac:dyDescent="0.2"/>
  <cols>
    <col min="1" max="1" width="11.7109375" style="389" customWidth="1"/>
    <col min="2" max="10" width="11.7109375" style="362" customWidth="1"/>
    <col min="11" max="11" width="47.28515625" style="390" customWidth="1"/>
    <col min="12" max="12" width="45" style="369" customWidth="1"/>
    <col min="13" max="13" width="12" style="369" customWidth="1"/>
    <col min="14" max="14" width="38.5703125" style="391" customWidth="1"/>
    <col min="15" max="15" width="23.85546875" style="391" customWidth="1"/>
    <col min="16" max="16" width="41.5703125" style="390" customWidth="1"/>
    <col min="17" max="17" width="15.28515625" style="392" customWidth="1"/>
    <col min="18" max="18" width="31.5703125" style="396" customWidth="1"/>
    <col min="19" max="19" width="42.5703125" style="390" customWidth="1"/>
    <col min="20" max="20" width="83.28515625" style="390" customWidth="1"/>
    <col min="21" max="21" width="47" style="1429" customWidth="1"/>
    <col min="22" max="22" width="31.85546875" style="689" customWidth="1"/>
    <col min="23" max="23" width="20.42578125" style="393" customWidth="1"/>
    <col min="24" max="24" width="39.42578125" style="394" customWidth="1"/>
    <col min="25" max="25" width="12" style="362" customWidth="1"/>
    <col min="26" max="26" width="10.85546875" style="362" bestFit="1" customWidth="1"/>
    <col min="27" max="27" width="36.28515625" style="362" customWidth="1"/>
    <col min="28" max="28" width="34.85546875" style="362" customWidth="1"/>
    <col min="29" max="29" width="39.42578125" style="362" customWidth="1"/>
    <col min="30" max="30" width="9.85546875" style="362" customWidth="1"/>
    <col min="31" max="31" width="7.5703125" style="362" bestFit="1" customWidth="1"/>
    <col min="32" max="36" width="7" style="362" customWidth="1"/>
    <col min="37" max="38" width="9" style="362" bestFit="1" customWidth="1"/>
    <col min="39" max="39" width="8.85546875" style="362" customWidth="1"/>
    <col min="40" max="40" width="10.85546875" style="362" bestFit="1" customWidth="1"/>
    <col min="41" max="41" width="17.28515625" style="690" customWidth="1"/>
    <col min="42" max="42" width="21.85546875" style="395" customWidth="1"/>
    <col min="43" max="43" width="24.85546875" style="691" customWidth="1"/>
    <col min="44" max="44" width="28.140625" style="362" customWidth="1"/>
    <col min="45" max="49" width="11.42578125" style="362"/>
    <col min="50" max="50" width="28" style="362" customWidth="1"/>
    <col min="51" max="16384" width="11.42578125" style="362"/>
  </cols>
  <sheetData>
    <row r="1" spans="1:63" ht="22.5" customHeight="1" x14ac:dyDescent="0.2">
      <c r="A1" s="2976" t="s">
        <v>2545</v>
      </c>
      <c r="B1" s="2977"/>
      <c r="C1" s="2977"/>
      <c r="D1" s="2977"/>
      <c r="E1" s="2977"/>
      <c r="F1" s="2977"/>
      <c r="G1" s="2977"/>
      <c r="H1" s="2977"/>
      <c r="I1" s="2977"/>
      <c r="J1" s="2977"/>
      <c r="K1" s="2977"/>
      <c r="L1" s="2977"/>
      <c r="M1" s="2977"/>
      <c r="N1" s="2977"/>
      <c r="O1" s="2977"/>
      <c r="P1" s="2977"/>
      <c r="Q1" s="2977"/>
      <c r="R1" s="2977"/>
      <c r="S1" s="2977"/>
      <c r="T1" s="2977"/>
      <c r="U1" s="2977"/>
      <c r="V1" s="2977"/>
      <c r="W1" s="2977"/>
      <c r="X1" s="2977"/>
      <c r="Y1" s="2977"/>
      <c r="Z1" s="2977"/>
      <c r="AA1" s="2977"/>
      <c r="AB1" s="2977"/>
      <c r="AC1" s="2977"/>
      <c r="AD1" s="2977"/>
      <c r="AE1" s="2977"/>
      <c r="AF1" s="2977"/>
      <c r="AG1" s="2977"/>
      <c r="AH1" s="2977"/>
      <c r="AI1" s="2977"/>
      <c r="AJ1" s="2977"/>
      <c r="AK1" s="2977"/>
      <c r="AL1" s="2977"/>
      <c r="AM1" s="2977"/>
      <c r="AN1" s="2977"/>
      <c r="AO1" s="2977"/>
      <c r="AP1" s="974" t="s">
        <v>0</v>
      </c>
      <c r="AQ1" s="2135" t="s">
        <v>118</v>
      </c>
      <c r="AR1" s="369"/>
      <c r="AS1" s="369"/>
      <c r="AT1" s="369"/>
      <c r="AU1" s="369"/>
      <c r="AV1" s="369"/>
      <c r="AW1" s="369"/>
      <c r="AX1" s="369"/>
      <c r="AY1" s="369"/>
      <c r="AZ1" s="369"/>
      <c r="BA1" s="369"/>
      <c r="BB1" s="369"/>
      <c r="BC1" s="369"/>
      <c r="BD1" s="369"/>
      <c r="BE1" s="369"/>
      <c r="BF1" s="369"/>
      <c r="BG1" s="369"/>
      <c r="BH1" s="369"/>
      <c r="BI1" s="369"/>
      <c r="BJ1" s="369"/>
      <c r="BK1" s="369"/>
    </row>
    <row r="2" spans="1:63" ht="22.5" customHeight="1" x14ac:dyDescent="0.2">
      <c r="A2" s="2978"/>
      <c r="B2" s="3084"/>
      <c r="C2" s="3084"/>
      <c r="D2" s="3084"/>
      <c r="E2" s="3084"/>
      <c r="F2" s="3084"/>
      <c r="G2" s="3084"/>
      <c r="H2" s="3084"/>
      <c r="I2" s="3084"/>
      <c r="J2" s="3084"/>
      <c r="K2" s="3084"/>
      <c r="L2" s="3084"/>
      <c r="M2" s="3084"/>
      <c r="N2" s="3084"/>
      <c r="O2" s="3084"/>
      <c r="P2" s="3084"/>
      <c r="Q2" s="3084"/>
      <c r="R2" s="3084"/>
      <c r="S2" s="3084"/>
      <c r="T2" s="3084"/>
      <c r="U2" s="3084"/>
      <c r="V2" s="3084"/>
      <c r="W2" s="3084"/>
      <c r="X2" s="3084"/>
      <c r="Y2" s="3084"/>
      <c r="Z2" s="3084"/>
      <c r="AA2" s="3084"/>
      <c r="AB2" s="3084"/>
      <c r="AC2" s="3084"/>
      <c r="AD2" s="3084"/>
      <c r="AE2" s="3084"/>
      <c r="AF2" s="3084"/>
      <c r="AG2" s="3084"/>
      <c r="AH2" s="3084"/>
      <c r="AI2" s="3084"/>
      <c r="AJ2" s="3084"/>
      <c r="AK2" s="3084"/>
      <c r="AL2" s="3084"/>
      <c r="AM2" s="3084"/>
      <c r="AN2" s="3084"/>
      <c r="AO2" s="3084"/>
      <c r="AP2" s="619" t="s">
        <v>2</v>
      </c>
      <c r="AQ2" s="2136" t="s">
        <v>119</v>
      </c>
      <c r="AR2" s="369"/>
      <c r="AS2" s="369"/>
      <c r="AT2" s="369"/>
      <c r="AU2" s="369"/>
      <c r="AV2" s="369"/>
      <c r="AW2" s="369"/>
      <c r="AX2" s="369"/>
      <c r="AY2" s="369"/>
      <c r="AZ2" s="369"/>
      <c r="BA2" s="369"/>
      <c r="BB2" s="369"/>
      <c r="BC2" s="369"/>
      <c r="BD2" s="369"/>
      <c r="BE2" s="369"/>
      <c r="BF2" s="369"/>
      <c r="BG2" s="369"/>
      <c r="BH2" s="369"/>
      <c r="BI2" s="369"/>
      <c r="BJ2" s="369"/>
      <c r="BK2" s="369"/>
    </row>
    <row r="3" spans="1:63" ht="22.5" customHeight="1" x14ac:dyDescent="0.2">
      <c r="A3" s="2978"/>
      <c r="B3" s="3084"/>
      <c r="C3" s="3084"/>
      <c r="D3" s="3084"/>
      <c r="E3" s="3084"/>
      <c r="F3" s="3084"/>
      <c r="G3" s="3084"/>
      <c r="H3" s="3084"/>
      <c r="I3" s="3084"/>
      <c r="J3" s="3084"/>
      <c r="K3" s="3084"/>
      <c r="L3" s="3084"/>
      <c r="M3" s="3084"/>
      <c r="N3" s="3084"/>
      <c r="O3" s="3084"/>
      <c r="P3" s="3084"/>
      <c r="Q3" s="3084"/>
      <c r="R3" s="3084"/>
      <c r="S3" s="3084"/>
      <c r="T3" s="3084"/>
      <c r="U3" s="3084"/>
      <c r="V3" s="3084"/>
      <c r="W3" s="3084"/>
      <c r="X3" s="3084"/>
      <c r="Y3" s="3084"/>
      <c r="Z3" s="3084"/>
      <c r="AA3" s="3084"/>
      <c r="AB3" s="3084"/>
      <c r="AC3" s="3084"/>
      <c r="AD3" s="3084"/>
      <c r="AE3" s="3084"/>
      <c r="AF3" s="3084"/>
      <c r="AG3" s="3084"/>
      <c r="AH3" s="3084"/>
      <c r="AI3" s="3084"/>
      <c r="AJ3" s="3084"/>
      <c r="AK3" s="3084"/>
      <c r="AL3" s="3084"/>
      <c r="AM3" s="3084"/>
      <c r="AN3" s="3084"/>
      <c r="AO3" s="3084"/>
      <c r="AP3" s="616" t="s">
        <v>4</v>
      </c>
      <c r="AQ3" s="976" t="s">
        <v>5</v>
      </c>
      <c r="AR3" s="369"/>
      <c r="AS3" s="369"/>
      <c r="AT3" s="369"/>
      <c r="AU3" s="369"/>
      <c r="AV3" s="369"/>
      <c r="AW3" s="369"/>
      <c r="AX3" s="369"/>
      <c r="AY3" s="369"/>
      <c r="AZ3" s="369"/>
      <c r="BA3" s="369"/>
      <c r="BB3" s="369"/>
      <c r="BC3" s="369"/>
      <c r="BD3" s="369"/>
      <c r="BE3" s="369"/>
      <c r="BF3" s="369"/>
      <c r="BG3" s="369"/>
      <c r="BH3" s="369"/>
      <c r="BI3" s="369"/>
      <c r="BJ3" s="369"/>
      <c r="BK3" s="369"/>
    </row>
    <row r="4" spans="1:63" ht="22.5" customHeight="1" x14ac:dyDescent="0.2">
      <c r="A4" s="2979"/>
      <c r="B4" s="2924"/>
      <c r="C4" s="2924"/>
      <c r="D4" s="2924"/>
      <c r="E4" s="2924"/>
      <c r="F4" s="2924"/>
      <c r="G4" s="2924"/>
      <c r="H4" s="2924"/>
      <c r="I4" s="2924"/>
      <c r="J4" s="2924"/>
      <c r="K4" s="2924"/>
      <c r="L4" s="2924"/>
      <c r="M4" s="2924"/>
      <c r="N4" s="2924"/>
      <c r="O4" s="2924"/>
      <c r="P4" s="2924"/>
      <c r="Q4" s="2924"/>
      <c r="R4" s="2924"/>
      <c r="S4" s="2924"/>
      <c r="T4" s="2924"/>
      <c r="U4" s="2924"/>
      <c r="V4" s="2924"/>
      <c r="W4" s="2924"/>
      <c r="X4" s="2924"/>
      <c r="Y4" s="2924"/>
      <c r="Z4" s="2924"/>
      <c r="AA4" s="2924"/>
      <c r="AB4" s="2924"/>
      <c r="AC4" s="2924"/>
      <c r="AD4" s="2924"/>
      <c r="AE4" s="2924"/>
      <c r="AF4" s="2924"/>
      <c r="AG4" s="2924"/>
      <c r="AH4" s="2924"/>
      <c r="AI4" s="2924"/>
      <c r="AJ4" s="2924"/>
      <c r="AK4" s="2924"/>
      <c r="AL4" s="2924"/>
      <c r="AM4" s="2924"/>
      <c r="AN4" s="2924"/>
      <c r="AO4" s="2924"/>
      <c r="AP4" s="616" t="s">
        <v>6</v>
      </c>
      <c r="AQ4" s="977" t="s">
        <v>7</v>
      </c>
      <c r="AR4" s="369"/>
      <c r="AS4" s="369"/>
      <c r="AT4" s="369"/>
      <c r="AU4" s="369"/>
      <c r="AV4" s="369"/>
      <c r="AW4" s="369"/>
      <c r="AX4" s="369"/>
      <c r="AY4" s="369"/>
      <c r="AZ4" s="369"/>
      <c r="BA4" s="369"/>
      <c r="BB4" s="369"/>
      <c r="BC4" s="369"/>
      <c r="BD4" s="369"/>
      <c r="BE4" s="369"/>
      <c r="BF4" s="369"/>
      <c r="BG4" s="369"/>
      <c r="BH4" s="369"/>
      <c r="BI4" s="369"/>
      <c r="BJ4" s="369"/>
      <c r="BK4" s="369"/>
    </row>
    <row r="5" spans="1:63" ht="22.5" customHeight="1" x14ac:dyDescent="0.2">
      <c r="A5" s="3085" t="s">
        <v>8</v>
      </c>
      <c r="B5" s="3086"/>
      <c r="C5" s="3086"/>
      <c r="D5" s="3086"/>
      <c r="E5" s="3086"/>
      <c r="F5" s="3086"/>
      <c r="G5" s="3086"/>
      <c r="H5" s="3086"/>
      <c r="I5" s="3086"/>
      <c r="J5" s="3086"/>
      <c r="K5" s="3086"/>
      <c r="L5" s="3086"/>
      <c r="M5" s="3086"/>
      <c r="N5" s="3088" t="s">
        <v>9</v>
      </c>
      <c r="O5" s="3088"/>
      <c r="P5" s="3088"/>
      <c r="Q5" s="3088"/>
      <c r="R5" s="3088"/>
      <c r="S5" s="3088"/>
      <c r="T5" s="3088"/>
      <c r="U5" s="3088"/>
      <c r="V5" s="3088"/>
      <c r="W5" s="3088"/>
      <c r="X5" s="3088"/>
      <c r="Y5" s="3088"/>
      <c r="Z5" s="3088"/>
      <c r="AA5" s="3088"/>
      <c r="AB5" s="3088"/>
      <c r="AC5" s="3088"/>
      <c r="AD5" s="3088"/>
      <c r="AE5" s="3088"/>
      <c r="AF5" s="3088"/>
      <c r="AG5" s="3088"/>
      <c r="AH5" s="3088"/>
      <c r="AI5" s="3088"/>
      <c r="AJ5" s="3088"/>
      <c r="AK5" s="3088"/>
      <c r="AL5" s="3088"/>
      <c r="AM5" s="3088"/>
      <c r="AN5" s="3088"/>
      <c r="AO5" s="3088"/>
      <c r="AP5" s="3088"/>
      <c r="AQ5" s="3089"/>
      <c r="AR5" s="369"/>
      <c r="AS5" s="369"/>
      <c r="AT5" s="369"/>
      <c r="AU5" s="369"/>
      <c r="AV5" s="369"/>
      <c r="AW5" s="369"/>
      <c r="AX5" s="369"/>
      <c r="AY5" s="369"/>
      <c r="AZ5" s="369"/>
      <c r="BA5" s="369"/>
      <c r="BB5" s="369"/>
      <c r="BC5" s="369"/>
      <c r="BD5" s="369"/>
      <c r="BE5" s="369"/>
      <c r="BF5" s="369"/>
      <c r="BG5" s="369"/>
      <c r="BH5" s="369"/>
      <c r="BI5" s="369"/>
      <c r="BJ5" s="369"/>
      <c r="BK5" s="369"/>
    </row>
    <row r="6" spans="1:63" ht="22.5" customHeight="1" x14ac:dyDescent="0.25">
      <c r="A6" s="3087"/>
      <c r="B6" s="3070"/>
      <c r="C6" s="3070"/>
      <c r="D6" s="3070"/>
      <c r="E6" s="3070"/>
      <c r="F6" s="3070"/>
      <c r="G6" s="3070"/>
      <c r="H6" s="3070"/>
      <c r="I6" s="3070"/>
      <c r="J6" s="3070"/>
      <c r="K6" s="3070"/>
      <c r="L6" s="3070"/>
      <c r="M6" s="3070"/>
      <c r="N6" s="1953"/>
      <c r="O6" s="1949"/>
      <c r="P6" s="645"/>
      <c r="Q6" s="645"/>
      <c r="R6" s="645"/>
      <c r="S6" s="645"/>
      <c r="T6" s="645"/>
      <c r="U6" s="1424"/>
      <c r="V6" s="1705"/>
      <c r="W6" s="645"/>
      <c r="X6" s="645"/>
      <c r="Y6" s="3069" t="s">
        <v>10</v>
      </c>
      <c r="Z6" s="3070"/>
      <c r="AA6" s="3070"/>
      <c r="AB6" s="3070"/>
      <c r="AC6" s="3070"/>
      <c r="AD6" s="3070"/>
      <c r="AE6" s="3070"/>
      <c r="AF6" s="3070"/>
      <c r="AG6" s="3070"/>
      <c r="AH6" s="3070"/>
      <c r="AI6" s="3070"/>
      <c r="AJ6" s="3070"/>
      <c r="AK6" s="3070"/>
      <c r="AL6" s="3070"/>
      <c r="AM6" s="3071"/>
      <c r="AN6" s="1949"/>
      <c r="AO6" s="645"/>
      <c r="AP6" s="645"/>
      <c r="AQ6" s="2137"/>
      <c r="AR6" s="369"/>
      <c r="AS6" s="369"/>
      <c r="AT6" s="369"/>
      <c r="AU6" s="369"/>
      <c r="AV6" s="369"/>
      <c r="AW6" s="369"/>
      <c r="AX6" s="369"/>
      <c r="AY6" s="369"/>
      <c r="AZ6" s="369"/>
      <c r="BA6" s="369"/>
      <c r="BB6" s="369"/>
      <c r="BC6" s="369"/>
      <c r="BD6" s="369"/>
      <c r="BE6" s="369"/>
      <c r="BF6" s="369"/>
      <c r="BG6" s="369"/>
      <c r="BH6" s="369"/>
      <c r="BI6" s="369"/>
      <c r="BJ6" s="369"/>
      <c r="BK6" s="369"/>
    </row>
    <row r="7" spans="1:63" s="883" customFormat="1" ht="27" customHeight="1" x14ac:dyDescent="0.2">
      <c r="A7" s="3090" t="s">
        <v>11</v>
      </c>
      <c r="B7" s="3092" t="s">
        <v>12</v>
      </c>
      <c r="C7" s="3093"/>
      <c r="D7" s="3093" t="s">
        <v>11</v>
      </c>
      <c r="E7" s="3092" t="s">
        <v>13</v>
      </c>
      <c r="F7" s="3093"/>
      <c r="G7" s="3093" t="s">
        <v>11</v>
      </c>
      <c r="H7" s="3092" t="s">
        <v>14</v>
      </c>
      <c r="I7" s="3093"/>
      <c r="J7" s="3093" t="s">
        <v>11</v>
      </c>
      <c r="K7" s="3092" t="s">
        <v>15</v>
      </c>
      <c r="L7" s="3062" t="s">
        <v>16</v>
      </c>
      <c r="M7" s="3062">
        <v>9</v>
      </c>
      <c r="N7" s="3062" t="s">
        <v>18</v>
      </c>
      <c r="O7" s="3062" t="s">
        <v>19</v>
      </c>
      <c r="P7" s="3062" t="s">
        <v>9</v>
      </c>
      <c r="Q7" s="3096" t="s">
        <v>20</v>
      </c>
      <c r="R7" s="3098" t="s">
        <v>21</v>
      </c>
      <c r="S7" s="3092" t="s">
        <v>22</v>
      </c>
      <c r="T7" s="3092" t="s">
        <v>23</v>
      </c>
      <c r="U7" s="3062" t="s">
        <v>24</v>
      </c>
      <c r="V7" s="3092" t="s">
        <v>21</v>
      </c>
      <c r="W7" s="3066" t="s">
        <v>11</v>
      </c>
      <c r="X7" s="3062" t="s">
        <v>25</v>
      </c>
      <c r="Y7" s="3056" t="s">
        <v>26</v>
      </c>
      <c r="Z7" s="3056"/>
      <c r="AA7" s="3072" t="s">
        <v>27</v>
      </c>
      <c r="AB7" s="3072"/>
      <c r="AC7" s="3072"/>
      <c r="AD7" s="3072"/>
      <c r="AE7" s="3075" t="s">
        <v>28</v>
      </c>
      <c r="AF7" s="3076"/>
      <c r="AG7" s="3076"/>
      <c r="AH7" s="3076"/>
      <c r="AI7" s="3076"/>
      <c r="AJ7" s="3077"/>
      <c r="AK7" s="3072" t="s">
        <v>29</v>
      </c>
      <c r="AL7" s="3072"/>
      <c r="AM7" s="3072"/>
      <c r="AN7" s="1950" t="s">
        <v>30</v>
      </c>
      <c r="AO7" s="3078" t="s">
        <v>31</v>
      </c>
      <c r="AP7" s="3078" t="s">
        <v>32</v>
      </c>
      <c r="AQ7" s="3100" t="s">
        <v>33</v>
      </c>
      <c r="AR7" s="391"/>
      <c r="AS7" s="391"/>
      <c r="AT7" s="391"/>
      <c r="AU7" s="391"/>
      <c r="AV7" s="391"/>
      <c r="AW7" s="391"/>
      <c r="AX7" s="391"/>
      <c r="AY7" s="391"/>
      <c r="AZ7" s="391"/>
      <c r="BA7" s="391"/>
      <c r="BB7" s="391"/>
      <c r="BC7" s="391"/>
      <c r="BD7" s="391"/>
      <c r="BE7" s="391"/>
      <c r="BF7" s="391"/>
      <c r="BG7" s="391"/>
      <c r="BH7" s="391"/>
      <c r="BI7" s="391"/>
      <c r="BJ7" s="391"/>
      <c r="BK7" s="391"/>
    </row>
    <row r="8" spans="1:63" s="883" customFormat="1" ht="116.25" customHeight="1" x14ac:dyDescent="0.2">
      <c r="A8" s="3091"/>
      <c r="B8" s="3094"/>
      <c r="C8" s="3095"/>
      <c r="D8" s="3095"/>
      <c r="E8" s="3094"/>
      <c r="F8" s="3095"/>
      <c r="G8" s="3095"/>
      <c r="H8" s="3094"/>
      <c r="I8" s="3095"/>
      <c r="J8" s="3095"/>
      <c r="K8" s="3094"/>
      <c r="L8" s="3063"/>
      <c r="M8" s="3063"/>
      <c r="N8" s="3063"/>
      <c r="O8" s="3063"/>
      <c r="P8" s="3063"/>
      <c r="Q8" s="3097"/>
      <c r="R8" s="3099"/>
      <c r="S8" s="3094"/>
      <c r="T8" s="3094"/>
      <c r="U8" s="3063"/>
      <c r="V8" s="3094"/>
      <c r="W8" s="3067"/>
      <c r="X8" s="3063"/>
      <c r="Y8" s="648" t="s">
        <v>34</v>
      </c>
      <c r="Z8" s="649" t="s">
        <v>35</v>
      </c>
      <c r="AA8" s="650" t="s">
        <v>36</v>
      </c>
      <c r="AB8" s="650" t="s">
        <v>121</v>
      </c>
      <c r="AC8" s="650" t="s">
        <v>164</v>
      </c>
      <c r="AD8" s="650" t="s">
        <v>123</v>
      </c>
      <c r="AE8" s="650" t="s">
        <v>40</v>
      </c>
      <c r="AF8" s="650" t="s">
        <v>41</v>
      </c>
      <c r="AG8" s="650" t="s">
        <v>42</v>
      </c>
      <c r="AH8" s="650" t="s">
        <v>43</v>
      </c>
      <c r="AI8" s="650" t="s">
        <v>44</v>
      </c>
      <c r="AJ8" s="650" t="s">
        <v>45</v>
      </c>
      <c r="AK8" s="650" t="s">
        <v>46</v>
      </c>
      <c r="AL8" s="650" t="s">
        <v>47</v>
      </c>
      <c r="AM8" s="650" t="s">
        <v>48</v>
      </c>
      <c r="AN8" s="650" t="s">
        <v>30</v>
      </c>
      <c r="AO8" s="3079"/>
      <c r="AP8" s="3079"/>
      <c r="AQ8" s="3101"/>
      <c r="AR8" s="391"/>
      <c r="AS8" s="391"/>
      <c r="AT8" s="391"/>
      <c r="AU8" s="391"/>
      <c r="AV8" s="391"/>
      <c r="AW8" s="391"/>
      <c r="AX8" s="391"/>
      <c r="AY8" s="391"/>
      <c r="AZ8" s="391"/>
      <c r="BA8" s="391"/>
      <c r="BB8" s="391"/>
      <c r="BC8" s="391"/>
      <c r="BD8" s="391"/>
      <c r="BE8" s="391"/>
      <c r="BF8" s="391"/>
      <c r="BG8" s="391"/>
      <c r="BH8" s="391"/>
      <c r="BI8" s="391"/>
      <c r="BJ8" s="391"/>
      <c r="BK8" s="391"/>
    </row>
    <row r="9" spans="1:63" ht="27" customHeight="1" x14ac:dyDescent="0.2">
      <c r="A9" s="2138">
        <v>1</v>
      </c>
      <c r="B9" s="652" t="s">
        <v>684</v>
      </c>
      <c r="C9" s="652"/>
      <c r="D9" s="652"/>
      <c r="E9" s="652"/>
      <c r="F9" s="652"/>
      <c r="G9" s="652"/>
      <c r="H9" s="652"/>
      <c r="I9" s="652"/>
      <c r="J9" s="652"/>
      <c r="K9" s="653"/>
      <c r="L9" s="653"/>
      <c r="M9" s="653"/>
      <c r="N9" s="654"/>
      <c r="O9" s="654"/>
      <c r="P9" s="653"/>
      <c r="Q9" s="653"/>
      <c r="R9" s="653"/>
      <c r="S9" s="653"/>
      <c r="T9" s="653"/>
      <c r="U9" s="653"/>
      <c r="V9" s="653"/>
      <c r="W9" s="655"/>
      <c r="X9" s="654"/>
      <c r="Y9" s="652"/>
      <c r="Z9" s="652"/>
      <c r="AA9" s="652"/>
      <c r="AB9" s="652"/>
      <c r="AC9" s="652"/>
      <c r="AD9" s="652"/>
      <c r="AE9" s="652"/>
      <c r="AF9" s="652"/>
      <c r="AG9" s="652"/>
      <c r="AH9" s="652"/>
      <c r="AI9" s="652"/>
      <c r="AJ9" s="652"/>
      <c r="AK9" s="652"/>
      <c r="AL9" s="652"/>
      <c r="AM9" s="652"/>
      <c r="AN9" s="652"/>
      <c r="AO9" s="656"/>
      <c r="AP9" s="656"/>
      <c r="AQ9" s="2139"/>
      <c r="AR9" s="369"/>
      <c r="AS9" s="369"/>
      <c r="AT9" s="369"/>
      <c r="AU9" s="369"/>
      <c r="AV9" s="369"/>
      <c r="AW9" s="369"/>
      <c r="AX9" s="369"/>
      <c r="AY9" s="369"/>
      <c r="AZ9" s="369"/>
      <c r="BA9" s="369"/>
      <c r="BB9" s="369"/>
      <c r="BC9" s="369"/>
      <c r="BD9" s="369"/>
      <c r="BE9" s="369"/>
      <c r="BF9" s="369"/>
      <c r="BG9" s="369"/>
      <c r="BH9" s="369"/>
      <c r="BI9" s="369"/>
      <c r="BJ9" s="369"/>
      <c r="BK9" s="369"/>
    </row>
    <row r="10" spans="1:63" s="369" customFormat="1" ht="27" customHeight="1" x14ac:dyDescent="0.2">
      <c r="A10" s="3104"/>
      <c r="B10" s="3105"/>
      <c r="C10" s="3105"/>
      <c r="D10" s="657">
        <v>1</v>
      </c>
      <c r="E10" s="658" t="s">
        <v>685</v>
      </c>
      <c r="F10" s="658"/>
      <c r="G10" s="658"/>
      <c r="H10" s="3140"/>
      <c r="I10" s="3141"/>
      <c r="J10" s="658"/>
      <c r="K10" s="659"/>
      <c r="L10" s="659"/>
      <c r="M10" s="659"/>
      <c r="N10" s="660"/>
      <c r="O10" s="660"/>
      <c r="P10" s="659"/>
      <c r="Q10" s="659"/>
      <c r="R10" s="659"/>
      <c r="S10" s="659"/>
      <c r="T10" s="659"/>
      <c r="U10" s="659"/>
      <c r="V10" s="659"/>
      <c r="W10" s="1693"/>
      <c r="X10" s="660"/>
      <c r="Y10" s="658"/>
      <c r="Z10" s="658"/>
      <c r="AA10" s="658"/>
      <c r="AB10" s="658"/>
      <c r="AC10" s="658"/>
      <c r="AD10" s="658"/>
      <c r="AE10" s="658"/>
      <c r="AF10" s="658"/>
      <c r="AG10" s="658"/>
      <c r="AH10" s="658"/>
      <c r="AI10" s="658"/>
      <c r="AJ10" s="658"/>
      <c r="AK10" s="658"/>
      <c r="AL10" s="658"/>
      <c r="AM10" s="658"/>
      <c r="AN10" s="658"/>
      <c r="AO10" s="661"/>
      <c r="AP10" s="661"/>
      <c r="AQ10" s="2140"/>
    </row>
    <row r="11" spans="1:63" s="369" customFormat="1" ht="27" customHeight="1" x14ac:dyDescent="0.2">
      <c r="A11" s="3104"/>
      <c r="B11" s="3105"/>
      <c r="C11" s="3105"/>
      <c r="D11" s="3106"/>
      <c r="E11" s="3106"/>
      <c r="F11" s="3106"/>
      <c r="G11" s="662">
        <v>2</v>
      </c>
      <c r="H11" s="663" t="s">
        <v>686</v>
      </c>
      <c r="I11" s="663"/>
      <c r="J11" s="663"/>
      <c r="K11" s="664"/>
      <c r="L11" s="664"/>
      <c r="M11" s="664"/>
      <c r="N11" s="665"/>
      <c r="O11" s="665"/>
      <c r="P11" s="664"/>
      <c r="Q11" s="664"/>
      <c r="R11" s="664"/>
      <c r="S11" s="664"/>
      <c r="T11" s="664"/>
      <c r="U11" s="664"/>
      <c r="V11" s="664"/>
      <c r="W11" s="1694"/>
      <c r="X11" s="665"/>
      <c r="Y11" s="663"/>
      <c r="Z11" s="663"/>
      <c r="AA11" s="663"/>
      <c r="AB11" s="663"/>
      <c r="AC11" s="663"/>
      <c r="AD11" s="663"/>
      <c r="AE11" s="663"/>
      <c r="AF11" s="663"/>
      <c r="AG11" s="663"/>
      <c r="AH11" s="663"/>
      <c r="AI11" s="663"/>
      <c r="AJ11" s="663"/>
      <c r="AK11" s="663"/>
      <c r="AL11" s="663"/>
      <c r="AM11" s="663"/>
      <c r="AN11" s="663"/>
      <c r="AO11" s="666"/>
      <c r="AP11" s="666"/>
      <c r="AQ11" s="2141"/>
    </row>
    <row r="12" spans="1:63" s="369" customFormat="1" ht="29.25" customHeight="1" x14ac:dyDescent="0.2">
      <c r="A12" s="3104"/>
      <c r="B12" s="3105"/>
      <c r="C12" s="3105"/>
      <c r="D12" s="3106"/>
      <c r="E12" s="3106"/>
      <c r="F12" s="3106"/>
      <c r="G12" s="3107"/>
      <c r="H12" s="3107"/>
      <c r="I12" s="3107"/>
      <c r="J12" s="3049">
        <v>9</v>
      </c>
      <c r="K12" s="3040" t="s">
        <v>687</v>
      </c>
      <c r="L12" s="3040" t="s">
        <v>688</v>
      </c>
      <c r="M12" s="3049">
        <v>5</v>
      </c>
      <c r="N12" s="3059" t="s">
        <v>689</v>
      </c>
      <c r="O12" s="3049" t="s">
        <v>690</v>
      </c>
      <c r="P12" s="3040" t="s">
        <v>691</v>
      </c>
      <c r="Q12" s="3051">
        <f>SUM(V12:V15)/R12</f>
        <v>1</v>
      </c>
      <c r="R12" s="3050">
        <f>SUM(V12:V15)</f>
        <v>2440979994</v>
      </c>
      <c r="S12" s="3052" t="s">
        <v>692</v>
      </c>
      <c r="T12" s="3057" t="s">
        <v>693</v>
      </c>
      <c r="U12" s="2834" t="s">
        <v>694</v>
      </c>
      <c r="V12" s="2067">
        <f>2000000000</f>
        <v>2000000000</v>
      </c>
      <c r="W12" s="1695" t="s">
        <v>695</v>
      </c>
      <c r="X12" s="1946" t="s">
        <v>696</v>
      </c>
      <c r="Y12" s="3068">
        <v>294321</v>
      </c>
      <c r="Z12" s="3068">
        <v>283947</v>
      </c>
      <c r="AA12" s="3068">
        <v>135754</v>
      </c>
      <c r="AB12" s="3068">
        <v>44640</v>
      </c>
      <c r="AC12" s="3068">
        <v>308178</v>
      </c>
      <c r="AD12" s="3068">
        <v>89696</v>
      </c>
      <c r="AE12" s="3068">
        <v>2145</v>
      </c>
      <c r="AF12" s="3068">
        <v>12718</v>
      </c>
      <c r="AG12" s="3068">
        <v>26</v>
      </c>
      <c r="AH12" s="3068">
        <v>37</v>
      </c>
      <c r="AI12" s="3068"/>
      <c r="AJ12" s="3068">
        <v>0</v>
      </c>
      <c r="AK12" s="3068">
        <v>54612</v>
      </c>
      <c r="AL12" s="3068">
        <v>21944</v>
      </c>
      <c r="AM12" s="3068">
        <v>1010</v>
      </c>
      <c r="AN12" s="3068">
        <v>578268</v>
      </c>
      <c r="AO12" s="3074">
        <v>43466</v>
      </c>
      <c r="AP12" s="3074">
        <v>43830</v>
      </c>
      <c r="AQ12" s="3073" t="s">
        <v>697</v>
      </c>
    </row>
    <row r="13" spans="1:63" s="369" customFormat="1" ht="30" x14ac:dyDescent="0.2">
      <c r="A13" s="3104"/>
      <c r="B13" s="3105"/>
      <c r="C13" s="3105"/>
      <c r="D13" s="3106"/>
      <c r="E13" s="3106"/>
      <c r="F13" s="3106"/>
      <c r="G13" s="3107"/>
      <c r="H13" s="3107"/>
      <c r="I13" s="3107"/>
      <c r="J13" s="3049"/>
      <c r="K13" s="3040"/>
      <c r="L13" s="3040"/>
      <c r="M13" s="3049"/>
      <c r="N13" s="3060"/>
      <c r="O13" s="3049"/>
      <c r="P13" s="3040"/>
      <c r="Q13" s="3051"/>
      <c r="R13" s="3050"/>
      <c r="S13" s="3052"/>
      <c r="T13" s="3058"/>
      <c r="U13" s="2834"/>
      <c r="V13" s="2067">
        <v>4200000</v>
      </c>
      <c r="W13" s="1626">
        <v>27</v>
      </c>
      <c r="X13" s="1946" t="s">
        <v>698</v>
      </c>
      <c r="Y13" s="3068"/>
      <c r="Z13" s="3068"/>
      <c r="AA13" s="3068"/>
      <c r="AB13" s="3068"/>
      <c r="AC13" s="3068"/>
      <c r="AD13" s="3068"/>
      <c r="AE13" s="3068"/>
      <c r="AF13" s="3068"/>
      <c r="AG13" s="3068"/>
      <c r="AH13" s="3068"/>
      <c r="AI13" s="3068"/>
      <c r="AJ13" s="3068"/>
      <c r="AK13" s="3068"/>
      <c r="AL13" s="3068"/>
      <c r="AM13" s="3068"/>
      <c r="AN13" s="3068"/>
      <c r="AO13" s="3074"/>
      <c r="AP13" s="3074"/>
      <c r="AQ13" s="3073"/>
    </row>
    <row r="14" spans="1:63" s="369" customFormat="1" ht="30.75" customHeight="1" x14ac:dyDescent="0.2">
      <c r="A14" s="3104"/>
      <c r="B14" s="3105"/>
      <c r="C14" s="3105"/>
      <c r="D14" s="3106"/>
      <c r="E14" s="3106"/>
      <c r="F14" s="3106"/>
      <c r="G14" s="3107"/>
      <c r="H14" s="3107"/>
      <c r="I14" s="3107"/>
      <c r="J14" s="3049"/>
      <c r="K14" s="3040"/>
      <c r="L14" s="3040"/>
      <c r="M14" s="3049"/>
      <c r="N14" s="3060"/>
      <c r="O14" s="3049"/>
      <c r="P14" s="3040"/>
      <c r="Q14" s="3051"/>
      <c r="R14" s="3050"/>
      <c r="S14" s="3052"/>
      <c r="T14" s="3057" t="s">
        <v>699</v>
      </c>
      <c r="U14" s="2834"/>
      <c r="V14" s="2067">
        <v>425000000</v>
      </c>
      <c r="W14" s="1695" t="s">
        <v>700</v>
      </c>
      <c r="X14" s="1946" t="s">
        <v>701</v>
      </c>
      <c r="Y14" s="3068"/>
      <c r="Z14" s="3068"/>
      <c r="AA14" s="3068"/>
      <c r="AB14" s="3068"/>
      <c r="AC14" s="3068"/>
      <c r="AD14" s="3068"/>
      <c r="AE14" s="3068"/>
      <c r="AF14" s="3068"/>
      <c r="AG14" s="3068"/>
      <c r="AH14" s="3068"/>
      <c r="AI14" s="3068"/>
      <c r="AJ14" s="3068"/>
      <c r="AK14" s="3068"/>
      <c r="AL14" s="3068"/>
      <c r="AM14" s="3068"/>
      <c r="AN14" s="3068"/>
      <c r="AO14" s="3074"/>
      <c r="AP14" s="3074"/>
      <c r="AQ14" s="3073"/>
    </row>
    <row r="15" spans="1:63" s="369" customFormat="1" ht="41.25" customHeight="1" x14ac:dyDescent="0.2">
      <c r="A15" s="3104"/>
      <c r="B15" s="3105"/>
      <c r="C15" s="3105"/>
      <c r="D15" s="3106"/>
      <c r="E15" s="3106"/>
      <c r="F15" s="3106"/>
      <c r="G15" s="3107"/>
      <c r="H15" s="3107"/>
      <c r="I15" s="3107"/>
      <c r="J15" s="3049"/>
      <c r="K15" s="3040"/>
      <c r="L15" s="3040"/>
      <c r="M15" s="3049"/>
      <c r="N15" s="3061"/>
      <c r="O15" s="3049"/>
      <c r="P15" s="3040"/>
      <c r="Q15" s="3051"/>
      <c r="R15" s="3050"/>
      <c r="S15" s="3052"/>
      <c r="T15" s="3058"/>
      <c r="U15" s="2834"/>
      <c r="V15" s="2067">
        <v>11779994</v>
      </c>
      <c r="W15" s="1626">
        <v>90</v>
      </c>
      <c r="X15" s="1946" t="s">
        <v>702</v>
      </c>
      <c r="Y15" s="3068"/>
      <c r="Z15" s="3068">
        <v>283947</v>
      </c>
      <c r="AA15" s="3068">
        <v>135754</v>
      </c>
      <c r="AB15" s="3068">
        <v>44640</v>
      </c>
      <c r="AC15" s="3068">
        <v>308178</v>
      </c>
      <c r="AD15" s="3068">
        <v>89696</v>
      </c>
      <c r="AE15" s="3068">
        <v>2145</v>
      </c>
      <c r="AF15" s="3068">
        <v>12718</v>
      </c>
      <c r="AG15" s="3068">
        <v>26</v>
      </c>
      <c r="AH15" s="3068">
        <v>37</v>
      </c>
      <c r="AI15" s="3068"/>
      <c r="AJ15" s="3068"/>
      <c r="AK15" s="3068">
        <v>54612</v>
      </c>
      <c r="AL15" s="3068">
        <v>21944</v>
      </c>
      <c r="AM15" s="3068">
        <v>1010</v>
      </c>
      <c r="AN15" s="3068">
        <v>578268</v>
      </c>
      <c r="AO15" s="3074"/>
      <c r="AP15" s="3074"/>
      <c r="AQ15" s="3073"/>
    </row>
    <row r="16" spans="1:63" s="124" customFormat="1" ht="83.25" customHeight="1" x14ac:dyDescent="0.2">
      <c r="A16" s="3104"/>
      <c r="B16" s="3105"/>
      <c r="C16" s="3105"/>
      <c r="D16" s="3106"/>
      <c r="E16" s="3106"/>
      <c r="F16" s="3106"/>
      <c r="G16" s="3108"/>
      <c r="H16" s="3108"/>
      <c r="I16" s="3108"/>
      <c r="J16" s="3049">
        <v>9</v>
      </c>
      <c r="K16" s="3052" t="s">
        <v>687</v>
      </c>
      <c r="L16" s="3052" t="s">
        <v>688</v>
      </c>
      <c r="M16" s="3049">
        <v>5</v>
      </c>
      <c r="N16" s="3049" t="s">
        <v>703</v>
      </c>
      <c r="O16" s="3049" t="s">
        <v>704</v>
      </c>
      <c r="P16" s="3052" t="s">
        <v>705</v>
      </c>
      <c r="Q16" s="3051">
        <f>SUM(V16+V17)/R16</f>
        <v>1</v>
      </c>
      <c r="R16" s="3050">
        <f>SUM(V16+V17)</f>
        <v>1106680073</v>
      </c>
      <c r="S16" s="3052" t="s">
        <v>706</v>
      </c>
      <c r="T16" s="1959" t="s">
        <v>707</v>
      </c>
      <c r="U16" s="2834" t="s">
        <v>708</v>
      </c>
      <c r="V16" s="2067">
        <f>1105246431-13566358</f>
        <v>1091680073</v>
      </c>
      <c r="W16" s="1626">
        <v>27</v>
      </c>
      <c r="X16" s="1963" t="s">
        <v>698</v>
      </c>
      <c r="Y16" s="3068">
        <v>294321</v>
      </c>
      <c r="Z16" s="3068">
        <v>283947</v>
      </c>
      <c r="AA16" s="3068">
        <v>135754</v>
      </c>
      <c r="AB16" s="3068">
        <v>44640</v>
      </c>
      <c r="AC16" s="3068">
        <v>308178</v>
      </c>
      <c r="AD16" s="3068">
        <v>89696</v>
      </c>
      <c r="AE16" s="3068">
        <v>2145</v>
      </c>
      <c r="AF16" s="3068">
        <v>12718</v>
      </c>
      <c r="AG16" s="3068">
        <v>26</v>
      </c>
      <c r="AH16" s="3068">
        <v>37</v>
      </c>
      <c r="AI16" s="3068">
        <v>0</v>
      </c>
      <c r="AJ16" s="3068">
        <v>0</v>
      </c>
      <c r="AK16" s="3068">
        <v>54612</v>
      </c>
      <c r="AL16" s="3068">
        <v>21944</v>
      </c>
      <c r="AM16" s="3068">
        <v>1010</v>
      </c>
      <c r="AN16" s="3068">
        <v>578268</v>
      </c>
      <c r="AO16" s="3074">
        <v>43466</v>
      </c>
      <c r="AP16" s="3074">
        <v>43830</v>
      </c>
      <c r="AQ16" s="3073"/>
    </row>
    <row r="17" spans="1:47" s="369" customFormat="1" ht="49.5" customHeight="1" x14ac:dyDescent="0.2">
      <c r="A17" s="3104"/>
      <c r="B17" s="3105"/>
      <c r="C17" s="3105"/>
      <c r="D17" s="3106"/>
      <c r="E17" s="3106"/>
      <c r="F17" s="3106"/>
      <c r="G17" s="3108"/>
      <c r="H17" s="3108"/>
      <c r="I17" s="3108"/>
      <c r="J17" s="3049"/>
      <c r="K17" s="3052"/>
      <c r="L17" s="3052"/>
      <c r="M17" s="3049"/>
      <c r="N17" s="3049"/>
      <c r="O17" s="3049"/>
      <c r="P17" s="3052"/>
      <c r="Q17" s="3051"/>
      <c r="R17" s="3050"/>
      <c r="S17" s="3052"/>
      <c r="T17" s="1959" t="s">
        <v>709</v>
      </c>
      <c r="U17" s="2834"/>
      <c r="V17" s="2067">
        <f>0+15000000</f>
        <v>15000000</v>
      </c>
      <c r="W17" s="1626">
        <v>88</v>
      </c>
      <c r="X17" s="1963" t="s">
        <v>710</v>
      </c>
      <c r="Y17" s="3068"/>
      <c r="Z17" s="3068">
        <v>283947</v>
      </c>
      <c r="AA17" s="3068">
        <v>135754</v>
      </c>
      <c r="AB17" s="3068">
        <v>44640</v>
      </c>
      <c r="AC17" s="3068">
        <v>308178</v>
      </c>
      <c r="AD17" s="3068">
        <v>89696</v>
      </c>
      <c r="AE17" s="3068">
        <v>2145</v>
      </c>
      <c r="AF17" s="3068">
        <v>12718</v>
      </c>
      <c r="AG17" s="3068">
        <v>26</v>
      </c>
      <c r="AH17" s="3068">
        <v>37</v>
      </c>
      <c r="AI17" s="3068"/>
      <c r="AJ17" s="3068"/>
      <c r="AK17" s="3068">
        <v>54612</v>
      </c>
      <c r="AL17" s="3068">
        <v>21944</v>
      </c>
      <c r="AM17" s="3068">
        <v>1010</v>
      </c>
      <c r="AN17" s="3068">
        <v>578268</v>
      </c>
      <c r="AO17" s="3074"/>
      <c r="AP17" s="3074"/>
      <c r="AQ17" s="3073"/>
    </row>
    <row r="18" spans="1:47" s="167" customFormat="1" ht="101.25" customHeight="1" x14ac:dyDescent="0.2">
      <c r="A18" s="3104"/>
      <c r="B18" s="3105"/>
      <c r="C18" s="3105"/>
      <c r="D18" s="3106"/>
      <c r="E18" s="3106"/>
      <c r="F18" s="3106"/>
      <c r="G18" s="3052"/>
      <c r="H18" s="3052"/>
      <c r="I18" s="3052"/>
      <c r="J18" s="1946">
        <v>10</v>
      </c>
      <c r="K18" s="1947" t="s">
        <v>711</v>
      </c>
      <c r="L18" s="1947" t="s">
        <v>712</v>
      </c>
      <c r="M18" s="1946">
        <v>5</v>
      </c>
      <c r="N18" s="1946" t="s">
        <v>713</v>
      </c>
      <c r="O18" s="1946" t="s">
        <v>714</v>
      </c>
      <c r="P18" s="1947" t="s">
        <v>715</v>
      </c>
      <c r="Q18" s="1651">
        <f>V18/R18</f>
        <v>1</v>
      </c>
      <c r="R18" s="1955">
        <f>+V18</f>
        <v>80000000</v>
      </c>
      <c r="S18" s="1947" t="s">
        <v>716</v>
      </c>
      <c r="T18" s="1947" t="s">
        <v>717</v>
      </c>
      <c r="U18" s="1958" t="s">
        <v>718</v>
      </c>
      <c r="V18" s="2067">
        <v>80000000</v>
      </c>
      <c r="W18" s="1957">
        <v>27</v>
      </c>
      <c r="X18" s="1947" t="s">
        <v>698</v>
      </c>
      <c r="Y18" s="1952">
        <v>294321</v>
      </c>
      <c r="Z18" s="1952">
        <v>283947</v>
      </c>
      <c r="AA18" s="1952">
        <v>135754</v>
      </c>
      <c r="AB18" s="1952">
        <v>44640</v>
      </c>
      <c r="AC18" s="1952">
        <v>308178</v>
      </c>
      <c r="AD18" s="1952">
        <v>89696</v>
      </c>
      <c r="AE18" s="1952">
        <v>2145</v>
      </c>
      <c r="AF18" s="1952">
        <v>12718</v>
      </c>
      <c r="AG18" s="1952">
        <v>26</v>
      </c>
      <c r="AH18" s="1952">
        <v>37</v>
      </c>
      <c r="AI18" s="1952">
        <v>0</v>
      </c>
      <c r="AJ18" s="1952">
        <v>0</v>
      </c>
      <c r="AK18" s="1952">
        <v>54612</v>
      </c>
      <c r="AL18" s="1952">
        <v>21944</v>
      </c>
      <c r="AM18" s="1952">
        <v>1010</v>
      </c>
      <c r="AN18" s="1952">
        <v>578268</v>
      </c>
      <c r="AO18" s="1951">
        <v>43466</v>
      </c>
      <c r="AP18" s="1951">
        <v>43830</v>
      </c>
      <c r="AQ18" s="3073"/>
    </row>
    <row r="19" spans="1:47" s="167" customFormat="1" ht="324.75" customHeight="1" x14ac:dyDescent="0.2">
      <c r="A19" s="3104"/>
      <c r="B19" s="3105"/>
      <c r="C19" s="3105"/>
      <c r="D19" s="3106"/>
      <c r="E19" s="3106"/>
      <c r="F19" s="3106"/>
      <c r="G19" s="3049"/>
      <c r="H19" s="3049"/>
      <c r="I19" s="3049"/>
      <c r="J19" s="1946">
        <v>11</v>
      </c>
      <c r="K19" s="1947" t="s">
        <v>719</v>
      </c>
      <c r="L19" s="1947" t="s">
        <v>720</v>
      </c>
      <c r="M19" s="1946">
        <v>1</v>
      </c>
      <c r="N19" s="1946" t="s">
        <v>721</v>
      </c>
      <c r="O19" s="1946" t="s">
        <v>722</v>
      </c>
      <c r="P19" s="1947" t="s">
        <v>723</v>
      </c>
      <c r="Q19" s="1954">
        <f>+V19/R19</f>
        <v>1</v>
      </c>
      <c r="R19" s="693">
        <f>SUM(V19)</f>
        <v>230000000</v>
      </c>
      <c r="S19" s="1947" t="s">
        <v>724</v>
      </c>
      <c r="T19" s="1947" t="s">
        <v>725</v>
      </c>
      <c r="U19" s="1958" t="s">
        <v>726</v>
      </c>
      <c r="V19" s="2067">
        <v>230000000</v>
      </c>
      <c r="W19" s="1626">
        <v>27</v>
      </c>
      <c r="X19" s="1947" t="s">
        <v>698</v>
      </c>
      <c r="Y19" s="1952">
        <v>294321</v>
      </c>
      <c r="Z19" s="1952">
        <v>283947</v>
      </c>
      <c r="AA19" s="1952">
        <v>135754</v>
      </c>
      <c r="AB19" s="1952">
        <v>44640</v>
      </c>
      <c r="AC19" s="1952">
        <v>308178</v>
      </c>
      <c r="AD19" s="1952">
        <v>89696</v>
      </c>
      <c r="AE19" s="1952">
        <v>2145</v>
      </c>
      <c r="AF19" s="1952">
        <v>12718</v>
      </c>
      <c r="AG19" s="1952">
        <v>26</v>
      </c>
      <c r="AH19" s="1952">
        <v>37</v>
      </c>
      <c r="AI19" s="1952">
        <v>0</v>
      </c>
      <c r="AJ19" s="1952"/>
      <c r="AK19" s="1952">
        <v>54612</v>
      </c>
      <c r="AL19" s="1952">
        <v>21944</v>
      </c>
      <c r="AM19" s="1952">
        <v>1010</v>
      </c>
      <c r="AN19" s="1952">
        <v>578268</v>
      </c>
      <c r="AO19" s="667">
        <v>43466</v>
      </c>
      <c r="AP19" s="667">
        <v>43830</v>
      </c>
      <c r="AQ19" s="3073"/>
    </row>
    <row r="20" spans="1:47" s="167" customFormat="1" ht="66.75" customHeight="1" x14ac:dyDescent="0.2">
      <c r="A20" s="3104"/>
      <c r="B20" s="3105"/>
      <c r="C20" s="3105"/>
      <c r="D20" s="3106"/>
      <c r="E20" s="3106"/>
      <c r="F20" s="3106"/>
      <c r="G20" s="3049"/>
      <c r="H20" s="3049"/>
      <c r="I20" s="3049"/>
      <c r="J20" s="3049">
        <v>12</v>
      </c>
      <c r="K20" s="3052" t="s">
        <v>727</v>
      </c>
      <c r="L20" s="3052" t="s">
        <v>728</v>
      </c>
      <c r="M20" s="3049">
        <v>3</v>
      </c>
      <c r="N20" s="3049" t="s">
        <v>729</v>
      </c>
      <c r="O20" s="3049" t="s">
        <v>730</v>
      </c>
      <c r="P20" s="3052" t="s">
        <v>731</v>
      </c>
      <c r="Q20" s="3051">
        <f>(+V20+V21)/R20</f>
        <v>1</v>
      </c>
      <c r="R20" s="3064">
        <f>SUM(V20:V21)</f>
        <v>1190000000</v>
      </c>
      <c r="S20" s="3052" t="s">
        <v>732</v>
      </c>
      <c r="T20" s="1947" t="s">
        <v>733</v>
      </c>
      <c r="U20" s="1958" t="s">
        <v>734</v>
      </c>
      <c r="V20" s="2067">
        <v>440000000</v>
      </c>
      <c r="W20" s="1626">
        <v>27</v>
      </c>
      <c r="X20" s="1963" t="s">
        <v>698</v>
      </c>
      <c r="Y20" s="3068">
        <v>294321</v>
      </c>
      <c r="Z20" s="3068">
        <v>283947</v>
      </c>
      <c r="AA20" s="3068">
        <v>135754</v>
      </c>
      <c r="AB20" s="3068">
        <v>44640</v>
      </c>
      <c r="AC20" s="3068">
        <v>308178</v>
      </c>
      <c r="AD20" s="3068">
        <v>89696</v>
      </c>
      <c r="AE20" s="3068">
        <v>2145</v>
      </c>
      <c r="AF20" s="3068">
        <v>12718</v>
      </c>
      <c r="AG20" s="3068">
        <v>26</v>
      </c>
      <c r="AH20" s="3068">
        <v>37</v>
      </c>
      <c r="AI20" s="3068">
        <v>0</v>
      </c>
      <c r="AJ20" s="3068">
        <v>0</v>
      </c>
      <c r="AK20" s="3068">
        <v>54612</v>
      </c>
      <c r="AL20" s="3068">
        <v>21944</v>
      </c>
      <c r="AM20" s="3068">
        <v>1010</v>
      </c>
      <c r="AN20" s="3068">
        <v>578268</v>
      </c>
      <c r="AO20" s="3074">
        <v>43466</v>
      </c>
      <c r="AP20" s="3074">
        <v>43830</v>
      </c>
      <c r="AQ20" s="3073"/>
    </row>
    <row r="21" spans="1:47" s="1" customFormat="1" ht="66.75" customHeight="1" x14ac:dyDescent="0.2">
      <c r="A21" s="3104"/>
      <c r="B21" s="3105"/>
      <c r="C21" s="3105"/>
      <c r="D21" s="3106"/>
      <c r="E21" s="3106"/>
      <c r="F21" s="3106"/>
      <c r="G21" s="3049"/>
      <c r="H21" s="3049"/>
      <c r="I21" s="3049"/>
      <c r="J21" s="3049"/>
      <c r="K21" s="3052"/>
      <c r="L21" s="3052"/>
      <c r="M21" s="3049"/>
      <c r="N21" s="3049"/>
      <c r="O21" s="3049"/>
      <c r="P21" s="3052"/>
      <c r="Q21" s="3051"/>
      <c r="R21" s="3065"/>
      <c r="S21" s="3052"/>
      <c r="T21" s="1947" t="s">
        <v>735</v>
      </c>
      <c r="U21" s="1958" t="s">
        <v>736</v>
      </c>
      <c r="V21" s="2067">
        <v>750000000</v>
      </c>
      <c r="W21" s="1626">
        <v>27</v>
      </c>
      <c r="X21" s="1963" t="s">
        <v>698</v>
      </c>
      <c r="Y21" s="3068"/>
      <c r="Z21" s="3068"/>
      <c r="AA21" s="3068"/>
      <c r="AB21" s="3068"/>
      <c r="AC21" s="3068"/>
      <c r="AD21" s="3068"/>
      <c r="AE21" s="3068"/>
      <c r="AF21" s="3068"/>
      <c r="AG21" s="3068"/>
      <c r="AH21" s="3068"/>
      <c r="AI21" s="3068"/>
      <c r="AJ21" s="3068"/>
      <c r="AK21" s="3068"/>
      <c r="AL21" s="3068"/>
      <c r="AM21" s="3068"/>
      <c r="AN21" s="3068"/>
      <c r="AO21" s="3074"/>
      <c r="AP21" s="3074"/>
      <c r="AQ21" s="3073"/>
    </row>
    <row r="22" spans="1:47" ht="27" customHeight="1" x14ac:dyDescent="0.2">
      <c r="A22" s="280" t="s">
        <v>737</v>
      </c>
      <c r="B22" s="668" t="s">
        <v>738</v>
      </c>
      <c r="C22" s="668"/>
      <c r="D22" s="668"/>
      <c r="E22" s="668"/>
      <c r="F22" s="2142"/>
      <c r="G22" s="282"/>
      <c r="H22" s="281"/>
      <c r="I22" s="281"/>
      <c r="J22" s="669"/>
      <c r="K22" s="669"/>
      <c r="L22" s="669"/>
      <c r="M22" s="670"/>
      <c r="N22" s="670"/>
      <c r="O22" s="670"/>
      <c r="P22" s="669"/>
      <c r="Q22" s="669"/>
      <c r="R22" s="671"/>
      <c r="S22" s="669"/>
      <c r="T22" s="281"/>
      <c r="U22" s="1425"/>
      <c r="V22" s="2118"/>
      <c r="W22" s="672"/>
      <c r="X22" s="673"/>
      <c r="Y22" s="674"/>
      <c r="Z22" s="675"/>
      <c r="AA22" s="675"/>
      <c r="AB22" s="675"/>
      <c r="AC22" s="675"/>
      <c r="AD22" s="675"/>
      <c r="AE22" s="675"/>
      <c r="AF22" s="675"/>
      <c r="AG22" s="675"/>
      <c r="AH22" s="675"/>
      <c r="AI22" s="675"/>
      <c r="AJ22" s="675"/>
      <c r="AK22" s="675"/>
      <c r="AL22" s="283"/>
      <c r="AM22" s="283"/>
      <c r="AN22" s="676"/>
      <c r="AO22" s="677"/>
      <c r="AP22" s="677"/>
      <c r="AQ22" s="2143"/>
      <c r="AR22" s="397"/>
      <c r="AS22" s="397"/>
      <c r="AT22" s="397"/>
      <c r="AU22" s="397"/>
    </row>
    <row r="23" spans="1:47" ht="27" customHeight="1" x14ac:dyDescent="0.2">
      <c r="A23" s="3109" t="s">
        <v>739</v>
      </c>
      <c r="B23" s="3053"/>
      <c r="C23" s="3053"/>
      <c r="D23" s="678" t="s">
        <v>740</v>
      </c>
      <c r="E23" s="3110" t="s">
        <v>741</v>
      </c>
      <c r="F23" s="3110"/>
      <c r="G23" s="3110"/>
      <c r="H23" s="3110"/>
      <c r="I23" s="3110"/>
      <c r="J23" s="3110"/>
      <c r="K23" s="3110"/>
      <c r="L23" s="3110"/>
      <c r="M23" s="285"/>
      <c r="N23" s="285"/>
      <c r="O23" s="285"/>
      <c r="P23" s="284"/>
      <c r="Q23" s="284"/>
      <c r="R23" s="679"/>
      <c r="S23" s="284"/>
      <c r="T23" s="284"/>
      <c r="U23" s="1426"/>
      <c r="V23" s="2119"/>
      <c r="W23" s="680"/>
      <c r="X23" s="681"/>
      <c r="Y23" s="682"/>
      <c r="Z23" s="286"/>
      <c r="AA23" s="286"/>
      <c r="AB23" s="286"/>
      <c r="AC23" s="286"/>
      <c r="AD23" s="286"/>
      <c r="AE23" s="286"/>
      <c r="AF23" s="286"/>
      <c r="AG23" s="286"/>
      <c r="AH23" s="286"/>
      <c r="AI23" s="286"/>
      <c r="AJ23" s="286"/>
      <c r="AK23" s="286"/>
      <c r="AL23" s="287"/>
      <c r="AM23" s="287"/>
      <c r="AN23" s="288"/>
      <c r="AO23" s="289"/>
      <c r="AP23" s="289"/>
      <c r="AQ23" s="2144"/>
      <c r="AR23" s="397"/>
      <c r="AS23" s="397"/>
      <c r="AT23" s="397"/>
      <c r="AU23" s="397"/>
    </row>
    <row r="24" spans="1:47" ht="27" customHeight="1" x14ac:dyDescent="0.2">
      <c r="A24" s="3109"/>
      <c r="B24" s="3053"/>
      <c r="C24" s="3053"/>
      <c r="D24" s="3053" t="s">
        <v>739</v>
      </c>
      <c r="E24" s="3053"/>
      <c r="F24" s="3053"/>
      <c r="G24" s="612" t="s">
        <v>742</v>
      </c>
      <c r="H24" s="292" t="s">
        <v>743</v>
      </c>
      <c r="I24" s="292"/>
      <c r="J24" s="292"/>
      <c r="K24" s="291"/>
      <c r="L24" s="291"/>
      <c r="M24" s="290"/>
      <c r="N24" s="290"/>
      <c r="O24" s="290"/>
      <c r="P24" s="291"/>
      <c r="Q24" s="291"/>
      <c r="R24" s="683"/>
      <c r="S24" s="291"/>
      <c r="T24" s="291"/>
      <c r="U24" s="1427"/>
      <c r="V24" s="2120"/>
      <c r="W24" s="684"/>
      <c r="X24" s="1037"/>
      <c r="Y24" s="685"/>
      <c r="Z24" s="292"/>
      <c r="AA24" s="292"/>
      <c r="AB24" s="292"/>
      <c r="AC24" s="292"/>
      <c r="AD24" s="292"/>
      <c r="AE24" s="292"/>
      <c r="AF24" s="292"/>
      <c r="AG24" s="292"/>
      <c r="AH24" s="292"/>
      <c r="AI24" s="292"/>
      <c r="AJ24" s="292"/>
      <c r="AK24" s="292"/>
      <c r="AL24" s="293"/>
      <c r="AM24" s="293"/>
      <c r="AN24" s="294"/>
      <c r="AO24" s="295"/>
      <c r="AP24" s="295"/>
      <c r="AQ24" s="2145"/>
      <c r="AR24" s="397"/>
      <c r="AS24" s="397"/>
      <c r="AT24" s="397"/>
      <c r="AU24" s="397"/>
    </row>
    <row r="25" spans="1:47" ht="45" customHeight="1" x14ac:dyDescent="0.25">
      <c r="A25" s="3109"/>
      <c r="B25" s="3053"/>
      <c r="C25" s="3053"/>
      <c r="D25" s="3053"/>
      <c r="E25" s="3053"/>
      <c r="F25" s="3053"/>
      <c r="G25" s="3041" t="s">
        <v>739</v>
      </c>
      <c r="H25" s="3042"/>
      <c r="I25" s="3111"/>
      <c r="J25" s="3113">
        <v>54</v>
      </c>
      <c r="K25" s="3045" t="s">
        <v>744</v>
      </c>
      <c r="L25" s="3045" t="s">
        <v>745</v>
      </c>
      <c r="M25" s="3055">
        <v>130</v>
      </c>
      <c r="N25" s="1919" t="s">
        <v>746</v>
      </c>
      <c r="O25" s="3055" t="s">
        <v>747</v>
      </c>
      <c r="P25" s="3045" t="s">
        <v>748</v>
      </c>
      <c r="Q25" s="2969">
        <f>SUM(V25:V31)/R25</f>
        <v>0.75862501518796777</v>
      </c>
      <c r="R25" s="3016">
        <f>SUM(V25:V37)</f>
        <v>4953451575.8999996</v>
      </c>
      <c r="S25" s="3040" t="s">
        <v>749</v>
      </c>
      <c r="T25" s="3047" t="s">
        <v>750</v>
      </c>
      <c r="U25" s="3038" t="s">
        <v>751</v>
      </c>
      <c r="V25" s="2121">
        <v>266273502</v>
      </c>
      <c r="W25" s="1734">
        <v>23</v>
      </c>
      <c r="X25" s="1735" t="s">
        <v>752</v>
      </c>
      <c r="Y25" s="3102">
        <v>294321</v>
      </c>
      <c r="Z25" s="3080">
        <v>283947</v>
      </c>
      <c r="AA25" s="3080">
        <v>135912</v>
      </c>
      <c r="AB25" s="3080">
        <v>44640</v>
      </c>
      <c r="AC25" s="3080">
        <v>308178</v>
      </c>
      <c r="AD25" s="3080">
        <v>89696</v>
      </c>
      <c r="AE25" s="3080">
        <v>2145</v>
      </c>
      <c r="AF25" s="3080">
        <v>12718</v>
      </c>
      <c r="AG25" s="3080">
        <v>26</v>
      </c>
      <c r="AH25" s="3080">
        <v>37</v>
      </c>
      <c r="AI25" s="3080">
        <v>0</v>
      </c>
      <c r="AJ25" s="3080">
        <v>0</v>
      </c>
      <c r="AK25" s="3080">
        <v>54612</v>
      </c>
      <c r="AL25" s="3080">
        <v>21944</v>
      </c>
      <c r="AM25" s="3080">
        <v>1010</v>
      </c>
      <c r="AN25" s="3080">
        <f>SUM(Y25:Z37)</f>
        <v>578268</v>
      </c>
      <c r="AO25" s="3082">
        <v>43466</v>
      </c>
      <c r="AP25" s="3082">
        <v>43830</v>
      </c>
      <c r="AQ25" s="3116" t="s">
        <v>697</v>
      </c>
      <c r="AR25" s="397"/>
      <c r="AS25" s="397"/>
      <c r="AT25" s="397"/>
      <c r="AU25" s="397"/>
    </row>
    <row r="26" spans="1:47" ht="65.25" customHeight="1" x14ac:dyDescent="0.25">
      <c r="A26" s="3109"/>
      <c r="B26" s="3053"/>
      <c r="C26" s="3053"/>
      <c r="D26" s="3053"/>
      <c r="E26" s="3053"/>
      <c r="F26" s="3053"/>
      <c r="G26" s="3043"/>
      <c r="H26" s="3044"/>
      <c r="I26" s="3112"/>
      <c r="J26" s="3114"/>
      <c r="K26" s="3046"/>
      <c r="L26" s="3046"/>
      <c r="M26" s="3115"/>
      <c r="N26" s="1943"/>
      <c r="O26" s="3115"/>
      <c r="P26" s="3046"/>
      <c r="Q26" s="2969"/>
      <c r="R26" s="3017"/>
      <c r="S26" s="3040"/>
      <c r="T26" s="3048"/>
      <c r="U26" s="3039"/>
      <c r="V26" s="2121">
        <f>0+402200000-377200000</f>
        <v>25000000</v>
      </c>
      <c r="W26" s="1734">
        <v>46</v>
      </c>
      <c r="X26" s="1735" t="s">
        <v>753</v>
      </c>
      <c r="Y26" s="3103"/>
      <c r="Z26" s="3081"/>
      <c r="AA26" s="3081"/>
      <c r="AB26" s="3081"/>
      <c r="AC26" s="3081"/>
      <c r="AD26" s="3081"/>
      <c r="AE26" s="3081"/>
      <c r="AF26" s="3081"/>
      <c r="AG26" s="3081"/>
      <c r="AH26" s="3081"/>
      <c r="AI26" s="3081"/>
      <c r="AJ26" s="3081"/>
      <c r="AK26" s="3081"/>
      <c r="AL26" s="3081"/>
      <c r="AM26" s="3081"/>
      <c r="AN26" s="3081"/>
      <c r="AO26" s="3083"/>
      <c r="AP26" s="3083"/>
      <c r="AQ26" s="3117"/>
      <c r="AR26" s="397"/>
      <c r="AS26" s="397"/>
      <c r="AT26" s="397"/>
      <c r="AU26" s="397"/>
    </row>
    <row r="27" spans="1:47" ht="56.25" customHeight="1" x14ac:dyDescent="0.25">
      <c r="A27" s="3109"/>
      <c r="B27" s="3053"/>
      <c r="C27" s="3053"/>
      <c r="D27" s="3053"/>
      <c r="E27" s="3053"/>
      <c r="F27" s="3053"/>
      <c r="G27" s="3043"/>
      <c r="H27" s="3044"/>
      <c r="I27" s="3112"/>
      <c r="J27" s="3114"/>
      <c r="K27" s="3046"/>
      <c r="L27" s="3046"/>
      <c r="M27" s="3115"/>
      <c r="N27" s="1943"/>
      <c r="O27" s="3115"/>
      <c r="P27" s="3046"/>
      <c r="Q27" s="2969"/>
      <c r="R27" s="3017"/>
      <c r="S27" s="3040"/>
      <c r="T27" s="3048"/>
      <c r="U27" s="2127" t="s">
        <v>754</v>
      </c>
      <c r="V27" s="2121">
        <v>193300000</v>
      </c>
      <c r="W27" s="1734">
        <v>23</v>
      </c>
      <c r="X27" s="1735" t="s">
        <v>752</v>
      </c>
      <c r="Y27" s="3103"/>
      <c r="Z27" s="3081"/>
      <c r="AA27" s="3081"/>
      <c r="AB27" s="3081"/>
      <c r="AC27" s="3081"/>
      <c r="AD27" s="3081"/>
      <c r="AE27" s="3081"/>
      <c r="AF27" s="3081"/>
      <c r="AG27" s="3081"/>
      <c r="AH27" s="3081"/>
      <c r="AI27" s="3081"/>
      <c r="AJ27" s="3081"/>
      <c r="AK27" s="3081"/>
      <c r="AL27" s="3081"/>
      <c r="AM27" s="3081"/>
      <c r="AN27" s="3081"/>
      <c r="AO27" s="3083"/>
      <c r="AP27" s="3083"/>
      <c r="AQ27" s="3117"/>
      <c r="AR27" s="1054"/>
      <c r="AS27" s="397"/>
      <c r="AT27" s="397"/>
      <c r="AU27" s="397"/>
    </row>
    <row r="28" spans="1:47" ht="32.25" customHeight="1" x14ac:dyDescent="0.25">
      <c r="A28" s="3109"/>
      <c r="B28" s="3053"/>
      <c r="C28" s="3053"/>
      <c r="D28" s="3053"/>
      <c r="E28" s="3053"/>
      <c r="F28" s="3053"/>
      <c r="G28" s="3043"/>
      <c r="H28" s="3044"/>
      <c r="I28" s="3112"/>
      <c r="J28" s="3114"/>
      <c r="K28" s="3046"/>
      <c r="L28" s="3046"/>
      <c r="M28" s="3115"/>
      <c r="N28" s="1943" t="s">
        <v>755</v>
      </c>
      <c r="O28" s="3115"/>
      <c r="P28" s="3046"/>
      <c r="Q28" s="2969"/>
      <c r="R28" s="3017"/>
      <c r="S28" s="3040"/>
      <c r="T28" s="3048"/>
      <c r="U28" s="3121" t="s">
        <v>756</v>
      </c>
      <c r="V28" s="2121">
        <f>2000000000-402200000-538284959</f>
        <v>1059515041</v>
      </c>
      <c r="W28" s="1734">
        <v>46</v>
      </c>
      <c r="X28" s="1735" t="s">
        <v>753</v>
      </c>
      <c r="Y28" s="3103"/>
      <c r="Z28" s="3081"/>
      <c r="AA28" s="3081"/>
      <c r="AB28" s="3081"/>
      <c r="AC28" s="3081"/>
      <c r="AD28" s="3081"/>
      <c r="AE28" s="3081"/>
      <c r="AF28" s="3081"/>
      <c r="AG28" s="3081"/>
      <c r="AH28" s="3081"/>
      <c r="AI28" s="3081"/>
      <c r="AJ28" s="3081"/>
      <c r="AK28" s="3081"/>
      <c r="AL28" s="3081"/>
      <c r="AM28" s="3081"/>
      <c r="AN28" s="3081"/>
      <c r="AO28" s="3083"/>
      <c r="AP28" s="3083"/>
      <c r="AQ28" s="3117"/>
      <c r="AR28" s="397"/>
      <c r="AS28" s="397"/>
      <c r="AT28" s="397"/>
      <c r="AU28" s="397"/>
    </row>
    <row r="29" spans="1:47" ht="31.5" customHeight="1" x14ac:dyDescent="0.25">
      <c r="A29" s="3109"/>
      <c r="B29" s="3053"/>
      <c r="C29" s="3053"/>
      <c r="D29" s="3053"/>
      <c r="E29" s="3053"/>
      <c r="F29" s="3053"/>
      <c r="G29" s="3043"/>
      <c r="H29" s="3044"/>
      <c r="I29" s="3112"/>
      <c r="J29" s="3114"/>
      <c r="K29" s="3046"/>
      <c r="L29" s="3046"/>
      <c r="M29" s="3115"/>
      <c r="N29" s="1943"/>
      <c r="O29" s="3115"/>
      <c r="P29" s="3046"/>
      <c r="Q29" s="2969"/>
      <c r="R29" s="3017"/>
      <c r="S29" s="3040"/>
      <c r="T29" s="3048"/>
      <c r="U29" s="3121"/>
      <c r="V29" s="2121">
        <f>1565383782-8079037</f>
        <v>1557304745</v>
      </c>
      <c r="W29" s="1734">
        <v>157</v>
      </c>
      <c r="X29" s="1735" t="s">
        <v>757</v>
      </c>
      <c r="Y29" s="3103"/>
      <c r="Z29" s="3081"/>
      <c r="AA29" s="3081"/>
      <c r="AB29" s="3081"/>
      <c r="AC29" s="3081"/>
      <c r="AD29" s="3081"/>
      <c r="AE29" s="3081"/>
      <c r="AF29" s="3081"/>
      <c r="AG29" s="3081"/>
      <c r="AH29" s="3081"/>
      <c r="AI29" s="3081"/>
      <c r="AJ29" s="3081"/>
      <c r="AK29" s="3081"/>
      <c r="AL29" s="3081"/>
      <c r="AM29" s="3081"/>
      <c r="AN29" s="3081"/>
      <c r="AO29" s="3083"/>
      <c r="AP29" s="3083"/>
      <c r="AQ29" s="3117"/>
      <c r="AR29" s="397"/>
      <c r="AS29" s="397"/>
      <c r="AT29" s="397"/>
      <c r="AU29" s="397"/>
    </row>
    <row r="30" spans="1:47" ht="31.5" customHeight="1" x14ac:dyDescent="0.25">
      <c r="A30" s="3109"/>
      <c r="B30" s="3053"/>
      <c r="C30" s="3053"/>
      <c r="D30" s="3053"/>
      <c r="E30" s="3053"/>
      <c r="F30" s="3053"/>
      <c r="G30" s="3043"/>
      <c r="H30" s="3044"/>
      <c r="I30" s="3112"/>
      <c r="J30" s="3114"/>
      <c r="K30" s="3046"/>
      <c r="L30" s="3046"/>
      <c r="M30" s="3115"/>
      <c r="N30" s="1943"/>
      <c r="O30" s="3115"/>
      <c r="P30" s="3046"/>
      <c r="Q30" s="2969"/>
      <c r="R30" s="3017"/>
      <c r="S30" s="3040"/>
      <c r="T30" s="3048"/>
      <c r="U30" s="3121"/>
      <c r="V30" s="2121">
        <f>0+393689004</f>
        <v>393689004</v>
      </c>
      <c r="W30" s="1734">
        <v>88</v>
      </c>
      <c r="X30" s="1735" t="s">
        <v>710</v>
      </c>
      <c r="Y30" s="3103"/>
      <c r="Z30" s="3081"/>
      <c r="AA30" s="3081"/>
      <c r="AB30" s="3081"/>
      <c r="AC30" s="3081"/>
      <c r="AD30" s="3081"/>
      <c r="AE30" s="3081"/>
      <c r="AF30" s="3081"/>
      <c r="AG30" s="3081"/>
      <c r="AH30" s="3081"/>
      <c r="AI30" s="3081"/>
      <c r="AJ30" s="3081"/>
      <c r="AK30" s="3081"/>
      <c r="AL30" s="3081"/>
      <c r="AM30" s="3081"/>
      <c r="AN30" s="3081"/>
      <c r="AO30" s="3083"/>
      <c r="AP30" s="3083"/>
      <c r="AQ30" s="3117"/>
      <c r="AR30" s="397"/>
      <c r="AS30" s="397"/>
      <c r="AT30" s="397"/>
      <c r="AU30" s="397"/>
    </row>
    <row r="31" spans="1:47" ht="76.5" customHeight="1" thickBot="1" x14ac:dyDescent="0.3">
      <c r="A31" s="3109"/>
      <c r="B31" s="3053"/>
      <c r="C31" s="3053"/>
      <c r="D31" s="3053"/>
      <c r="E31" s="3053"/>
      <c r="F31" s="3053"/>
      <c r="G31" s="3043"/>
      <c r="H31" s="3044"/>
      <c r="I31" s="3112"/>
      <c r="J31" s="3114"/>
      <c r="K31" s="3046"/>
      <c r="L31" s="3046"/>
      <c r="M31" s="3115"/>
      <c r="N31" s="1943" t="s">
        <v>758</v>
      </c>
      <c r="O31" s="3115"/>
      <c r="P31" s="3046"/>
      <c r="Q31" s="2969"/>
      <c r="R31" s="3017"/>
      <c r="S31" s="3040"/>
      <c r="T31" s="3048"/>
      <c r="U31" s="2128" t="s">
        <v>759</v>
      </c>
      <c r="V31" s="2121">
        <f>320000000-57270015</f>
        <v>262729985</v>
      </c>
      <c r="W31" s="1734">
        <v>46</v>
      </c>
      <c r="X31" s="1735" t="s">
        <v>753</v>
      </c>
      <c r="Y31" s="3103"/>
      <c r="Z31" s="3081"/>
      <c r="AA31" s="3081"/>
      <c r="AB31" s="3081"/>
      <c r="AC31" s="3081"/>
      <c r="AD31" s="3081"/>
      <c r="AE31" s="3081"/>
      <c r="AF31" s="3081"/>
      <c r="AG31" s="3081"/>
      <c r="AH31" s="3081"/>
      <c r="AI31" s="3081"/>
      <c r="AJ31" s="3081"/>
      <c r="AK31" s="3081"/>
      <c r="AL31" s="3081"/>
      <c r="AM31" s="3081"/>
      <c r="AN31" s="3081"/>
      <c r="AO31" s="3083"/>
      <c r="AP31" s="3083"/>
      <c r="AQ31" s="3117"/>
      <c r="AR31" s="397"/>
      <c r="AS31" s="397"/>
      <c r="AT31" s="397"/>
      <c r="AU31" s="397"/>
    </row>
    <row r="32" spans="1:47" ht="45" customHeight="1" x14ac:dyDescent="0.25">
      <c r="A32" s="3109"/>
      <c r="B32" s="3053"/>
      <c r="C32" s="3053"/>
      <c r="D32" s="3053"/>
      <c r="E32" s="3053"/>
      <c r="F32" s="3053"/>
      <c r="G32" s="3043"/>
      <c r="H32" s="3044"/>
      <c r="I32" s="3112"/>
      <c r="J32" s="3113">
        <v>55</v>
      </c>
      <c r="K32" s="3045" t="s">
        <v>760</v>
      </c>
      <c r="L32" s="3045" t="s">
        <v>761</v>
      </c>
      <c r="M32" s="3055">
        <v>12</v>
      </c>
      <c r="N32" s="2146"/>
      <c r="O32" s="3115"/>
      <c r="P32" s="3046"/>
      <c r="Q32" s="2969">
        <f>SUM(V32:V37)/R25</f>
        <v>0.24137498481203234</v>
      </c>
      <c r="R32" s="3017"/>
      <c r="S32" s="3040"/>
      <c r="T32" s="3045" t="s">
        <v>762</v>
      </c>
      <c r="U32" s="3118" t="s">
        <v>763</v>
      </c>
      <c r="V32" s="2121">
        <v>51500000</v>
      </c>
      <c r="W32" s="1734">
        <v>23</v>
      </c>
      <c r="X32" s="1735" t="s">
        <v>764</v>
      </c>
      <c r="Y32" s="3103"/>
      <c r="Z32" s="3081"/>
      <c r="AA32" s="3081"/>
      <c r="AB32" s="3081"/>
      <c r="AC32" s="3081"/>
      <c r="AD32" s="3081"/>
      <c r="AE32" s="3081"/>
      <c r="AF32" s="3081"/>
      <c r="AG32" s="3081"/>
      <c r="AH32" s="3081"/>
      <c r="AI32" s="3081"/>
      <c r="AJ32" s="3081"/>
      <c r="AK32" s="3081"/>
      <c r="AL32" s="3081"/>
      <c r="AM32" s="3081"/>
      <c r="AN32" s="3081"/>
      <c r="AO32" s="3083"/>
      <c r="AP32" s="3083"/>
      <c r="AQ32" s="3117"/>
      <c r="AR32" s="397"/>
      <c r="AS32" s="397"/>
      <c r="AT32" s="397"/>
      <c r="AU32" s="397"/>
    </row>
    <row r="33" spans="1:47" ht="45" customHeight="1" thickBot="1" x14ac:dyDescent="0.3">
      <c r="A33" s="3109"/>
      <c r="B33" s="3053"/>
      <c r="C33" s="3053"/>
      <c r="D33" s="3053"/>
      <c r="E33" s="3053"/>
      <c r="F33" s="3053"/>
      <c r="G33" s="3043"/>
      <c r="H33" s="3044"/>
      <c r="I33" s="3112"/>
      <c r="J33" s="3114"/>
      <c r="K33" s="3046"/>
      <c r="L33" s="3046"/>
      <c r="M33" s="3115"/>
      <c r="N33" s="1943" t="s">
        <v>765</v>
      </c>
      <c r="O33" s="3115"/>
      <c r="P33" s="3046"/>
      <c r="Q33" s="2969"/>
      <c r="R33" s="3017"/>
      <c r="S33" s="3040"/>
      <c r="T33" s="3046"/>
      <c r="U33" s="3120"/>
      <c r="V33" s="2121">
        <f>100000000-71833200</f>
        <v>28166800</v>
      </c>
      <c r="W33" s="1734">
        <v>46</v>
      </c>
      <c r="X33" s="1735" t="s">
        <v>766</v>
      </c>
      <c r="Y33" s="3103"/>
      <c r="Z33" s="3081"/>
      <c r="AA33" s="3081"/>
      <c r="AB33" s="3081"/>
      <c r="AC33" s="3081"/>
      <c r="AD33" s="3081"/>
      <c r="AE33" s="3081"/>
      <c r="AF33" s="3081"/>
      <c r="AG33" s="3081"/>
      <c r="AH33" s="3081"/>
      <c r="AI33" s="3081"/>
      <c r="AJ33" s="3081"/>
      <c r="AK33" s="3081"/>
      <c r="AL33" s="3081"/>
      <c r="AM33" s="3081"/>
      <c r="AN33" s="3081"/>
      <c r="AO33" s="3083"/>
      <c r="AP33" s="3083"/>
      <c r="AQ33" s="3117"/>
      <c r="AR33" s="397"/>
      <c r="AS33" s="397"/>
      <c r="AT33" s="397"/>
      <c r="AU33" s="397"/>
    </row>
    <row r="34" spans="1:47" ht="45" customHeight="1" x14ac:dyDescent="0.25">
      <c r="A34" s="3109"/>
      <c r="B34" s="3053"/>
      <c r="C34" s="3053"/>
      <c r="D34" s="3053"/>
      <c r="E34" s="3053"/>
      <c r="F34" s="3053"/>
      <c r="G34" s="3043"/>
      <c r="H34" s="3044"/>
      <c r="I34" s="3112"/>
      <c r="J34" s="3114"/>
      <c r="K34" s="3046"/>
      <c r="L34" s="3046"/>
      <c r="M34" s="3115"/>
      <c r="N34" s="2146"/>
      <c r="O34" s="3115"/>
      <c r="P34" s="3046"/>
      <c r="Q34" s="2969"/>
      <c r="R34" s="3017"/>
      <c r="S34" s="3040"/>
      <c r="T34" s="3046"/>
      <c r="U34" s="3118" t="s">
        <v>767</v>
      </c>
      <c r="V34" s="2121">
        <v>448500000</v>
      </c>
      <c r="W34" s="1734">
        <v>23</v>
      </c>
      <c r="X34" s="1735" t="s">
        <v>764</v>
      </c>
      <c r="Y34" s="3103"/>
      <c r="Z34" s="3081"/>
      <c r="AA34" s="3081"/>
      <c r="AB34" s="3081"/>
      <c r="AC34" s="3081"/>
      <c r="AD34" s="3081"/>
      <c r="AE34" s="3081"/>
      <c r="AF34" s="3081"/>
      <c r="AG34" s="3081"/>
      <c r="AH34" s="3081"/>
      <c r="AI34" s="3081"/>
      <c r="AJ34" s="3081"/>
      <c r="AK34" s="3081"/>
      <c r="AL34" s="3081"/>
      <c r="AM34" s="3081"/>
      <c r="AN34" s="3081"/>
      <c r="AO34" s="3083"/>
      <c r="AP34" s="3083"/>
      <c r="AQ34" s="3117"/>
      <c r="AR34" s="397"/>
      <c r="AS34" s="397"/>
      <c r="AT34" s="397"/>
      <c r="AU34" s="397"/>
    </row>
    <row r="35" spans="1:47" ht="45" customHeight="1" x14ac:dyDescent="0.25">
      <c r="A35" s="3109"/>
      <c r="B35" s="3053"/>
      <c r="C35" s="3053"/>
      <c r="D35" s="3053"/>
      <c r="E35" s="3053"/>
      <c r="F35" s="3053"/>
      <c r="G35" s="3043"/>
      <c r="H35" s="3044"/>
      <c r="I35" s="3112"/>
      <c r="J35" s="3114"/>
      <c r="K35" s="3046"/>
      <c r="L35" s="3046"/>
      <c r="M35" s="3115"/>
      <c r="N35" s="2146"/>
      <c r="O35" s="3115"/>
      <c r="P35" s="3046"/>
      <c r="Q35" s="2969"/>
      <c r="R35" s="3017"/>
      <c r="S35" s="3040"/>
      <c r="T35" s="3046"/>
      <c r="U35" s="3119"/>
      <c r="V35" s="2121">
        <v>42594386</v>
      </c>
      <c r="W35" s="1734">
        <v>89</v>
      </c>
      <c r="X35" s="1736" t="s">
        <v>768</v>
      </c>
      <c r="Y35" s="3103"/>
      <c r="Z35" s="3081"/>
      <c r="AA35" s="3081"/>
      <c r="AB35" s="3081"/>
      <c r="AC35" s="3081"/>
      <c r="AD35" s="3081"/>
      <c r="AE35" s="3081"/>
      <c r="AF35" s="3081"/>
      <c r="AG35" s="3081"/>
      <c r="AH35" s="3081"/>
      <c r="AI35" s="3081"/>
      <c r="AJ35" s="3081"/>
      <c r="AK35" s="3081"/>
      <c r="AL35" s="3081"/>
      <c r="AM35" s="3081"/>
      <c r="AN35" s="3081"/>
      <c r="AO35" s="3083"/>
      <c r="AP35" s="3083"/>
      <c r="AQ35" s="3117"/>
      <c r="AR35" s="397"/>
      <c r="AS35" s="397"/>
      <c r="AT35" s="397"/>
      <c r="AU35" s="397"/>
    </row>
    <row r="36" spans="1:47" ht="45" customHeight="1" x14ac:dyDescent="0.2">
      <c r="A36" s="3109"/>
      <c r="B36" s="3053"/>
      <c r="C36" s="3053"/>
      <c r="D36" s="3053"/>
      <c r="E36" s="3053"/>
      <c r="F36" s="3053"/>
      <c r="G36" s="3043"/>
      <c r="H36" s="3044"/>
      <c r="I36" s="3112"/>
      <c r="J36" s="3114"/>
      <c r="K36" s="3046"/>
      <c r="L36" s="3046"/>
      <c r="M36" s="3115"/>
      <c r="N36" s="2146" t="s">
        <v>769</v>
      </c>
      <c r="O36" s="3115"/>
      <c r="P36" s="3046"/>
      <c r="Q36" s="2969"/>
      <c r="R36" s="3017"/>
      <c r="S36" s="3040"/>
      <c r="T36" s="3046"/>
      <c r="U36" s="3120"/>
      <c r="V36" s="2121">
        <f>0+185000000</f>
        <v>185000000</v>
      </c>
      <c r="W36" s="1147">
        <v>88</v>
      </c>
      <c r="X36" s="1737" t="s">
        <v>710</v>
      </c>
      <c r="Y36" s="3103"/>
      <c r="Z36" s="3081"/>
      <c r="AA36" s="3081"/>
      <c r="AB36" s="3081"/>
      <c r="AC36" s="3081"/>
      <c r="AD36" s="3081"/>
      <c r="AE36" s="3081"/>
      <c r="AF36" s="3081"/>
      <c r="AG36" s="3081"/>
      <c r="AH36" s="3081"/>
      <c r="AI36" s="3081"/>
      <c r="AJ36" s="3081"/>
      <c r="AK36" s="3081"/>
      <c r="AL36" s="3081"/>
      <c r="AM36" s="3081"/>
      <c r="AN36" s="3081"/>
      <c r="AO36" s="3083"/>
      <c r="AP36" s="3083"/>
      <c r="AQ36" s="3117"/>
      <c r="AR36" s="397"/>
      <c r="AS36" s="397"/>
      <c r="AT36" s="397"/>
      <c r="AU36" s="397"/>
    </row>
    <row r="37" spans="1:47" ht="45" customHeight="1" x14ac:dyDescent="0.2">
      <c r="A37" s="3109"/>
      <c r="B37" s="3053"/>
      <c r="C37" s="3053"/>
      <c r="D37" s="3053"/>
      <c r="E37" s="3053"/>
      <c r="F37" s="3053"/>
      <c r="G37" s="3043"/>
      <c r="H37" s="3044"/>
      <c r="I37" s="3112"/>
      <c r="J37" s="3114"/>
      <c r="K37" s="3046"/>
      <c r="L37" s="3046"/>
      <c r="M37" s="3115"/>
      <c r="N37" s="1943"/>
      <c r="O37" s="3115"/>
      <c r="P37" s="3046"/>
      <c r="Q37" s="2969"/>
      <c r="R37" s="3017"/>
      <c r="S37" s="3040"/>
      <c r="T37" s="3046"/>
      <c r="U37" s="1457" t="s">
        <v>770</v>
      </c>
      <c r="V37" s="2121">
        <f>700000000-260121887.1</f>
        <v>439878112.89999998</v>
      </c>
      <c r="W37" s="1738">
        <v>46</v>
      </c>
      <c r="X37" s="1728" t="s">
        <v>766</v>
      </c>
      <c r="Y37" s="3103"/>
      <c r="Z37" s="3081"/>
      <c r="AA37" s="3081"/>
      <c r="AB37" s="3081"/>
      <c r="AC37" s="3081"/>
      <c r="AD37" s="3081"/>
      <c r="AE37" s="3081"/>
      <c r="AF37" s="3081"/>
      <c r="AG37" s="3081"/>
      <c r="AH37" s="3081"/>
      <c r="AI37" s="3081"/>
      <c r="AJ37" s="3081"/>
      <c r="AK37" s="3081"/>
      <c r="AL37" s="3081"/>
      <c r="AM37" s="3081"/>
      <c r="AN37" s="3081"/>
      <c r="AO37" s="3083"/>
      <c r="AP37" s="3083"/>
      <c r="AQ37" s="3117"/>
      <c r="AR37" s="397"/>
      <c r="AS37" s="397"/>
      <c r="AT37" s="397"/>
      <c r="AU37" s="397"/>
    </row>
    <row r="38" spans="1:47" ht="27" customHeight="1" x14ac:dyDescent="0.2">
      <c r="A38" s="2147"/>
      <c r="B38" s="2148"/>
      <c r="C38" s="297"/>
      <c r="D38" s="3041"/>
      <c r="E38" s="3042"/>
      <c r="F38" s="3042"/>
      <c r="G38" s="627" t="s">
        <v>771</v>
      </c>
      <c r="H38" s="296" t="s">
        <v>772</v>
      </c>
      <c r="I38" s="292"/>
      <c r="J38" s="292"/>
      <c r="K38" s="292"/>
      <c r="L38" s="292"/>
      <c r="M38" s="292"/>
      <c r="N38" s="290"/>
      <c r="O38" s="290"/>
      <c r="P38" s="292"/>
      <c r="Q38" s="292"/>
      <c r="R38" s="292"/>
      <c r="S38" s="292"/>
      <c r="T38" s="292"/>
      <c r="U38" s="1427"/>
      <c r="V38" s="2120"/>
      <c r="W38" s="1725"/>
      <c r="X38" s="2149"/>
      <c r="Y38" s="292"/>
      <c r="Z38" s="292"/>
      <c r="AA38" s="292"/>
      <c r="AB38" s="292"/>
      <c r="AC38" s="292"/>
      <c r="AD38" s="292"/>
      <c r="AE38" s="292"/>
      <c r="AF38" s="292"/>
      <c r="AG38" s="292"/>
      <c r="AH38" s="292"/>
      <c r="AI38" s="292"/>
      <c r="AJ38" s="292"/>
      <c r="AK38" s="292"/>
      <c r="AL38" s="292"/>
      <c r="AM38" s="292"/>
      <c r="AN38" s="292"/>
      <c r="AO38" s="687"/>
      <c r="AP38" s="292"/>
      <c r="AQ38" s="2150"/>
      <c r="AR38" s="397"/>
      <c r="AS38" s="397"/>
      <c r="AT38" s="397"/>
      <c r="AU38" s="397"/>
    </row>
    <row r="39" spans="1:47" ht="49.5" customHeight="1" x14ac:dyDescent="0.2">
      <c r="A39" s="2147"/>
      <c r="B39" s="2148"/>
      <c r="C39" s="297"/>
      <c r="D39" s="3043"/>
      <c r="E39" s="3044"/>
      <c r="F39" s="3044"/>
      <c r="G39" s="3053"/>
      <c r="H39" s="3053"/>
      <c r="I39" s="3053"/>
      <c r="J39" s="3129">
        <v>57</v>
      </c>
      <c r="K39" s="3045" t="s">
        <v>773</v>
      </c>
      <c r="L39" s="3045" t="s">
        <v>774</v>
      </c>
      <c r="M39" s="3055">
        <v>12</v>
      </c>
      <c r="N39" s="3122" t="s">
        <v>775</v>
      </c>
      <c r="O39" s="3055" t="s">
        <v>776</v>
      </c>
      <c r="P39" s="3047" t="s">
        <v>777</v>
      </c>
      <c r="Q39" s="2969">
        <f>SUM(V39:V43)/R39</f>
        <v>0.32649909622717233</v>
      </c>
      <c r="R39" s="3028">
        <f>SUM(V39:V59)</f>
        <v>10830826553.16</v>
      </c>
      <c r="S39" s="3045" t="s">
        <v>778</v>
      </c>
      <c r="T39" s="3047" t="s">
        <v>779</v>
      </c>
      <c r="U39" s="2129" t="s">
        <v>780</v>
      </c>
      <c r="V39" s="2121">
        <f>174840000-1440000</f>
        <v>173400000</v>
      </c>
      <c r="W39" s="1726" t="s">
        <v>695</v>
      </c>
      <c r="X39" s="1729" t="s">
        <v>781</v>
      </c>
      <c r="Y39" s="3125">
        <v>294321</v>
      </c>
      <c r="Z39" s="3125">
        <v>283947</v>
      </c>
      <c r="AA39" s="3125">
        <v>135754</v>
      </c>
      <c r="AB39" s="3125">
        <v>44640</v>
      </c>
      <c r="AC39" s="3125">
        <v>308178</v>
      </c>
      <c r="AD39" s="3125">
        <v>89696</v>
      </c>
      <c r="AE39" s="3125">
        <v>2145</v>
      </c>
      <c r="AF39" s="3125">
        <v>12178</v>
      </c>
      <c r="AG39" s="3125">
        <v>26</v>
      </c>
      <c r="AH39" s="3125">
        <v>37</v>
      </c>
      <c r="AI39" s="3125">
        <v>0</v>
      </c>
      <c r="AJ39" s="3125">
        <v>0</v>
      </c>
      <c r="AK39" s="3122">
        <v>54612</v>
      </c>
      <c r="AL39" s="3122">
        <v>21944</v>
      </c>
      <c r="AM39" s="3142">
        <v>1010</v>
      </c>
      <c r="AN39" s="3142">
        <v>578268</v>
      </c>
      <c r="AO39" s="3082">
        <v>43466</v>
      </c>
      <c r="AP39" s="3082">
        <v>43830</v>
      </c>
      <c r="AQ39" s="3145" t="s">
        <v>697</v>
      </c>
      <c r="AR39" s="397"/>
      <c r="AS39" s="397"/>
      <c r="AT39" s="397"/>
      <c r="AU39" s="397"/>
    </row>
    <row r="40" spans="1:47" ht="49.5" customHeight="1" x14ac:dyDescent="0.2">
      <c r="A40" s="2147"/>
      <c r="B40" s="2148"/>
      <c r="C40" s="297"/>
      <c r="D40" s="3043"/>
      <c r="E40" s="3044"/>
      <c r="F40" s="3044"/>
      <c r="G40" s="3053"/>
      <c r="H40" s="3053"/>
      <c r="I40" s="3053"/>
      <c r="J40" s="3130"/>
      <c r="K40" s="3046"/>
      <c r="L40" s="3046"/>
      <c r="M40" s="3115"/>
      <c r="N40" s="3123"/>
      <c r="O40" s="3115"/>
      <c r="P40" s="3048"/>
      <c r="Q40" s="2969"/>
      <c r="R40" s="3029"/>
      <c r="S40" s="3046"/>
      <c r="T40" s="3048"/>
      <c r="U40" s="1944" t="s">
        <v>782</v>
      </c>
      <c r="V40" s="2121">
        <f>1025160000-362399300</f>
        <v>662760700</v>
      </c>
      <c r="W40" s="1726" t="s">
        <v>695</v>
      </c>
      <c r="X40" s="1729" t="s">
        <v>781</v>
      </c>
      <c r="Y40" s="3126"/>
      <c r="Z40" s="3126"/>
      <c r="AA40" s="3126"/>
      <c r="AB40" s="3126"/>
      <c r="AC40" s="3126"/>
      <c r="AD40" s="3126"/>
      <c r="AE40" s="3126"/>
      <c r="AF40" s="3126"/>
      <c r="AG40" s="3126"/>
      <c r="AH40" s="3126"/>
      <c r="AI40" s="3126"/>
      <c r="AJ40" s="3126"/>
      <c r="AK40" s="3123"/>
      <c r="AL40" s="3123"/>
      <c r="AM40" s="3143"/>
      <c r="AN40" s="3143"/>
      <c r="AO40" s="3083"/>
      <c r="AP40" s="3083"/>
      <c r="AQ40" s="3146"/>
      <c r="AR40" s="397"/>
      <c r="AS40" s="397"/>
      <c r="AT40" s="397"/>
      <c r="AU40" s="397"/>
    </row>
    <row r="41" spans="1:47" ht="49.5" customHeight="1" x14ac:dyDescent="0.2">
      <c r="A41" s="2147"/>
      <c r="B41" s="2148"/>
      <c r="C41" s="297"/>
      <c r="D41" s="3043"/>
      <c r="E41" s="3044"/>
      <c r="F41" s="3044"/>
      <c r="G41" s="3053"/>
      <c r="H41" s="3053"/>
      <c r="I41" s="3053"/>
      <c r="J41" s="3130"/>
      <c r="K41" s="3046"/>
      <c r="L41" s="3046"/>
      <c r="M41" s="3115"/>
      <c r="N41" s="3123"/>
      <c r="O41" s="3115"/>
      <c r="P41" s="3048"/>
      <c r="Q41" s="2969"/>
      <c r="R41" s="3029"/>
      <c r="S41" s="3046"/>
      <c r="T41" s="3048"/>
      <c r="U41" s="3132" t="s">
        <v>783</v>
      </c>
      <c r="V41" s="2121">
        <f>1500000000-506160700</f>
        <v>993839300</v>
      </c>
      <c r="W41" s="1726" t="s">
        <v>695</v>
      </c>
      <c r="X41" s="1729" t="s">
        <v>781</v>
      </c>
      <c r="Y41" s="3126"/>
      <c r="Z41" s="3126"/>
      <c r="AA41" s="3126"/>
      <c r="AB41" s="3126"/>
      <c r="AC41" s="3126"/>
      <c r="AD41" s="3126"/>
      <c r="AE41" s="3126"/>
      <c r="AF41" s="3126"/>
      <c r="AG41" s="3126"/>
      <c r="AH41" s="3126"/>
      <c r="AI41" s="3126"/>
      <c r="AJ41" s="3126"/>
      <c r="AK41" s="3123"/>
      <c r="AL41" s="3123"/>
      <c r="AM41" s="3143"/>
      <c r="AN41" s="3143"/>
      <c r="AO41" s="3083"/>
      <c r="AP41" s="3083"/>
      <c r="AQ41" s="3146"/>
      <c r="AR41" s="397"/>
      <c r="AS41" s="397"/>
      <c r="AT41" s="397"/>
      <c r="AU41" s="397"/>
    </row>
    <row r="42" spans="1:47" ht="49.5" customHeight="1" x14ac:dyDescent="0.2">
      <c r="A42" s="2147"/>
      <c r="B42" s="2148"/>
      <c r="C42" s="297"/>
      <c r="D42" s="3043"/>
      <c r="E42" s="3044"/>
      <c r="F42" s="3044"/>
      <c r="G42" s="3053"/>
      <c r="H42" s="3053"/>
      <c r="I42" s="3053"/>
      <c r="J42" s="3130"/>
      <c r="K42" s="3046"/>
      <c r="L42" s="3046"/>
      <c r="M42" s="3115"/>
      <c r="N42" s="3123"/>
      <c r="O42" s="3115"/>
      <c r="P42" s="3048"/>
      <c r="Q42" s="2969"/>
      <c r="R42" s="3029"/>
      <c r="S42" s="3046"/>
      <c r="T42" s="3048"/>
      <c r="U42" s="3132"/>
      <c r="V42" s="2121">
        <v>1706255081</v>
      </c>
      <c r="W42" s="1726" t="s">
        <v>700</v>
      </c>
      <c r="X42" s="1729" t="s">
        <v>784</v>
      </c>
      <c r="Y42" s="3126"/>
      <c r="Z42" s="3126"/>
      <c r="AA42" s="3126"/>
      <c r="AB42" s="3126"/>
      <c r="AC42" s="3126"/>
      <c r="AD42" s="3126"/>
      <c r="AE42" s="3126"/>
      <c r="AF42" s="3126"/>
      <c r="AG42" s="3126"/>
      <c r="AH42" s="3126"/>
      <c r="AI42" s="3126"/>
      <c r="AJ42" s="3126"/>
      <c r="AK42" s="3123"/>
      <c r="AL42" s="3123"/>
      <c r="AM42" s="3143"/>
      <c r="AN42" s="3143"/>
      <c r="AO42" s="3083"/>
      <c r="AP42" s="3083"/>
      <c r="AQ42" s="3146"/>
      <c r="AR42" s="397"/>
      <c r="AS42" s="397"/>
      <c r="AT42" s="397"/>
      <c r="AU42" s="397"/>
    </row>
    <row r="43" spans="1:47" ht="49.5" customHeight="1" x14ac:dyDescent="0.2">
      <c r="A43" s="2147"/>
      <c r="B43" s="2148"/>
      <c r="C43" s="297"/>
      <c r="D43" s="3043"/>
      <c r="E43" s="3044"/>
      <c r="F43" s="3044"/>
      <c r="G43" s="3053"/>
      <c r="H43" s="3053"/>
      <c r="I43" s="3053"/>
      <c r="J43" s="3130"/>
      <c r="K43" s="3046"/>
      <c r="L43" s="3046"/>
      <c r="M43" s="3115"/>
      <c r="N43" s="3123"/>
      <c r="O43" s="3115"/>
      <c r="P43" s="3048"/>
      <c r="Q43" s="2969"/>
      <c r="R43" s="3029"/>
      <c r="S43" s="3046"/>
      <c r="T43" s="3048"/>
      <c r="U43" s="2130" t="s">
        <v>785</v>
      </c>
      <c r="V43" s="2121">
        <f>100000000-100000000</f>
        <v>0</v>
      </c>
      <c r="W43" s="1726" t="s">
        <v>695</v>
      </c>
      <c r="X43" s="1729" t="s">
        <v>781</v>
      </c>
      <c r="Y43" s="3126"/>
      <c r="Z43" s="3126"/>
      <c r="AA43" s="3126"/>
      <c r="AB43" s="3126"/>
      <c r="AC43" s="3126"/>
      <c r="AD43" s="3126"/>
      <c r="AE43" s="3126"/>
      <c r="AF43" s="3126"/>
      <c r="AG43" s="3126"/>
      <c r="AH43" s="3126"/>
      <c r="AI43" s="3126"/>
      <c r="AJ43" s="3126"/>
      <c r="AK43" s="3123"/>
      <c r="AL43" s="3123"/>
      <c r="AM43" s="3143"/>
      <c r="AN43" s="3143"/>
      <c r="AO43" s="3083"/>
      <c r="AP43" s="3083"/>
      <c r="AQ43" s="3146"/>
      <c r="AR43" s="397"/>
      <c r="AS43" s="397"/>
      <c r="AT43" s="397"/>
      <c r="AU43" s="397"/>
    </row>
    <row r="44" spans="1:47" ht="49.5" customHeight="1" x14ac:dyDescent="0.2">
      <c r="A44" s="2151"/>
      <c r="B44" s="2152"/>
      <c r="C44" s="1047"/>
      <c r="D44" s="3043"/>
      <c r="E44" s="3044"/>
      <c r="F44" s="3044"/>
      <c r="G44" s="3053"/>
      <c r="H44" s="3053"/>
      <c r="I44" s="3053"/>
      <c r="J44" s="3129">
        <v>58</v>
      </c>
      <c r="K44" s="2691" t="s">
        <v>786</v>
      </c>
      <c r="L44" s="2691" t="s">
        <v>787</v>
      </c>
      <c r="M44" s="3122">
        <v>1</v>
      </c>
      <c r="N44" s="3123"/>
      <c r="O44" s="3115"/>
      <c r="P44" s="3048"/>
      <c r="Q44" s="2969">
        <f>SUM(V44:V45)/R39</f>
        <v>8.323077288473342E-2</v>
      </c>
      <c r="R44" s="3029"/>
      <c r="S44" s="3046"/>
      <c r="T44" s="3048"/>
      <c r="U44" s="1457" t="s">
        <v>788</v>
      </c>
      <c r="V44" s="2121">
        <f>4181825364-3280367299</f>
        <v>901458065</v>
      </c>
      <c r="W44" s="1724">
        <v>46</v>
      </c>
      <c r="X44" s="1038" t="s">
        <v>753</v>
      </c>
      <c r="Y44" s="3126"/>
      <c r="Z44" s="3126"/>
      <c r="AA44" s="3126"/>
      <c r="AB44" s="3126"/>
      <c r="AC44" s="3126"/>
      <c r="AD44" s="3126"/>
      <c r="AE44" s="3126"/>
      <c r="AF44" s="3126"/>
      <c r="AG44" s="3126"/>
      <c r="AH44" s="3126"/>
      <c r="AI44" s="3126"/>
      <c r="AJ44" s="3126"/>
      <c r="AK44" s="3123"/>
      <c r="AL44" s="3123"/>
      <c r="AM44" s="3143"/>
      <c r="AN44" s="3143"/>
      <c r="AO44" s="3083"/>
      <c r="AP44" s="3083"/>
      <c r="AQ44" s="3146"/>
      <c r="AR44" s="1048"/>
      <c r="AS44" s="1048"/>
      <c r="AT44" s="1048"/>
      <c r="AU44" s="1048"/>
    </row>
    <row r="45" spans="1:47" ht="49.5" customHeight="1" x14ac:dyDescent="0.2">
      <c r="A45" s="2151"/>
      <c r="B45" s="2152"/>
      <c r="C45" s="1047"/>
      <c r="D45" s="3043"/>
      <c r="E45" s="3044"/>
      <c r="F45" s="3044"/>
      <c r="G45" s="3053"/>
      <c r="H45" s="3053"/>
      <c r="I45" s="3053"/>
      <c r="J45" s="3130"/>
      <c r="K45" s="3131"/>
      <c r="L45" s="3131"/>
      <c r="M45" s="3123"/>
      <c r="N45" s="3123"/>
      <c r="O45" s="3115"/>
      <c r="P45" s="3048"/>
      <c r="Q45" s="2969"/>
      <c r="R45" s="3029"/>
      <c r="S45" s="3046"/>
      <c r="T45" s="3048"/>
      <c r="U45" s="1457" t="s">
        <v>789</v>
      </c>
      <c r="V45" s="2121">
        <f>800000000-800000000</f>
        <v>0</v>
      </c>
      <c r="W45" s="1724">
        <v>46</v>
      </c>
      <c r="X45" s="1038" t="s">
        <v>753</v>
      </c>
      <c r="Y45" s="3126"/>
      <c r="Z45" s="3126"/>
      <c r="AA45" s="3126"/>
      <c r="AB45" s="3126"/>
      <c r="AC45" s="3126"/>
      <c r="AD45" s="3126"/>
      <c r="AE45" s="3126"/>
      <c r="AF45" s="3126"/>
      <c r="AG45" s="3126"/>
      <c r="AH45" s="3126"/>
      <c r="AI45" s="3126"/>
      <c r="AJ45" s="3126"/>
      <c r="AK45" s="3123"/>
      <c r="AL45" s="3123"/>
      <c r="AM45" s="3143"/>
      <c r="AN45" s="3143"/>
      <c r="AO45" s="3083"/>
      <c r="AP45" s="3083"/>
      <c r="AQ45" s="3146"/>
      <c r="AR45" s="1048"/>
      <c r="AS45" s="1048"/>
      <c r="AT45" s="1048"/>
      <c r="AU45" s="1048"/>
    </row>
    <row r="46" spans="1:47" ht="47.25" customHeight="1" x14ac:dyDescent="0.2">
      <c r="A46" s="2151"/>
      <c r="B46" s="2152"/>
      <c r="C46" s="1047"/>
      <c r="D46" s="3043"/>
      <c r="E46" s="3044"/>
      <c r="F46" s="3044"/>
      <c r="G46" s="3053"/>
      <c r="H46" s="3053"/>
      <c r="I46" s="3053"/>
      <c r="J46" s="3134">
        <v>59</v>
      </c>
      <c r="K46" s="2691" t="s">
        <v>790</v>
      </c>
      <c r="L46" s="3045" t="s">
        <v>791</v>
      </c>
      <c r="M46" s="3055">
        <v>12</v>
      </c>
      <c r="N46" s="3123"/>
      <c r="O46" s="3115"/>
      <c r="P46" s="3048"/>
      <c r="Q46" s="2969">
        <f>SUM(V46:V51)/R39</f>
        <v>0.27457971553725308</v>
      </c>
      <c r="R46" s="3029"/>
      <c r="S46" s="3046"/>
      <c r="T46" s="3048"/>
      <c r="U46" s="1457" t="s">
        <v>792</v>
      </c>
      <c r="V46" s="2121">
        <v>225000000</v>
      </c>
      <c r="W46" s="1727" t="s">
        <v>695</v>
      </c>
      <c r="X46" s="1730" t="s">
        <v>793</v>
      </c>
      <c r="Y46" s="3126"/>
      <c r="Z46" s="3126"/>
      <c r="AA46" s="3126"/>
      <c r="AB46" s="3126"/>
      <c r="AC46" s="3126"/>
      <c r="AD46" s="3126"/>
      <c r="AE46" s="3126"/>
      <c r="AF46" s="3126"/>
      <c r="AG46" s="3126"/>
      <c r="AH46" s="3126"/>
      <c r="AI46" s="3126"/>
      <c r="AJ46" s="3126"/>
      <c r="AK46" s="3123"/>
      <c r="AL46" s="3123"/>
      <c r="AM46" s="3143"/>
      <c r="AN46" s="3143"/>
      <c r="AO46" s="3083"/>
      <c r="AP46" s="3083"/>
      <c r="AQ46" s="3146"/>
      <c r="AR46" s="1048"/>
      <c r="AS46" s="1048"/>
      <c r="AT46" s="1048"/>
      <c r="AU46" s="1048"/>
    </row>
    <row r="47" spans="1:47" ht="24.75" customHeight="1" x14ac:dyDescent="0.2">
      <c r="A47" s="2151"/>
      <c r="B47" s="2152"/>
      <c r="C47" s="1047"/>
      <c r="D47" s="3043"/>
      <c r="E47" s="3044"/>
      <c r="F47" s="3044"/>
      <c r="G47" s="3053"/>
      <c r="H47" s="3053"/>
      <c r="I47" s="3053"/>
      <c r="J47" s="3135"/>
      <c r="K47" s="3131"/>
      <c r="L47" s="3046"/>
      <c r="M47" s="3115"/>
      <c r="N47" s="3123"/>
      <c r="O47" s="3115"/>
      <c r="P47" s="3048"/>
      <c r="Q47" s="2969"/>
      <c r="R47" s="3029"/>
      <c r="S47" s="3046"/>
      <c r="T47" s="3048"/>
      <c r="U47" s="3133" t="s">
        <v>794</v>
      </c>
      <c r="V47" s="2121">
        <v>383410000</v>
      </c>
      <c r="W47" s="1727" t="s">
        <v>695</v>
      </c>
      <c r="X47" s="1038" t="s">
        <v>793</v>
      </c>
      <c r="Y47" s="3126"/>
      <c r="Z47" s="3126"/>
      <c r="AA47" s="3126"/>
      <c r="AB47" s="3126"/>
      <c r="AC47" s="3126"/>
      <c r="AD47" s="3126"/>
      <c r="AE47" s="3126"/>
      <c r="AF47" s="3126"/>
      <c r="AG47" s="3126"/>
      <c r="AH47" s="3126"/>
      <c r="AI47" s="3126"/>
      <c r="AJ47" s="3126"/>
      <c r="AK47" s="3123"/>
      <c r="AL47" s="3123"/>
      <c r="AM47" s="3143"/>
      <c r="AN47" s="3143"/>
      <c r="AO47" s="3083"/>
      <c r="AP47" s="3083"/>
      <c r="AQ47" s="3146"/>
      <c r="AR47" s="1048"/>
      <c r="AS47" s="1048"/>
      <c r="AT47" s="1048"/>
      <c r="AU47" s="1048"/>
    </row>
    <row r="48" spans="1:47" ht="39.75" customHeight="1" x14ac:dyDescent="0.2">
      <c r="A48" s="2151"/>
      <c r="B48" s="2152"/>
      <c r="C48" s="1047"/>
      <c r="D48" s="3043"/>
      <c r="E48" s="3044"/>
      <c r="F48" s="3044"/>
      <c r="G48" s="3053"/>
      <c r="H48" s="3053"/>
      <c r="I48" s="3053"/>
      <c r="J48" s="3135"/>
      <c r="K48" s="3131"/>
      <c r="L48" s="3046"/>
      <c r="M48" s="3115"/>
      <c r="N48" s="3123"/>
      <c r="O48" s="3115"/>
      <c r="P48" s="3048"/>
      <c r="Q48" s="2969"/>
      <c r="R48" s="3029"/>
      <c r="S48" s="3046"/>
      <c r="T48" s="3048"/>
      <c r="U48" s="3120"/>
      <c r="V48" s="2121">
        <v>246521300</v>
      </c>
      <c r="W48" s="1727" t="s">
        <v>700</v>
      </c>
      <c r="X48" s="1729" t="s">
        <v>784</v>
      </c>
      <c r="Y48" s="3126"/>
      <c r="Z48" s="3126"/>
      <c r="AA48" s="3126"/>
      <c r="AB48" s="3126"/>
      <c r="AC48" s="3126"/>
      <c r="AD48" s="3126"/>
      <c r="AE48" s="3126"/>
      <c r="AF48" s="3126"/>
      <c r="AG48" s="3126"/>
      <c r="AH48" s="3126"/>
      <c r="AI48" s="3126"/>
      <c r="AJ48" s="3126"/>
      <c r="AK48" s="3123"/>
      <c r="AL48" s="3123"/>
      <c r="AM48" s="3143"/>
      <c r="AN48" s="3143"/>
      <c r="AO48" s="3083"/>
      <c r="AP48" s="3083"/>
      <c r="AQ48" s="3146"/>
      <c r="AR48" s="1048"/>
      <c r="AS48" s="1048"/>
      <c r="AT48" s="1048"/>
      <c r="AU48" s="1048"/>
    </row>
    <row r="49" spans="1:47" ht="44.25" customHeight="1" x14ac:dyDescent="0.2">
      <c r="A49" s="2151"/>
      <c r="B49" s="2152"/>
      <c r="C49" s="1047"/>
      <c r="D49" s="3043"/>
      <c r="E49" s="3044"/>
      <c r="F49" s="3044"/>
      <c r="G49" s="3053"/>
      <c r="H49" s="3053"/>
      <c r="I49" s="3053"/>
      <c r="J49" s="3135"/>
      <c r="K49" s="3131"/>
      <c r="L49" s="3046"/>
      <c r="M49" s="3115"/>
      <c r="N49" s="3123"/>
      <c r="O49" s="3115"/>
      <c r="P49" s="3048"/>
      <c r="Q49" s="2969"/>
      <c r="R49" s="3029"/>
      <c r="S49" s="3046"/>
      <c r="T49" s="3048"/>
      <c r="U49" s="3128" t="s">
        <v>795</v>
      </c>
      <c r="V49" s="2121">
        <v>2018993974</v>
      </c>
      <c r="W49" s="1727" t="s">
        <v>695</v>
      </c>
      <c r="X49" s="1038" t="s">
        <v>781</v>
      </c>
      <c r="Y49" s="3126"/>
      <c r="Z49" s="3126"/>
      <c r="AA49" s="3126"/>
      <c r="AB49" s="3126"/>
      <c r="AC49" s="3126"/>
      <c r="AD49" s="3126"/>
      <c r="AE49" s="3126"/>
      <c r="AF49" s="3126"/>
      <c r="AG49" s="3126"/>
      <c r="AH49" s="3126"/>
      <c r="AI49" s="3126"/>
      <c r="AJ49" s="3126"/>
      <c r="AK49" s="3123"/>
      <c r="AL49" s="3123"/>
      <c r="AM49" s="3143"/>
      <c r="AN49" s="3143"/>
      <c r="AO49" s="3083"/>
      <c r="AP49" s="3083"/>
      <c r="AQ49" s="3146"/>
      <c r="AR49" s="1048"/>
      <c r="AS49" s="1048"/>
      <c r="AT49" s="1048"/>
      <c r="AU49" s="1048"/>
    </row>
    <row r="50" spans="1:47" ht="30" customHeight="1" x14ac:dyDescent="0.2">
      <c r="A50" s="2151"/>
      <c r="B50" s="2152"/>
      <c r="C50" s="1047"/>
      <c r="D50" s="3043"/>
      <c r="E50" s="3044"/>
      <c r="F50" s="3044"/>
      <c r="G50" s="3053"/>
      <c r="H50" s="3053"/>
      <c r="I50" s="3053"/>
      <c r="J50" s="3135"/>
      <c r="K50" s="3131"/>
      <c r="L50" s="3046"/>
      <c r="M50" s="3115"/>
      <c r="N50" s="3123"/>
      <c r="O50" s="3115"/>
      <c r="P50" s="3048"/>
      <c r="Q50" s="2969"/>
      <c r="R50" s="3029"/>
      <c r="S50" s="3046"/>
      <c r="T50" s="3048"/>
      <c r="U50" s="3128"/>
      <c r="V50" s="2121">
        <f>600000000-600000000</f>
        <v>0</v>
      </c>
      <c r="W50" s="1724">
        <v>46</v>
      </c>
      <c r="X50" s="1038" t="s">
        <v>753</v>
      </c>
      <c r="Y50" s="3126"/>
      <c r="Z50" s="3126"/>
      <c r="AA50" s="3126"/>
      <c r="AB50" s="3126"/>
      <c r="AC50" s="3126"/>
      <c r="AD50" s="3126"/>
      <c r="AE50" s="3126"/>
      <c r="AF50" s="3126"/>
      <c r="AG50" s="3126"/>
      <c r="AH50" s="3126"/>
      <c r="AI50" s="3126"/>
      <c r="AJ50" s="3126"/>
      <c r="AK50" s="3123"/>
      <c r="AL50" s="3123"/>
      <c r="AM50" s="3143"/>
      <c r="AN50" s="3143"/>
      <c r="AO50" s="3083"/>
      <c r="AP50" s="3083"/>
      <c r="AQ50" s="3146"/>
      <c r="AR50" s="1048"/>
      <c r="AS50" s="1048"/>
      <c r="AT50" s="1048"/>
      <c r="AU50" s="1048"/>
    </row>
    <row r="51" spans="1:47" ht="78" customHeight="1" x14ac:dyDescent="0.2">
      <c r="A51" s="2147"/>
      <c r="B51" s="2148"/>
      <c r="C51" s="297"/>
      <c r="D51" s="3043"/>
      <c r="E51" s="3044"/>
      <c r="F51" s="3044"/>
      <c r="G51" s="3053"/>
      <c r="H51" s="3053"/>
      <c r="I51" s="3053"/>
      <c r="J51" s="3136"/>
      <c r="K51" s="2692"/>
      <c r="L51" s="3137"/>
      <c r="M51" s="3138"/>
      <c r="N51" s="3123"/>
      <c r="O51" s="3115"/>
      <c r="P51" s="3048"/>
      <c r="Q51" s="2969"/>
      <c r="R51" s="3029"/>
      <c r="S51" s="3046"/>
      <c r="T51" s="3048"/>
      <c r="U51" s="1457" t="s">
        <v>796</v>
      </c>
      <c r="V51" s="2121">
        <v>100000000</v>
      </c>
      <c r="W51" s="1727" t="s">
        <v>695</v>
      </c>
      <c r="X51" s="1038" t="s">
        <v>793</v>
      </c>
      <c r="Y51" s="3126"/>
      <c r="Z51" s="3126"/>
      <c r="AA51" s="3126"/>
      <c r="AB51" s="3126"/>
      <c r="AC51" s="3126"/>
      <c r="AD51" s="3126"/>
      <c r="AE51" s="3126"/>
      <c r="AF51" s="3126"/>
      <c r="AG51" s="3126"/>
      <c r="AH51" s="3126"/>
      <c r="AI51" s="3126"/>
      <c r="AJ51" s="3126"/>
      <c r="AK51" s="3123"/>
      <c r="AL51" s="3123"/>
      <c r="AM51" s="3143"/>
      <c r="AN51" s="3143"/>
      <c r="AO51" s="3083"/>
      <c r="AP51" s="3083"/>
      <c r="AQ51" s="3146"/>
      <c r="AR51" s="397"/>
      <c r="AS51" s="397"/>
      <c r="AT51" s="397"/>
      <c r="AU51" s="397"/>
    </row>
    <row r="52" spans="1:47" ht="60" customHeight="1" x14ac:dyDescent="0.2">
      <c r="A52" s="2147"/>
      <c r="B52" s="2148"/>
      <c r="C52" s="297"/>
      <c r="D52" s="3043"/>
      <c r="E52" s="3044"/>
      <c r="F52" s="3044"/>
      <c r="G52" s="3053"/>
      <c r="H52" s="3053"/>
      <c r="I52" s="3053"/>
      <c r="J52" s="3135">
        <v>60</v>
      </c>
      <c r="K52" s="2691" t="s">
        <v>797</v>
      </c>
      <c r="L52" s="3045" t="s">
        <v>798</v>
      </c>
      <c r="M52" s="3055">
        <v>12</v>
      </c>
      <c r="N52" s="3123"/>
      <c r="O52" s="3115"/>
      <c r="P52" s="3048"/>
      <c r="Q52" s="2969">
        <f>SUM(V52:V55)/R39</f>
        <v>0.14664346774869244</v>
      </c>
      <c r="R52" s="3029"/>
      <c r="S52" s="3046"/>
      <c r="T52" s="3048"/>
      <c r="U52" s="1457" t="s">
        <v>799</v>
      </c>
      <c r="V52" s="2121">
        <f>224581000-224581000</f>
        <v>0</v>
      </c>
      <c r="W52" s="1724">
        <v>20</v>
      </c>
      <c r="X52" s="1038" t="s">
        <v>800</v>
      </c>
      <c r="Y52" s="3126"/>
      <c r="Z52" s="3126"/>
      <c r="AA52" s="3126"/>
      <c r="AB52" s="3126"/>
      <c r="AC52" s="3126"/>
      <c r="AD52" s="3126"/>
      <c r="AE52" s="3126"/>
      <c r="AF52" s="3126"/>
      <c r="AG52" s="3126"/>
      <c r="AH52" s="3126"/>
      <c r="AI52" s="3126"/>
      <c r="AJ52" s="3126"/>
      <c r="AK52" s="3123"/>
      <c r="AL52" s="3123"/>
      <c r="AM52" s="3143"/>
      <c r="AN52" s="3143"/>
      <c r="AO52" s="3083"/>
      <c r="AP52" s="3083"/>
      <c r="AQ52" s="3146"/>
    </row>
    <row r="53" spans="1:47" ht="57.75" customHeight="1" x14ac:dyDescent="0.2">
      <c r="A53" s="2147"/>
      <c r="B53" s="2148"/>
      <c r="C53" s="297"/>
      <c r="D53" s="3043"/>
      <c r="E53" s="3044"/>
      <c r="F53" s="3044"/>
      <c r="G53" s="3053"/>
      <c r="H53" s="3053"/>
      <c r="I53" s="3053"/>
      <c r="J53" s="3135"/>
      <c r="K53" s="3131"/>
      <c r="L53" s="3046"/>
      <c r="M53" s="3115"/>
      <c r="N53" s="3123"/>
      <c r="O53" s="3115"/>
      <c r="P53" s="3048"/>
      <c r="Q53" s="2969"/>
      <c r="R53" s="3029"/>
      <c r="S53" s="3046"/>
      <c r="T53" s="3048"/>
      <c r="U53" s="2131" t="s">
        <v>801</v>
      </c>
      <c r="V53" s="2121">
        <f>3668941717+1600000000-3963999731.66</f>
        <v>1304941985.3400002</v>
      </c>
      <c r="W53" s="1724">
        <v>46</v>
      </c>
      <c r="X53" s="1731" t="s">
        <v>753</v>
      </c>
      <c r="Y53" s="3126"/>
      <c r="Z53" s="3126"/>
      <c r="AA53" s="3126"/>
      <c r="AB53" s="3126"/>
      <c r="AC53" s="3126"/>
      <c r="AD53" s="3126"/>
      <c r="AE53" s="3126"/>
      <c r="AF53" s="3126"/>
      <c r="AG53" s="3126"/>
      <c r="AH53" s="3126"/>
      <c r="AI53" s="3126"/>
      <c r="AJ53" s="3126"/>
      <c r="AK53" s="3123"/>
      <c r="AL53" s="3123"/>
      <c r="AM53" s="3143"/>
      <c r="AN53" s="3143"/>
      <c r="AO53" s="3083"/>
      <c r="AP53" s="3083"/>
      <c r="AQ53" s="3146"/>
    </row>
    <row r="54" spans="1:47" ht="60" customHeight="1" x14ac:dyDescent="0.2">
      <c r="A54" s="2147"/>
      <c r="B54" s="2148"/>
      <c r="C54" s="297"/>
      <c r="D54" s="3043"/>
      <c r="E54" s="3044"/>
      <c r="F54" s="3044"/>
      <c r="G54" s="3053"/>
      <c r="H54" s="3053"/>
      <c r="I54" s="3053"/>
      <c r="J54" s="3135"/>
      <c r="K54" s="3131"/>
      <c r="L54" s="3046"/>
      <c r="M54" s="3115"/>
      <c r="N54" s="3123"/>
      <c r="O54" s="3115"/>
      <c r="P54" s="3048"/>
      <c r="Q54" s="2969"/>
      <c r="R54" s="3029"/>
      <c r="S54" s="3046"/>
      <c r="T54" s="3048"/>
      <c r="U54" s="2132" t="s">
        <v>802</v>
      </c>
      <c r="V54" s="2122">
        <f>0+224581000</f>
        <v>224581000</v>
      </c>
      <c r="W54" s="1396">
        <v>20</v>
      </c>
      <c r="X54" s="1732" t="s">
        <v>803</v>
      </c>
      <c r="Y54" s="3139"/>
      <c r="Z54" s="3126"/>
      <c r="AA54" s="3126"/>
      <c r="AB54" s="3126"/>
      <c r="AC54" s="3126"/>
      <c r="AD54" s="3126"/>
      <c r="AE54" s="3126"/>
      <c r="AF54" s="3126"/>
      <c r="AG54" s="3126"/>
      <c r="AH54" s="3126"/>
      <c r="AI54" s="3126"/>
      <c r="AJ54" s="3126"/>
      <c r="AK54" s="3123"/>
      <c r="AL54" s="3123"/>
      <c r="AM54" s="3143"/>
      <c r="AN54" s="3143"/>
      <c r="AO54" s="3083"/>
      <c r="AP54" s="3083"/>
      <c r="AQ54" s="3146"/>
    </row>
    <row r="55" spans="1:47" ht="54" customHeight="1" x14ac:dyDescent="0.2">
      <c r="A55" s="2147"/>
      <c r="B55" s="2148"/>
      <c r="C55" s="297"/>
      <c r="D55" s="3043"/>
      <c r="E55" s="3044"/>
      <c r="F55" s="3044"/>
      <c r="G55" s="3053"/>
      <c r="H55" s="3053"/>
      <c r="I55" s="3053"/>
      <c r="J55" s="3136"/>
      <c r="K55" s="2692"/>
      <c r="L55" s="3137"/>
      <c r="M55" s="3138"/>
      <c r="N55" s="3123"/>
      <c r="O55" s="3115"/>
      <c r="P55" s="3048"/>
      <c r="Q55" s="2969"/>
      <c r="R55" s="3029"/>
      <c r="S55" s="3046"/>
      <c r="T55" s="3048"/>
      <c r="U55" s="2133" t="s">
        <v>801</v>
      </c>
      <c r="V55" s="2125">
        <f>0+58746979</f>
        <v>58746979</v>
      </c>
      <c r="W55" s="2124">
        <v>165</v>
      </c>
      <c r="X55" s="2124" t="s">
        <v>2544</v>
      </c>
      <c r="Y55" s="3139"/>
      <c r="Z55" s="3126"/>
      <c r="AA55" s="3126"/>
      <c r="AB55" s="3126"/>
      <c r="AC55" s="3126"/>
      <c r="AD55" s="3126"/>
      <c r="AE55" s="3126"/>
      <c r="AF55" s="3126"/>
      <c r="AG55" s="3126"/>
      <c r="AH55" s="3126"/>
      <c r="AI55" s="3126"/>
      <c r="AJ55" s="3126"/>
      <c r="AK55" s="3123"/>
      <c r="AL55" s="3123"/>
      <c r="AM55" s="3143"/>
      <c r="AN55" s="3143"/>
      <c r="AO55" s="3083"/>
      <c r="AP55" s="3083"/>
      <c r="AQ55" s="3146"/>
      <c r="AR55" s="1048"/>
    </row>
    <row r="56" spans="1:47" ht="79.5" customHeight="1" x14ac:dyDescent="0.2">
      <c r="A56" s="2147"/>
      <c r="B56" s="2148"/>
      <c r="C56" s="297"/>
      <c r="D56" s="3043"/>
      <c r="E56" s="3044"/>
      <c r="F56" s="3044"/>
      <c r="G56" s="3053"/>
      <c r="H56" s="3053"/>
      <c r="I56" s="3053"/>
      <c r="J56" s="3147">
        <v>62</v>
      </c>
      <c r="K56" s="3045" t="s">
        <v>804</v>
      </c>
      <c r="L56" s="3045" t="s">
        <v>805</v>
      </c>
      <c r="M56" s="3055">
        <v>2</v>
      </c>
      <c r="N56" s="3123"/>
      <c r="O56" s="3115"/>
      <c r="P56" s="3048"/>
      <c r="Q56" s="2969">
        <f>SUM(V56:V57)/R39</f>
        <v>2.2515743726765732E-2</v>
      </c>
      <c r="R56" s="3029"/>
      <c r="S56" s="3046"/>
      <c r="T56" s="3048"/>
      <c r="U56" s="2134" t="s">
        <v>806</v>
      </c>
      <c r="V56" s="2123">
        <f>820000000+180000000-756135884.98</f>
        <v>243864115.01999998</v>
      </c>
      <c r="W56" s="1724">
        <v>46</v>
      </c>
      <c r="X56" s="1733" t="s">
        <v>766</v>
      </c>
      <c r="Y56" s="3126"/>
      <c r="Z56" s="3126"/>
      <c r="AA56" s="3126"/>
      <c r="AB56" s="3126"/>
      <c r="AC56" s="3126"/>
      <c r="AD56" s="3126"/>
      <c r="AE56" s="3126"/>
      <c r="AF56" s="3126"/>
      <c r="AG56" s="3126"/>
      <c r="AH56" s="3126"/>
      <c r="AI56" s="3126"/>
      <c r="AJ56" s="3126"/>
      <c r="AK56" s="3123"/>
      <c r="AL56" s="3123"/>
      <c r="AM56" s="3143"/>
      <c r="AN56" s="3143"/>
      <c r="AO56" s="3083"/>
      <c r="AP56" s="3083"/>
      <c r="AQ56" s="3146"/>
      <c r="AR56" s="1048"/>
    </row>
    <row r="57" spans="1:47" ht="83.25" customHeight="1" x14ac:dyDescent="0.2">
      <c r="A57" s="2147"/>
      <c r="B57" s="2148"/>
      <c r="C57" s="297"/>
      <c r="D57" s="3043"/>
      <c r="E57" s="3044"/>
      <c r="F57" s="3044"/>
      <c r="G57" s="3053"/>
      <c r="H57" s="3053"/>
      <c r="I57" s="3053"/>
      <c r="J57" s="3148"/>
      <c r="K57" s="3046"/>
      <c r="L57" s="3046"/>
      <c r="M57" s="3115"/>
      <c r="N57" s="3123"/>
      <c r="O57" s="3115"/>
      <c r="P57" s="3048"/>
      <c r="Q57" s="2969"/>
      <c r="R57" s="3029"/>
      <c r="S57" s="3046"/>
      <c r="T57" s="3048"/>
      <c r="U57" s="1457" t="s">
        <v>807</v>
      </c>
      <c r="V57" s="2121">
        <f>180000000-180000000</f>
        <v>0</v>
      </c>
      <c r="W57" s="1724">
        <v>46</v>
      </c>
      <c r="X57" s="1038" t="s">
        <v>766</v>
      </c>
      <c r="Y57" s="3126"/>
      <c r="Z57" s="3126"/>
      <c r="AA57" s="3126"/>
      <c r="AB57" s="3126"/>
      <c r="AC57" s="3126"/>
      <c r="AD57" s="3126"/>
      <c r="AE57" s="3126"/>
      <c r="AF57" s="3126"/>
      <c r="AG57" s="3126"/>
      <c r="AH57" s="3126"/>
      <c r="AI57" s="3126"/>
      <c r="AJ57" s="3126"/>
      <c r="AK57" s="3123"/>
      <c r="AL57" s="3123"/>
      <c r="AM57" s="3143"/>
      <c r="AN57" s="3143"/>
      <c r="AO57" s="3083"/>
      <c r="AP57" s="3083"/>
      <c r="AQ57" s="3146"/>
    </row>
    <row r="58" spans="1:47" ht="71.25" customHeight="1" x14ac:dyDescent="0.2">
      <c r="A58" s="2147"/>
      <c r="B58" s="2148"/>
      <c r="C58" s="297"/>
      <c r="D58" s="3043"/>
      <c r="E58" s="3044"/>
      <c r="F58" s="3044"/>
      <c r="G58" s="3053"/>
      <c r="H58" s="3053"/>
      <c r="I58" s="3054"/>
      <c r="J58" s="1156">
        <v>63</v>
      </c>
      <c r="K58" s="1157" t="s">
        <v>808</v>
      </c>
      <c r="L58" s="1939" t="s">
        <v>809</v>
      </c>
      <c r="M58" s="1919">
        <v>250</v>
      </c>
      <c r="N58" s="3123"/>
      <c r="O58" s="3115"/>
      <c r="P58" s="3048"/>
      <c r="Q58" s="1935">
        <f>SUM(V58:V58)/R39</f>
        <v>0.14377865818058544</v>
      </c>
      <c r="R58" s="3029"/>
      <c r="S58" s="3046"/>
      <c r="T58" s="3048"/>
      <c r="U58" s="1457" t="s">
        <v>810</v>
      </c>
      <c r="V58" s="2121">
        <f>3000000000-1000000000-442758291.2</f>
        <v>1557241708.8</v>
      </c>
      <c r="W58" s="1724">
        <v>46</v>
      </c>
      <c r="X58" s="1038" t="s">
        <v>766</v>
      </c>
      <c r="Y58" s="3126"/>
      <c r="Z58" s="3126"/>
      <c r="AA58" s="3126"/>
      <c r="AB58" s="3126"/>
      <c r="AC58" s="3126"/>
      <c r="AD58" s="3126"/>
      <c r="AE58" s="3126"/>
      <c r="AF58" s="3126"/>
      <c r="AG58" s="3126"/>
      <c r="AH58" s="3126"/>
      <c r="AI58" s="3126"/>
      <c r="AJ58" s="3126"/>
      <c r="AK58" s="3123"/>
      <c r="AL58" s="3123"/>
      <c r="AM58" s="3143"/>
      <c r="AN58" s="3143"/>
      <c r="AO58" s="3083"/>
      <c r="AP58" s="3083">
        <v>43100</v>
      </c>
      <c r="AQ58" s="3146"/>
    </row>
    <row r="59" spans="1:47" ht="89.25" customHeight="1" x14ac:dyDescent="0.2">
      <c r="A59" s="2147"/>
      <c r="B59" s="2148"/>
      <c r="C59" s="297"/>
      <c r="D59" s="3043"/>
      <c r="E59" s="3044"/>
      <c r="F59" s="3044"/>
      <c r="G59" s="3053"/>
      <c r="H59" s="3053"/>
      <c r="I59" s="3054"/>
      <c r="J59" s="1156">
        <v>64</v>
      </c>
      <c r="K59" s="1157" t="s">
        <v>811</v>
      </c>
      <c r="L59" s="1940" t="s">
        <v>812</v>
      </c>
      <c r="M59" s="1941">
        <v>1</v>
      </c>
      <c r="N59" s="3124"/>
      <c r="O59" s="3115"/>
      <c r="P59" s="3048"/>
      <c r="Q59" s="1935">
        <f>V59/R39</f>
        <v>2.7525456947975918E-3</v>
      </c>
      <c r="R59" s="3029"/>
      <c r="S59" s="3046"/>
      <c r="T59" s="3048"/>
      <c r="U59" s="2129" t="s">
        <v>813</v>
      </c>
      <c r="V59" s="2121">
        <v>29812345</v>
      </c>
      <c r="W59" s="1724">
        <v>20</v>
      </c>
      <c r="X59" s="1729" t="s">
        <v>814</v>
      </c>
      <c r="Y59" s="3127"/>
      <c r="Z59" s="3127"/>
      <c r="AA59" s="3127"/>
      <c r="AB59" s="3127"/>
      <c r="AC59" s="3127"/>
      <c r="AD59" s="3127"/>
      <c r="AE59" s="3127"/>
      <c r="AF59" s="3127"/>
      <c r="AG59" s="3127"/>
      <c r="AH59" s="3127"/>
      <c r="AI59" s="3127"/>
      <c r="AJ59" s="3127"/>
      <c r="AK59" s="3124"/>
      <c r="AL59" s="3124"/>
      <c r="AM59" s="3144"/>
      <c r="AN59" s="3144"/>
      <c r="AO59" s="3083"/>
      <c r="AP59" s="3083" t="s">
        <v>815</v>
      </c>
      <c r="AQ59" s="3146"/>
    </row>
    <row r="60" spans="1:47" s="1" customFormat="1" ht="108.75" customHeight="1" thickBot="1" x14ac:dyDescent="0.25">
      <c r="A60" s="2147"/>
      <c r="B60" s="2148"/>
      <c r="C60" s="297"/>
      <c r="D60" s="3043"/>
      <c r="E60" s="3044"/>
      <c r="F60" s="3044"/>
      <c r="G60" s="3055"/>
      <c r="H60" s="3055"/>
      <c r="I60" s="3055"/>
      <c r="J60" s="1938">
        <v>59</v>
      </c>
      <c r="K60" s="1939" t="s">
        <v>790</v>
      </c>
      <c r="L60" s="1940" t="s">
        <v>791</v>
      </c>
      <c r="M60" s="1948">
        <v>1</v>
      </c>
      <c r="N60" s="1919" t="s">
        <v>816</v>
      </c>
      <c r="O60" s="1929" t="s">
        <v>817</v>
      </c>
      <c r="P60" s="2131" t="s">
        <v>818</v>
      </c>
      <c r="Q60" s="2153">
        <f>V60/R60</f>
        <v>1</v>
      </c>
      <c r="R60" s="1934">
        <f>SUM(V60)</f>
        <v>815853756</v>
      </c>
      <c r="S60" s="1923" t="s">
        <v>819</v>
      </c>
      <c r="T60" s="1928" t="s">
        <v>820</v>
      </c>
      <c r="U60" s="1928" t="s">
        <v>821</v>
      </c>
      <c r="V60" s="2122">
        <v>815853756</v>
      </c>
      <c r="W60" s="2154">
        <v>56</v>
      </c>
      <c r="X60" s="1934" t="s">
        <v>822</v>
      </c>
      <c r="Y60" s="1731">
        <v>12668</v>
      </c>
      <c r="Z60" s="1942">
        <v>12704</v>
      </c>
      <c r="AA60" s="1942">
        <v>7596</v>
      </c>
      <c r="AB60" s="1942">
        <v>1582</v>
      </c>
      <c r="AC60" s="1942">
        <v>13190</v>
      </c>
      <c r="AD60" s="1942">
        <v>1890</v>
      </c>
      <c r="AE60" s="1942">
        <v>142</v>
      </c>
      <c r="AF60" s="1942">
        <v>64</v>
      </c>
      <c r="AG60" s="1942"/>
      <c r="AH60" s="1942"/>
      <c r="AI60" s="1942"/>
      <c r="AJ60" s="1942"/>
      <c r="AK60" s="1919">
        <v>908</v>
      </c>
      <c r="AL60" s="1919"/>
      <c r="AM60" s="1936"/>
      <c r="AN60" s="1942">
        <f>+Y60+Z60</f>
        <v>25372</v>
      </c>
      <c r="AO60" s="1937">
        <v>43497</v>
      </c>
      <c r="AP60" s="1937">
        <v>43830</v>
      </c>
      <c r="AQ60" s="2155" t="s">
        <v>697</v>
      </c>
    </row>
    <row r="61" spans="1:47" ht="27" customHeight="1" thickBot="1" x14ac:dyDescent="0.3">
      <c r="A61" s="2156" t="s">
        <v>823</v>
      </c>
      <c r="B61" s="2157"/>
      <c r="C61" s="2157"/>
      <c r="D61" s="2157"/>
      <c r="E61" s="2157"/>
      <c r="F61" s="2157"/>
      <c r="G61" s="2157"/>
      <c r="H61" s="2157"/>
      <c r="I61" s="2157"/>
      <c r="J61" s="2158"/>
      <c r="K61" s="2157"/>
      <c r="L61" s="2159"/>
      <c r="M61" s="1960"/>
      <c r="N61" s="1960"/>
      <c r="O61" s="2160"/>
      <c r="P61" s="2161"/>
      <c r="Q61" s="2169"/>
      <c r="R61" s="2170">
        <f>SUM(R12:R60)</f>
        <v>21647791952.059998</v>
      </c>
      <c r="S61" s="2162"/>
      <c r="T61" s="2162"/>
      <c r="U61" s="2163"/>
      <c r="V61" s="2171">
        <f>SUM(V11:V60)</f>
        <v>21647791952.060001</v>
      </c>
      <c r="W61" s="2164"/>
      <c r="X61" s="2165"/>
      <c r="Y61" s="2166"/>
      <c r="Z61" s="300"/>
      <c r="AA61" s="300"/>
      <c r="AB61" s="300"/>
      <c r="AC61" s="300"/>
      <c r="AD61" s="300"/>
      <c r="AE61" s="300"/>
      <c r="AF61" s="300"/>
      <c r="AG61" s="300"/>
      <c r="AH61" s="300"/>
      <c r="AI61" s="300"/>
      <c r="AJ61" s="300"/>
      <c r="AK61" s="300"/>
      <c r="AL61" s="300"/>
      <c r="AM61" s="300"/>
      <c r="AN61" s="2167"/>
      <c r="AO61" s="2167"/>
      <c r="AP61" s="2167"/>
      <c r="AQ61" s="2168"/>
    </row>
    <row r="62" spans="1:47" ht="27" customHeight="1" x14ac:dyDescent="0.25">
      <c r="O62" s="2126"/>
      <c r="S62" s="688"/>
      <c r="T62" s="688"/>
      <c r="U62" s="1428"/>
      <c r="V62" s="1690"/>
      <c r="X62" s="1811"/>
    </row>
    <row r="63" spans="1:47" ht="27" customHeight="1" x14ac:dyDescent="0.25">
      <c r="O63" s="2126"/>
      <c r="S63" s="1873"/>
      <c r="T63" s="688"/>
      <c r="U63" s="1428"/>
      <c r="V63" s="1690"/>
      <c r="X63" s="393"/>
    </row>
    <row r="64" spans="1:47" ht="27" customHeight="1" x14ac:dyDescent="0.25">
      <c r="D64" s="692" t="s">
        <v>824</v>
      </c>
      <c r="E64" s="692"/>
      <c r="F64" s="692"/>
      <c r="V64" s="1690"/>
      <c r="X64" s="393"/>
    </row>
    <row r="65" spans="1:24" ht="15" customHeight="1" x14ac:dyDescent="0.25">
      <c r="D65" s="362" t="s">
        <v>825</v>
      </c>
      <c r="U65" s="1871"/>
      <c r="V65" s="1690"/>
      <c r="X65" s="393"/>
    </row>
    <row r="66" spans="1:24" ht="13.5" customHeight="1" x14ac:dyDescent="0.25">
      <c r="D66" s="362" t="s">
        <v>826</v>
      </c>
      <c r="V66" s="1690"/>
      <c r="W66" s="1690"/>
      <c r="X66" s="393"/>
    </row>
    <row r="67" spans="1:24" ht="27" customHeight="1" x14ac:dyDescent="0.25">
      <c r="U67" s="1869"/>
      <c r="V67" s="1690"/>
      <c r="X67" s="1811"/>
    </row>
    <row r="68" spans="1:24" ht="27" customHeight="1" x14ac:dyDescent="0.25">
      <c r="U68" s="1869"/>
      <c r="V68" s="1690"/>
      <c r="X68" s="1811"/>
    </row>
    <row r="69" spans="1:24" ht="27" customHeight="1" x14ac:dyDescent="0.25">
      <c r="U69" s="1869"/>
      <c r="V69" s="1690"/>
      <c r="X69" s="1861"/>
    </row>
    <row r="70" spans="1:24" ht="27" customHeight="1" x14ac:dyDescent="0.25">
      <c r="A70" s="389" t="s">
        <v>827</v>
      </c>
      <c r="C70" s="362" t="s">
        <v>828</v>
      </c>
      <c r="U70" s="1869"/>
      <c r="V70" s="1690"/>
      <c r="X70" s="1811"/>
    </row>
    <row r="71" spans="1:24" ht="15" customHeight="1" x14ac:dyDescent="0.25">
      <c r="A71" s="389" t="s">
        <v>829</v>
      </c>
      <c r="C71" s="362" t="s">
        <v>830</v>
      </c>
      <c r="U71" s="1869"/>
      <c r="V71" s="1690"/>
      <c r="X71" s="1811"/>
    </row>
    <row r="72" spans="1:24" ht="15.75" customHeight="1" x14ac:dyDescent="0.25">
      <c r="C72" s="362" t="s">
        <v>831</v>
      </c>
      <c r="V72" s="1690"/>
      <c r="X72" s="1811"/>
    </row>
    <row r="73" spans="1:24" ht="27" customHeight="1" x14ac:dyDescent="0.25">
      <c r="V73" s="1690"/>
      <c r="X73" s="1811"/>
    </row>
  </sheetData>
  <sheetProtection password="A60F" sheet="1" objects="1" scenarios="1"/>
  <mergeCells count="227">
    <mergeCell ref="H10:I10"/>
    <mergeCell ref="AM39:AM59"/>
    <mergeCell ref="AN39:AN59"/>
    <mergeCell ref="AO39:AO59"/>
    <mergeCell ref="AP39:AP59"/>
    <mergeCell ref="AQ39:AQ59"/>
    <mergeCell ref="Q44:Q45"/>
    <mergeCell ref="J52:J55"/>
    <mergeCell ref="K52:K55"/>
    <mergeCell ref="L52:L55"/>
    <mergeCell ref="M52:M55"/>
    <mergeCell ref="Q52:Q55"/>
    <mergeCell ref="J56:J57"/>
    <mergeCell ref="K56:K57"/>
    <mergeCell ref="L56:L57"/>
    <mergeCell ref="M56:M57"/>
    <mergeCell ref="AD39:AD59"/>
    <mergeCell ref="AE39:AE59"/>
    <mergeCell ref="AF39:AF59"/>
    <mergeCell ref="AG39:AG59"/>
    <mergeCell ref="AH39:AH59"/>
    <mergeCell ref="AI39:AI59"/>
    <mergeCell ref="AJ39:AJ59"/>
    <mergeCell ref="AK39:AK59"/>
    <mergeCell ref="AL39:AL59"/>
    <mergeCell ref="Z39:Z59"/>
    <mergeCell ref="AA39:AA59"/>
    <mergeCell ref="AB39:AB59"/>
    <mergeCell ref="AC39:AC59"/>
    <mergeCell ref="U49:U50"/>
    <mergeCell ref="J44:J45"/>
    <mergeCell ref="K44:K45"/>
    <mergeCell ref="L44:L45"/>
    <mergeCell ref="M44:M45"/>
    <mergeCell ref="U41:U42"/>
    <mergeCell ref="U47:U48"/>
    <mergeCell ref="N39:N59"/>
    <mergeCell ref="J46:J51"/>
    <mergeCell ref="K46:K51"/>
    <mergeCell ref="L46:L51"/>
    <mergeCell ref="M46:M51"/>
    <mergeCell ref="Q46:Q51"/>
    <mergeCell ref="Y39:Y59"/>
    <mergeCell ref="J39:J43"/>
    <mergeCell ref="K39:K43"/>
    <mergeCell ref="L39:L43"/>
    <mergeCell ref="M39:M43"/>
    <mergeCell ref="O39:O59"/>
    <mergeCell ref="P39:P59"/>
    <mergeCell ref="AQ25:AQ37"/>
    <mergeCell ref="J32:J37"/>
    <mergeCell ref="K32:K37"/>
    <mergeCell ref="L32:L37"/>
    <mergeCell ref="M32:M37"/>
    <mergeCell ref="Q32:Q37"/>
    <mergeCell ref="T32:T37"/>
    <mergeCell ref="AB25:AB37"/>
    <mergeCell ref="AC25:AC37"/>
    <mergeCell ref="AD25:AD37"/>
    <mergeCell ref="AE25:AE37"/>
    <mergeCell ref="AF25:AF37"/>
    <mergeCell ref="AG25:AG37"/>
    <mergeCell ref="AH25:AH37"/>
    <mergeCell ref="AI25:AI37"/>
    <mergeCell ref="AJ25:AJ37"/>
    <mergeCell ref="Z25:Z37"/>
    <mergeCell ref="AA25:AA37"/>
    <mergeCell ref="U34:U36"/>
    <mergeCell ref="U28:U30"/>
    <mergeCell ref="AK25:AK37"/>
    <mergeCell ref="U32:U33"/>
    <mergeCell ref="P25:P37"/>
    <mergeCell ref="Q25:Q31"/>
    <mergeCell ref="Y25:Y37"/>
    <mergeCell ref="A10:C21"/>
    <mergeCell ref="D11:F21"/>
    <mergeCell ref="G12:I15"/>
    <mergeCell ref="J12:J15"/>
    <mergeCell ref="K12:K15"/>
    <mergeCell ref="G16:I17"/>
    <mergeCell ref="J16:J17"/>
    <mergeCell ref="K16:K17"/>
    <mergeCell ref="G18:I18"/>
    <mergeCell ref="G19:I19"/>
    <mergeCell ref="G20:I21"/>
    <mergeCell ref="J20:J21"/>
    <mergeCell ref="K20:K21"/>
    <mergeCell ref="A23:C37"/>
    <mergeCell ref="E23:L23"/>
    <mergeCell ref="D24:F37"/>
    <mergeCell ref="G25:I37"/>
    <mergeCell ref="J25:J31"/>
    <mergeCell ref="K25:K31"/>
    <mergeCell ref="L25:L31"/>
    <mergeCell ref="M25:M31"/>
    <mergeCell ref="O25:O37"/>
    <mergeCell ref="R25:R37"/>
    <mergeCell ref="A1:AO4"/>
    <mergeCell ref="A5:M6"/>
    <mergeCell ref="N5:AQ5"/>
    <mergeCell ref="A7:A8"/>
    <mergeCell ref="B7:C8"/>
    <mergeCell ref="D7:D8"/>
    <mergeCell ref="E7:F8"/>
    <mergeCell ref="G7:G8"/>
    <mergeCell ref="O7:O8"/>
    <mergeCell ref="P7:P8"/>
    <mergeCell ref="Q7:Q8"/>
    <mergeCell ref="R7:R8"/>
    <mergeCell ref="S7:S8"/>
    <mergeCell ref="T7:T8"/>
    <mergeCell ref="H7:I8"/>
    <mergeCell ref="J7:J8"/>
    <mergeCell ref="K7:K8"/>
    <mergeCell ref="L7:L8"/>
    <mergeCell ref="M7:M8"/>
    <mergeCell ref="AQ7:AQ8"/>
    <mergeCell ref="U7:U8"/>
    <mergeCell ref="V7:V8"/>
    <mergeCell ref="X7:X8"/>
    <mergeCell ref="AE7:AJ7"/>
    <mergeCell ref="AK7:AM7"/>
    <mergeCell ref="AO7:AO8"/>
    <mergeCell ref="AP20:AP21"/>
    <mergeCell ref="AO12:AO15"/>
    <mergeCell ref="AP12:AP15"/>
    <mergeCell ref="AP7:AP8"/>
    <mergeCell ref="AO20:AO21"/>
    <mergeCell ref="AL25:AL37"/>
    <mergeCell ref="AM25:AM37"/>
    <mergeCell ref="AN25:AN37"/>
    <mergeCell ref="AO25:AO37"/>
    <mergeCell ref="AP25:AP37"/>
    <mergeCell ref="AE12:AE15"/>
    <mergeCell ref="AN12:AN15"/>
    <mergeCell ref="AM20:AM21"/>
    <mergeCell ref="AF12:AF15"/>
    <mergeCell ref="AG12:AG15"/>
    <mergeCell ref="AA20:AA21"/>
    <mergeCell ref="AB20:AB21"/>
    <mergeCell ref="AQ12:AQ21"/>
    <mergeCell ref="AJ16:AJ17"/>
    <mergeCell ref="AK16:AK17"/>
    <mergeCell ref="AL16:AL17"/>
    <mergeCell ref="AM16:AM17"/>
    <mergeCell ref="AN16:AN17"/>
    <mergeCell ref="AO16:AO17"/>
    <mergeCell ref="AP16:AP17"/>
    <mergeCell ref="AC20:AC21"/>
    <mergeCell ref="AN20:AN21"/>
    <mergeCell ref="AD20:AD21"/>
    <mergeCell ref="AE20:AE21"/>
    <mergeCell ref="AF20:AF21"/>
    <mergeCell ref="AG20:AG21"/>
    <mergeCell ref="AH20:AH21"/>
    <mergeCell ref="AI20:AI21"/>
    <mergeCell ref="AK20:AK21"/>
    <mergeCell ref="AJ20:AJ21"/>
    <mergeCell ref="AL20:AL21"/>
    <mergeCell ref="Y6:AM6"/>
    <mergeCell ref="AJ12:AJ15"/>
    <mergeCell ref="AK12:AK15"/>
    <mergeCell ref="AL12:AL15"/>
    <mergeCell ref="AM12:AM15"/>
    <mergeCell ref="AC16:AC17"/>
    <mergeCell ref="AD16:AD17"/>
    <mergeCell ref="AE16:AE17"/>
    <mergeCell ref="AF16:AF17"/>
    <mergeCell ref="AG16:AG17"/>
    <mergeCell ref="Y16:Y17"/>
    <mergeCell ref="Z16:Z17"/>
    <mergeCell ref="AB16:AB17"/>
    <mergeCell ref="AH12:AH15"/>
    <mergeCell ref="AI12:AI15"/>
    <mergeCell ref="AA12:AA15"/>
    <mergeCell ref="AB12:AB15"/>
    <mergeCell ref="Y12:Y15"/>
    <mergeCell ref="AH16:AH17"/>
    <mergeCell ref="AI16:AI17"/>
    <mergeCell ref="AA16:AA17"/>
    <mergeCell ref="AA7:AD7"/>
    <mergeCell ref="AC12:AC15"/>
    <mergeCell ref="AD12:AD15"/>
    <mergeCell ref="Y7:Z7"/>
    <mergeCell ref="M16:M17"/>
    <mergeCell ref="T14:T15"/>
    <mergeCell ref="N12:N15"/>
    <mergeCell ref="O16:O17"/>
    <mergeCell ref="T12:T13"/>
    <mergeCell ref="N7:N8"/>
    <mergeCell ref="S20:S21"/>
    <mergeCell ref="R20:R21"/>
    <mergeCell ref="W7:W8"/>
    <mergeCell ref="Y20:Y21"/>
    <mergeCell ref="Z20:Z21"/>
    <mergeCell ref="M20:M21"/>
    <mergeCell ref="N20:N21"/>
    <mergeCell ref="O20:O21"/>
    <mergeCell ref="P20:P21"/>
    <mergeCell ref="Q20:Q21"/>
    <mergeCell ref="U12:U15"/>
    <mergeCell ref="U16:U17"/>
    <mergeCell ref="Z12:Z15"/>
    <mergeCell ref="U25:U26"/>
    <mergeCell ref="S25:S37"/>
    <mergeCell ref="D38:F60"/>
    <mergeCell ref="R39:R59"/>
    <mergeCell ref="S39:S59"/>
    <mergeCell ref="T39:T59"/>
    <mergeCell ref="L12:L15"/>
    <mergeCell ref="M12:M15"/>
    <mergeCell ref="R12:R15"/>
    <mergeCell ref="O12:O15"/>
    <mergeCell ref="P12:P15"/>
    <mergeCell ref="Q12:Q15"/>
    <mergeCell ref="S12:S15"/>
    <mergeCell ref="P16:P17"/>
    <mergeCell ref="Q16:Q17"/>
    <mergeCell ref="S16:S17"/>
    <mergeCell ref="L16:L17"/>
    <mergeCell ref="R16:R17"/>
    <mergeCell ref="G39:I60"/>
    <mergeCell ref="Q39:Q43"/>
    <mergeCell ref="Q56:Q57"/>
    <mergeCell ref="L20:L21"/>
    <mergeCell ref="T25:T31"/>
    <mergeCell ref="N16:N1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29"/>
  <sheetViews>
    <sheetView showGridLines="0" zoomScale="60" zoomScaleNormal="60" workbookViewId="0">
      <selection activeCell="A8" sqref="A8:A9"/>
    </sheetView>
  </sheetViews>
  <sheetFormatPr baseColWidth="10" defaultColWidth="11.42578125" defaultRowHeight="27" customHeight="1" x14ac:dyDescent="0.2"/>
  <cols>
    <col min="1" max="1" width="13.140625" style="17" customWidth="1"/>
    <col min="2" max="2" width="4" style="1" customWidth="1"/>
    <col min="3" max="3" width="16.140625" style="1" customWidth="1"/>
    <col min="4" max="4" width="14.7109375" style="1" customWidth="1"/>
    <col min="5" max="5" width="10" style="1" customWidth="1"/>
    <col min="6" max="6" width="8.85546875" style="1" customWidth="1"/>
    <col min="7" max="7" width="14.28515625" style="1" customWidth="1"/>
    <col min="8" max="8" width="8.5703125" style="1" customWidth="1"/>
    <col min="9" max="9" width="16.85546875" style="1" customWidth="1"/>
    <col min="10" max="10" width="12.85546875" style="1" customWidth="1"/>
    <col min="11" max="11" width="40.140625" style="279" customWidth="1"/>
    <col min="12" max="12" width="27.7109375" style="167" customWidth="1"/>
    <col min="13" max="13" width="21.85546875" style="124" customWidth="1"/>
    <col min="14" max="14" width="37.42578125" style="2022" customWidth="1"/>
    <col min="15" max="15" width="19.42578125" style="2022" customWidth="1"/>
    <col min="16" max="16" width="27.42578125" style="233" customWidth="1"/>
    <col min="17" max="17" width="15" style="1881" customWidth="1"/>
    <col min="18" max="18" width="29.85546875" style="333" customWidth="1"/>
    <col min="19" max="19" width="29.85546875" style="233" customWidth="1"/>
    <col min="20" max="20" width="31" style="233" customWidth="1"/>
    <col min="21" max="21" width="42" style="279" customWidth="1"/>
    <col min="22" max="22" width="27.140625" style="2311" customWidth="1"/>
    <col min="23" max="23" width="19.28515625" style="237" customWidth="1"/>
    <col min="24" max="24" width="21.85546875" style="2041" customWidth="1"/>
    <col min="25" max="25" width="13.42578125" style="1" customWidth="1"/>
    <col min="26" max="26" width="11.42578125" style="1" customWidth="1"/>
    <col min="27" max="27" width="9.28515625" style="1" bestFit="1" customWidth="1"/>
    <col min="28" max="28" width="11.140625" style="1" customWidth="1"/>
    <col min="29" max="29" width="9.7109375" style="1" customWidth="1"/>
    <col min="30" max="30" width="10.140625" style="1" customWidth="1"/>
    <col min="31" max="31" width="6.85546875" style="1" bestFit="1" customWidth="1"/>
    <col min="32" max="32" width="8.140625" style="1" bestFit="1" customWidth="1"/>
    <col min="33" max="35" width="7.140625" style="1" customWidth="1"/>
    <col min="36" max="36" width="5.5703125" style="1" customWidth="1"/>
    <col min="37" max="37" width="8.7109375" style="1" customWidth="1"/>
    <col min="38" max="38" width="9.5703125" style="1" customWidth="1"/>
    <col min="39" max="39" width="9" style="1" customWidth="1"/>
    <col min="40" max="40" width="13.85546875" style="1" customWidth="1"/>
    <col min="41" max="41" width="25" style="238" customWidth="1"/>
    <col min="42" max="42" width="24.5703125" style="239" customWidth="1"/>
    <col min="43" max="43" width="25.5703125" style="1975" customWidth="1"/>
    <col min="44" max="44" width="23.42578125" style="1862" customWidth="1"/>
    <col min="45" max="69" width="11.42578125" style="1862"/>
    <col min="70" max="16384" width="11.42578125" style="1"/>
  </cols>
  <sheetData>
    <row r="1" spans="1:69" ht="16.5" customHeight="1" x14ac:dyDescent="0.2">
      <c r="A1" s="2976" t="s">
        <v>2546</v>
      </c>
      <c r="B1" s="2977"/>
      <c r="C1" s="2977"/>
      <c r="D1" s="2977"/>
      <c r="E1" s="2977"/>
      <c r="F1" s="2977"/>
      <c r="G1" s="2977"/>
      <c r="H1" s="2977"/>
      <c r="I1" s="2977"/>
      <c r="J1" s="2977"/>
      <c r="K1" s="2977"/>
      <c r="L1" s="2977"/>
      <c r="M1" s="2977"/>
      <c r="N1" s="2977"/>
      <c r="O1" s="2977"/>
      <c r="P1" s="2977"/>
      <c r="Q1" s="2977"/>
      <c r="R1" s="2977"/>
      <c r="S1" s="2977"/>
      <c r="T1" s="2977"/>
      <c r="U1" s="2977"/>
      <c r="V1" s="2977"/>
      <c r="W1" s="2977"/>
      <c r="X1" s="2977"/>
      <c r="Y1" s="2977"/>
      <c r="Z1" s="2977"/>
      <c r="AA1" s="2977"/>
      <c r="AB1" s="2977"/>
      <c r="AC1" s="2977"/>
      <c r="AD1" s="2977"/>
      <c r="AE1" s="2977"/>
      <c r="AF1" s="2977"/>
      <c r="AG1" s="2977"/>
      <c r="AH1" s="2977"/>
      <c r="AI1" s="2977"/>
      <c r="AJ1" s="2977"/>
      <c r="AK1" s="2977"/>
      <c r="AL1" s="2977"/>
      <c r="AM1" s="2977"/>
      <c r="AN1" s="2977"/>
      <c r="AO1" s="2977"/>
      <c r="AP1" s="308" t="s">
        <v>0</v>
      </c>
      <c r="AQ1" s="309" t="s">
        <v>1</v>
      </c>
    </row>
    <row r="2" spans="1:69" ht="16.5" customHeight="1" x14ac:dyDescent="0.2">
      <c r="A2" s="2978"/>
      <c r="B2" s="2923"/>
      <c r="C2" s="2923"/>
      <c r="D2" s="2923"/>
      <c r="E2" s="2923"/>
      <c r="F2" s="2923"/>
      <c r="G2" s="2923"/>
      <c r="H2" s="2923"/>
      <c r="I2" s="2923"/>
      <c r="J2" s="2923"/>
      <c r="K2" s="2923"/>
      <c r="L2" s="2923"/>
      <c r="M2" s="2923"/>
      <c r="N2" s="2923"/>
      <c r="O2" s="2923"/>
      <c r="P2" s="2923"/>
      <c r="Q2" s="2923"/>
      <c r="R2" s="2923"/>
      <c r="S2" s="2923"/>
      <c r="T2" s="2923"/>
      <c r="U2" s="2923"/>
      <c r="V2" s="2923"/>
      <c r="W2" s="2923"/>
      <c r="X2" s="2923"/>
      <c r="Y2" s="2923"/>
      <c r="Z2" s="2923"/>
      <c r="AA2" s="2923"/>
      <c r="AB2" s="2923"/>
      <c r="AC2" s="2923"/>
      <c r="AD2" s="2923"/>
      <c r="AE2" s="2923"/>
      <c r="AF2" s="2923"/>
      <c r="AG2" s="2923"/>
      <c r="AH2" s="2923"/>
      <c r="AI2" s="2923"/>
      <c r="AJ2" s="2923"/>
      <c r="AK2" s="2923"/>
      <c r="AL2" s="2923"/>
      <c r="AM2" s="2923"/>
      <c r="AN2" s="2923"/>
      <c r="AO2" s="2923"/>
      <c r="AP2" s="310" t="s">
        <v>2</v>
      </c>
      <c r="AQ2" s="311" t="s">
        <v>119</v>
      </c>
    </row>
    <row r="3" spans="1:69" ht="16.5" customHeight="1" x14ac:dyDescent="0.2">
      <c r="A3" s="2978"/>
      <c r="B3" s="2923"/>
      <c r="C3" s="2923"/>
      <c r="D3" s="2923"/>
      <c r="E3" s="2923"/>
      <c r="F3" s="2923"/>
      <c r="G3" s="2923"/>
      <c r="H3" s="2923"/>
      <c r="I3" s="2923"/>
      <c r="J3" s="2923"/>
      <c r="K3" s="2923"/>
      <c r="L3" s="2923"/>
      <c r="M3" s="2923"/>
      <c r="N3" s="2923"/>
      <c r="O3" s="2923"/>
      <c r="P3" s="2923"/>
      <c r="Q3" s="2923"/>
      <c r="R3" s="2923"/>
      <c r="S3" s="2923"/>
      <c r="T3" s="2923"/>
      <c r="U3" s="2923"/>
      <c r="V3" s="2923"/>
      <c r="W3" s="2923"/>
      <c r="X3" s="2923"/>
      <c r="Y3" s="2923"/>
      <c r="Z3" s="2923"/>
      <c r="AA3" s="2923"/>
      <c r="AB3" s="2923"/>
      <c r="AC3" s="2923"/>
      <c r="AD3" s="2923"/>
      <c r="AE3" s="2923"/>
      <c r="AF3" s="2923"/>
      <c r="AG3" s="2923"/>
      <c r="AH3" s="2923"/>
      <c r="AI3" s="2923"/>
      <c r="AJ3" s="2923"/>
      <c r="AK3" s="2923"/>
      <c r="AL3" s="2923"/>
      <c r="AM3" s="2923"/>
      <c r="AN3" s="2923"/>
      <c r="AO3" s="2923"/>
      <c r="AP3" s="312" t="s">
        <v>4</v>
      </c>
      <c r="AQ3" s="311" t="s">
        <v>5</v>
      </c>
    </row>
    <row r="4" spans="1:69" ht="16.5" customHeight="1" x14ac:dyDescent="0.2">
      <c r="A4" s="2979"/>
      <c r="B4" s="2924"/>
      <c r="C4" s="2924"/>
      <c r="D4" s="2924"/>
      <c r="E4" s="2924"/>
      <c r="F4" s="2924"/>
      <c r="G4" s="2924"/>
      <c r="H4" s="2924"/>
      <c r="I4" s="2924"/>
      <c r="J4" s="2924"/>
      <c r="K4" s="2924"/>
      <c r="L4" s="2924"/>
      <c r="M4" s="2924"/>
      <c r="N4" s="2924"/>
      <c r="O4" s="2924"/>
      <c r="P4" s="2924"/>
      <c r="Q4" s="2924"/>
      <c r="R4" s="2924"/>
      <c r="S4" s="2924"/>
      <c r="T4" s="2924"/>
      <c r="U4" s="2924"/>
      <c r="V4" s="2924"/>
      <c r="W4" s="2924"/>
      <c r="X4" s="2924"/>
      <c r="Y4" s="2924"/>
      <c r="Z4" s="2924"/>
      <c r="AA4" s="2924"/>
      <c r="AB4" s="2924"/>
      <c r="AC4" s="2924"/>
      <c r="AD4" s="2924"/>
      <c r="AE4" s="2924"/>
      <c r="AF4" s="2924"/>
      <c r="AG4" s="2924"/>
      <c r="AH4" s="2924"/>
      <c r="AI4" s="2924"/>
      <c r="AJ4" s="2924"/>
      <c r="AK4" s="2924"/>
      <c r="AL4" s="2924"/>
      <c r="AM4" s="2924"/>
      <c r="AN4" s="2924"/>
      <c r="AO4" s="2924"/>
      <c r="AP4" s="312" t="s">
        <v>6</v>
      </c>
      <c r="AQ4" s="313" t="s">
        <v>7</v>
      </c>
    </row>
    <row r="5" spans="1:69" ht="18" customHeight="1" x14ac:dyDescent="0.2">
      <c r="A5" s="2980" t="s">
        <v>8</v>
      </c>
      <c r="B5" s="2925"/>
      <c r="C5" s="2925"/>
      <c r="D5" s="2925"/>
      <c r="E5" s="2925"/>
      <c r="F5" s="2925"/>
      <c r="G5" s="2925"/>
      <c r="H5" s="2925"/>
      <c r="I5" s="2925"/>
      <c r="J5" s="2925"/>
      <c r="K5" s="2925"/>
      <c r="L5" s="2925"/>
      <c r="M5" s="2925"/>
      <c r="N5" s="2926" t="s">
        <v>9</v>
      </c>
      <c r="O5" s="2926"/>
      <c r="P5" s="2926"/>
      <c r="Q5" s="2926"/>
      <c r="R5" s="2926"/>
      <c r="S5" s="2926"/>
      <c r="T5" s="2926"/>
      <c r="U5" s="2926"/>
      <c r="V5" s="2926"/>
      <c r="W5" s="2926"/>
      <c r="X5" s="2926"/>
      <c r="Y5" s="2926"/>
      <c r="Z5" s="2926"/>
      <c r="AA5" s="2926"/>
      <c r="AB5" s="2926"/>
      <c r="AC5" s="2926"/>
      <c r="AD5" s="2926"/>
      <c r="AE5" s="2926"/>
      <c r="AF5" s="2926"/>
      <c r="AG5" s="2926"/>
      <c r="AH5" s="2926"/>
      <c r="AI5" s="2926"/>
      <c r="AJ5" s="2926"/>
      <c r="AK5" s="2926"/>
      <c r="AL5" s="2926"/>
      <c r="AM5" s="2926"/>
      <c r="AN5" s="2926"/>
      <c r="AO5" s="2926"/>
      <c r="AP5" s="2926"/>
      <c r="AQ5" s="2983"/>
    </row>
    <row r="6" spans="1:69" ht="18.75" customHeight="1" x14ac:dyDescent="0.2">
      <c r="A6" s="2981"/>
      <c r="B6" s="2982"/>
      <c r="C6" s="2982"/>
      <c r="D6" s="2982"/>
      <c r="E6" s="2982"/>
      <c r="F6" s="2982"/>
      <c r="G6" s="2982"/>
      <c r="H6" s="2982"/>
      <c r="I6" s="2982"/>
      <c r="J6" s="2982"/>
      <c r="K6" s="2982"/>
      <c r="L6" s="2982"/>
      <c r="M6" s="2982"/>
      <c r="N6" s="2312"/>
      <c r="O6" s="314"/>
      <c r="P6" s="250"/>
      <c r="Q6" s="1874"/>
      <c r="R6" s="251"/>
      <c r="S6" s="250"/>
      <c r="T6" s="250"/>
      <c r="U6" s="315"/>
      <c r="V6" s="2265"/>
      <c r="W6" s="251"/>
      <c r="X6" s="1979"/>
      <c r="Y6" s="2984" t="s">
        <v>10</v>
      </c>
      <c r="Z6" s="2982"/>
      <c r="AA6" s="2982"/>
      <c r="AB6" s="2982"/>
      <c r="AC6" s="2982"/>
      <c r="AD6" s="2982"/>
      <c r="AE6" s="2982"/>
      <c r="AF6" s="2982"/>
      <c r="AG6" s="2982"/>
      <c r="AH6" s="2982"/>
      <c r="AI6" s="2982"/>
      <c r="AJ6" s="2982"/>
      <c r="AK6" s="2982"/>
      <c r="AL6" s="2982"/>
      <c r="AM6" s="2985"/>
      <c r="AN6" s="1979"/>
      <c r="AO6" s="251"/>
      <c r="AP6" s="251"/>
      <c r="AQ6" s="316"/>
    </row>
    <row r="7" spans="1:69" ht="18.75" customHeight="1" x14ac:dyDescent="0.2">
      <c r="A7" s="1978"/>
      <c r="B7" s="1979"/>
      <c r="C7" s="1979"/>
      <c r="D7" s="1979"/>
      <c r="E7" s="1979"/>
      <c r="F7" s="1979"/>
      <c r="G7" s="1979"/>
      <c r="H7" s="1979"/>
      <c r="I7" s="1979"/>
      <c r="J7" s="1979"/>
      <c r="K7" s="315"/>
      <c r="L7" s="1979"/>
      <c r="M7" s="1979"/>
      <c r="N7" s="2312"/>
      <c r="O7" s="314"/>
      <c r="P7" s="250"/>
      <c r="Q7" s="1874"/>
      <c r="R7" s="251"/>
      <c r="S7" s="250"/>
      <c r="T7" s="250"/>
      <c r="U7" s="315"/>
      <c r="V7" s="2265"/>
      <c r="W7" s="251"/>
      <c r="X7" s="1979"/>
      <c r="Y7" s="1980"/>
      <c r="Z7" s="1979"/>
      <c r="AA7" s="1979"/>
      <c r="AB7" s="1979"/>
      <c r="AC7" s="1979"/>
      <c r="AD7" s="1979"/>
      <c r="AE7" s="1979"/>
      <c r="AF7" s="1979"/>
      <c r="AG7" s="1979"/>
      <c r="AH7" s="1979"/>
      <c r="AI7" s="1979"/>
      <c r="AJ7" s="1979"/>
      <c r="AK7" s="1979"/>
      <c r="AL7" s="1979"/>
      <c r="AM7" s="1981"/>
      <c r="AN7" s="1979"/>
      <c r="AO7" s="252"/>
      <c r="AP7" s="252"/>
      <c r="AQ7" s="316"/>
    </row>
    <row r="8" spans="1:69" s="23" customFormat="1" ht="16.5" customHeight="1" x14ac:dyDescent="0.25">
      <c r="A8" s="3373" t="s">
        <v>11</v>
      </c>
      <c r="B8" s="3364" t="s">
        <v>12</v>
      </c>
      <c r="C8" s="3364"/>
      <c r="D8" s="3364" t="s">
        <v>11</v>
      </c>
      <c r="E8" s="3364" t="s">
        <v>13</v>
      </c>
      <c r="F8" s="3364"/>
      <c r="G8" s="3364" t="s">
        <v>11</v>
      </c>
      <c r="H8" s="3364" t="s">
        <v>14</v>
      </c>
      <c r="I8" s="3364"/>
      <c r="J8" s="3364" t="s">
        <v>11</v>
      </c>
      <c r="K8" s="3364" t="s">
        <v>15</v>
      </c>
      <c r="L8" s="3364" t="s">
        <v>16</v>
      </c>
      <c r="M8" s="2934" t="s">
        <v>17</v>
      </c>
      <c r="N8" s="3364" t="s">
        <v>18</v>
      </c>
      <c r="O8" s="3364" t="s">
        <v>19</v>
      </c>
      <c r="P8" s="3364" t="s">
        <v>9</v>
      </c>
      <c r="Q8" s="3369" t="s">
        <v>20</v>
      </c>
      <c r="R8" s="3370" t="s">
        <v>21</v>
      </c>
      <c r="S8" s="3364" t="s">
        <v>22</v>
      </c>
      <c r="T8" s="3364" t="s">
        <v>23</v>
      </c>
      <c r="U8" s="3364" t="s">
        <v>24</v>
      </c>
      <c r="V8" s="3365" t="s">
        <v>21</v>
      </c>
      <c r="W8" s="3367" t="s">
        <v>11</v>
      </c>
      <c r="X8" s="3364" t="s">
        <v>25</v>
      </c>
      <c r="Y8" s="3368" t="s">
        <v>26</v>
      </c>
      <c r="Z8" s="3368"/>
      <c r="AA8" s="3374" t="s">
        <v>27</v>
      </c>
      <c r="AB8" s="3374"/>
      <c r="AC8" s="3374"/>
      <c r="AD8" s="3374"/>
      <c r="AE8" s="3379" t="s">
        <v>28</v>
      </c>
      <c r="AF8" s="3379"/>
      <c r="AG8" s="3379"/>
      <c r="AH8" s="3379"/>
      <c r="AI8" s="3379"/>
      <c r="AJ8" s="3379"/>
      <c r="AK8" s="3374" t="s">
        <v>29</v>
      </c>
      <c r="AL8" s="3374"/>
      <c r="AM8" s="3374"/>
      <c r="AN8" s="3375" t="s">
        <v>30</v>
      </c>
      <c r="AO8" s="2940" t="s">
        <v>31</v>
      </c>
      <c r="AP8" s="2940" t="s">
        <v>32</v>
      </c>
      <c r="AQ8" s="3378" t="s">
        <v>33</v>
      </c>
      <c r="AR8" s="1866"/>
      <c r="AS8" s="1866"/>
      <c r="AT8" s="1866"/>
      <c r="AU8" s="1866"/>
      <c r="AV8" s="1866"/>
      <c r="AW8" s="1866"/>
      <c r="AX8" s="1866"/>
      <c r="AY8" s="1866"/>
      <c r="AZ8" s="1866"/>
      <c r="BA8" s="1866"/>
      <c r="BB8" s="1866"/>
      <c r="BC8" s="1866"/>
      <c r="BD8" s="1866"/>
      <c r="BE8" s="1866"/>
      <c r="BF8" s="1866"/>
      <c r="BG8" s="1866"/>
      <c r="BH8" s="1866"/>
      <c r="BI8" s="1866"/>
      <c r="BJ8" s="1866"/>
      <c r="BK8" s="1866"/>
      <c r="BL8" s="1866"/>
      <c r="BM8" s="1866"/>
      <c r="BN8" s="1866"/>
      <c r="BO8" s="1866"/>
      <c r="BP8" s="1866"/>
      <c r="BQ8" s="1866"/>
    </row>
    <row r="9" spans="1:69" s="23" customFormat="1" ht="111" customHeight="1" x14ac:dyDescent="0.25">
      <c r="A9" s="3373"/>
      <c r="B9" s="3364"/>
      <c r="C9" s="3364"/>
      <c r="D9" s="3364"/>
      <c r="E9" s="3364"/>
      <c r="F9" s="3364"/>
      <c r="G9" s="3364"/>
      <c r="H9" s="3364"/>
      <c r="I9" s="3364"/>
      <c r="J9" s="3364"/>
      <c r="K9" s="3364"/>
      <c r="L9" s="3364"/>
      <c r="M9" s="2935"/>
      <c r="N9" s="3364"/>
      <c r="O9" s="3364"/>
      <c r="P9" s="3364"/>
      <c r="Q9" s="3369"/>
      <c r="R9" s="3370"/>
      <c r="S9" s="3364"/>
      <c r="T9" s="3364"/>
      <c r="U9" s="3364"/>
      <c r="V9" s="3366"/>
      <c r="W9" s="3367"/>
      <c r="X9" s="3364"/>
      <c r="Y9" s="129" t="s">
        <v>34</v>
      </c>
      <c r="Z9" s="129" t="s">
        <v>35</v>
      </c>
      <c r="AA9" s="129" t="s">
        <v>36</v>
      </c>
      <c r="AB9" s="129" t="s">
        <v>121</v>
      </c>
      <c r="AC9" s="129" t="s">
        <v>1171</v>
      </c>
      <c r="AD9" s="129" t="s">
        <v>123</v>
      </c>
      <c r="AE9" s="129" t="s">
        <v>40</v>
      </c>
      <c r="AF9" s="129" t="s">
        <v>41</v>
      </c>
      <c r="AG9" s="129" t="s">
        <v>42</v>
      </c>
      <c r="AH9" s="129" t="s">
        <v>43</v>
      </c>
      <c r="AI9" s="129" t="s">
        <v>44</v>
      </c>
      <c r="AJ9" s="129" t="s">
        <v>45</v>
      </c>
      <c r="AK9" s="129" t="s">
        <v>46</v>
      </c>
      <c r="AL9" s="129" t="s">
        <v>47</v>
      </c>
      <c r="AM9" s="129" t="s">
        <v>48</v>
      </c>
      <c r="AN9" s="3376"/>
      <c r="AO9" s="3377"/>
      <c r="AP9" s="3377"/>
      <c r="AQ9" s="3378"/>
      <c r="AR9" s="1866"/>
      <c r="AS9" s="1866"/>
      <c r="AT9" s="1866"/>
      <c r="AU9" s="1866"/>
      <c r="AV9" s="1866"/>
      <c r="AW9" s="1866"/>
      <c r="AX9" s="1866"/>
      <c r="AY9" s="1866"/>
      <c r="AZ9" s="1866"/>
      <c r="BA9" s="1866"/>
      <c r="BB9" s="1866"/>
      <c r="BC9" s="1866"/>
      <c r="BD9" s="1866"/>
      <c r="BE9" s="1866"/>
      <c r="BF9" s="1866"/>
      <c r="BG9" s="1866"/>
      <c r="BH9" s="1866"/>
      <c r="BI9" s="1866"/>
      <c r="BJ9" s="1866"/>
      <c r="BK9" s="1866"/>
      <c r="BL9" s="1866"/>
      <c r="BM9" s="1866"/>
      <c r="BN9" s="1866"/>
      <c r="BO9" s="1866"/>
      <c r="BP9" s="1866"/>
      <c r="BQ9" s="1866"/>
    </row>
    <row r="10" spans="1:69" s="362" customFormat="1" ht="18.75" customHeight="1" x14ac:dyDescent="0.2">
      <c r="A10" s="884">
        <v>4</v>
      </c>
      <c r="B10" s="652" t="s">
        <v>1172</v>
      </c>
      <c r="C10" s="652"/>
      <c r="D10" s="786"/>
      <c r="E10" s="786"/>
      <c r="F10" s="786"/>
      <c r="G10" s="786"/>
      <c r="H10" s="786"/>
      <c r="I10" s="786"/>
      <c r="J10" s="753"/>
      <c r="K10" s="885"/>
      <c r="L10" s="886"/>
      <c r="M10" s="786"/>
      <c r="N10" s="754"/>
      <c r="O10" s="753"/>
      <c r="P10" s="886"/>
      <c r="Q10" s="755"/>
      <c r="R10" s="887"/>
      <c r="S10" s="886"/>
      <c r="T10" s="885"/>
      <c r="U10" s="885"/>
      <c r="V10" s="2266"/>
      <c r="W10" s="888"/>
      <c r="X10" s="889"/>
      <c r="Y10" s="786"/>
      <c r="Z10" s="786"/>
      <c r="AA10" s="786"/>
      <c r="AB10" s="786"/>
      <c r="AC10" s="786"/>
      <c r="AD10" s="786"/>
      <c r="AE10" s="786"/>
      <c r="AF10" s="786"/>
      <c r="AG10" s="786"/>
      <c r="AH10" s="786"/>
      <c r="AI10" s="786"/>
      <c r="AJ10" s="786"/>
      <c r="AK10" s="890"/>
      <c r="AL10" s="890"/>
      <c r="AM10" s="886"/>
      <c r="AN10" s="886"/>
      <c r="AO10" s="886"/>
      <c r="AP10" s="886"/>
      <c r="AQ10" s="891"/>
      <c r="AR10" s="1867"/>
      <c r="AS10" s="1867"/>
      <c r="AT10" s="1867"/>
      <c r="AU10" s="1867"/>
      <c r="AV10" s="1867"/>
      <c r="AW10" s="1867"/>
      <c r="AX10" s="1867"/>
      <c r="AY10" s="1867"/>
      <c r="AZ10" s="1867"/>
      <c r="BA10" s="1867"/>
      <c r="BB10" s="1867"/>
      <c r="BC10" s="1867"/>
      <c r="BD10" s="1867"/>
      <c r="BE10" s="1867"/>
      <c r="BF10" s="1867"/>
      <c r="BG10" s="1867"/>
      <c r="BH10" s="1867"/>
      <c r="BI10" s="1867"/>
      <c r="BJ10" s="1867"/>
      <c r="BK10" s="1867"/>
      <c r="BL10" s="1867"/>
      <c r="BM10" s="1867"/>
      <c r="BN10" s="1867"/>
      <c r="BO10" s="1867"/>
      <c r="BP10" s="1867"/>
      <c r="BQ10" s="1867"/>
    </row>
    <row r="11" spans="1:69" s="369" customFormat="1" ht="21.75" customHeight="1" x14ac:dyDescent="0.2">
      <c r="A11" s="3340"/>
      <c r="B11" s="3343"/>
      <c r="C11" s="3344"/>
      <c r="D11" s="892">
        <v>23</v>
      </c>
      <c r="E11" s="857" t="s">
        <v>1173</v>
      </c>
      <c r="F11" s="857"/>
      <c r="G11" s="893"/>
      <c r="H11" s="893"/>
      <c r="I11" s="893"/>
      <c r="J11" s="894"/>
      <c r="K11" s="895"/>
      <c r="L11" s="896"/>
      <c r="M11" s="893"/>
      <c r="N11" s="2313"/>
      <c r="O11" s="894"/>
      <c r="P11" s="896"/>
      <c r="Q11" s="1875"/>
      <c r="R11" s="898"/>
      <c r="S11" s="896"/>
      <c r="T11" s="895"/>
      <c r="U11" s="895"/>
      <c r="V11" s="2267"/>
      <c r="W11" s="899"/>
      <c r="X11" s="900"/>
      <c r="Y11" s="893"/>
      <c r="Z11" s="893"/>
      <c r="AA11" s="893"/>
      <c r="AB11" s="893"/>
      <c r="AC11" s="893"/>
      <c r="AD11" s="893"/>
      <c r="AE11" s="893"/>
      <c r="AF11" s="893"/>
      <c r="AG11" s="893"/>
      <c r="AH11" s="893"/>
      <c r="AI11" s="893"/>
      <c r="AJ11" s="893"/>
      <c r="AK11" s="901"/>
      <c r="AL11" s="901"/>
      <c r="AM11" s="896"/>
      <c r="AN11" s="896"/>
      <c r="AO11" s="896"/>
      <c r="AP11" s="896"/>
      <c r="AQ11" s="902"/>
      <c r="AR11" s="1867"/>
      <c r="AS11" s="1867"/>
      <c r="AT11" s="1867"/>
      <c r="AU11" s="1867"/>
      <c r="AV11" s="1867"/>
      <c r="AW11" s="1867"/>
      <c r="AX11" s="1867"/>
      <c r="AY11" s="1867"/>
      <c r="AZ11" s="1867"/>
      <c r="BA11" s="1867"/>
      <c r="BB11" s="1867"/>
      <c r="BC11" s="1867"/>
      <c r="BD11" s="1867"/>
      <c r="BE11" s="1867"/>
      <c r="BF11" s="1867"/>
      <c r="BG11" s="1867"/>
      <c r="BH11" s="1867"/>
      <c r="BI11" s="1867"/>
      <c r="BJ11" s="1867"/>
      <c r="BK11" s="1867"/>
      <c r="BL11" s="1867"/>
      <c r="BM11" s="1867"/>
      <c r="BN11" s="1867"/>
      <c r="BO11" s="1867"/>
      <c r="BP11" s="1867"/>
      <c r="BQ11" s="1867"/>
    </row>
    <row r="12" spans="1:69" s="369" customFormat="1" ht="15.75" customHeight="1" x14ac:dyDescent="0.2">
      <c r="A12" s="3341"/>
      <c r="B12" s="3345"/>
      <c r="C12" s="3346"/>
      <c r="D12" s="3340"/>
      <c r="E12" s="3340"/>
      <c r="F12" s="3349"/>
      <c r="G12" s="904">
        <v>75</v>
      </c>
      <c r="H12" s="717" t="s">
        <v>1174</v>
      </c>
      <c r="I12" s="717"/>
      <c r="J12" s="905"/>
      <c r="K12" s="906"/>
      <c r="L12" s="907"/>
      <c r="M12" s="904"/>
      <c r="N12" s="718"/>
      <c r="O12" s="775"/>
      <c r="P12" s="719"/>
      <c r="Q12" s="1876"/>
      <c r="R12" s="908"/>
      <c r="S12" s="907"/>
      <c r="T12" s="906"/>
      <c r="U12" s="906"/>
      <c r="V12" s="2268"/>
      <c r="W12" s="909"/>
      <c r="X12" s="910"/>
      <c r="Y12" s="770"/>
      <c r="Z12" s="770"/>
      <c r="AA12" s="770"/>
      <c r="AB12" s="770"/>
      <c r="AC12" s="770"/>
      <c r="AD12" s="770"/>
      <c r="AE12" s="770"/>
      <c r="AF12" s="770"/>
      <c r="AG12" s="770"/>
      <c r="AH12" s="770"/>
      <c r="AI12" s="770"/>
      <c r="AJ12" s="770"/>
      <c r="AK12" s="911"/>
      <c r="AL12" s="911"/>
      <c r="AM12" s="907"/>
      <c r="AN12" s="907"/>
      <c r="AO12" s="907"/>
      <c r="AP12" s="907"/>
      <c r="AQ12" s="912"/>
      <c r="AR12" s="1867"/>
      <c r="AS12" s="1867"/>
      <c r="AT12" s="1867"/>
      <c r="AU12" s="1867"/>
      <c r="AV12" s="1867"/>
      <c r="AW12" s="1867"/>
      <c r="AX12" s="1867"/>
      <c r="AY12" s="1867"/>
      <c r="AZ12" s="1867"/>
      <c r="BA12" s="1867"/>
      <c r="BB12" s="1867"/>
      <c r="BC12" s="1867"/>
      <c r="BD12" s="1867"/>
      <c r="BE12" s="1867"/>
      <c r="BF12" s="1867"/>
      <c r="BG12" s="1867"/>
      <c r="BH12" s="1867"/>
      <c r="BI12" s="1867"/>
      <c r="BJ12" s="1867"/>
      <c r="BK12" s="1867"/>
      <c r="BL12" s="1867"/>
      <c r="BM12" s="1867"/>
      <c r="BN12" s="1867"/>
      <c r="BO12" s="1867"/>
      <c r="BP12" s="1867"/>
      <c r="BQ12" s="1867"/>
    </row>
    <row r="13" spans="1:69" s="362" customFormat="1" ht="60.75" customHeight="1" x14ac:dyDescent="0.2">
      <c r="A13" s="3341"/>
      <c r="B13" s="3345"/>
      <c r="C13" s="3346"/>
      <c r="D13" s="3341"/>
      <c r="E13" s="3341"/>
      <c r="F13" s="3350"/>
      <c r="G13" s="369"/>
      <c r="H13" s="913"/>
      <c r="I13" s="914"/>
      <c r="J13" s="3352">
        <v>214</v>
      </c>
      <c r="K13" s="3216" t="s">
        <v>1175</v>
      </c>
      <c r="L13" s="3362" t="s">
        <v>1176</v>
      </c>
      <c r="M13" s="3220">
        <v>1</v>
      </c>
      <c r="N13" s="3319"/>
      <c r="O13" s="3320" t="s">
        <v>1177</v>
      </c>
      <c r="P13" s="3276" t="s">
        <v>1178</v>
      </c>
      <c r="Q13" s="3321">
        <f>SUM(V13:V14)/R13</f>
        <v>5.2496955147728107E-3</v>
      </c>
      <c r="R13" s="3322">
        <f>SUM(V13:V52)</f>
        <v>6667053337</v>
      </c>
      <c r="S13" s="3179" t="s">
        <v>1179</v>
      </c>
      <c r="T13" s="3179" t="s">
        <v>1180</v>
      </c>
      <c r="U13" s="3371" t="s">
        <v>1181</v>
      </c>
      <c r="V13" s="2269">
        <v>15000000</v>
      </c>
      <c r="W13" s="1430">
        <v>20</v>
      </c>
      <c r="X13" s="2314" t="s">
        <v>61</v>
      </c>
      <c r="Y13" s="3355">
        <v>292684</v>
      </c>
      <c r="Z13" s="3358">
        <v>282326</v>
      </c>
      <c r="AA13" s="3334">
        <v>135912</v>
      </c>
      <c r="AB13" s="3334">
        <v>45122</v>
      </c>
      <c r="AC13" s="3334">
        <v>307101</v>
      </c>
      <c r="AD13" s="3335">
        <v>86875</v>
      </c>
      <c r="AE13" s="3334">
        <v>2145</v>
      </c>
      <c r="AF13" s="3334">
        <v>12718</v>
      </c>
      <c r="AG13" s="3328">
        <v>26</v>
      </c>
      <c r="AH13" s="3332">
        <v>37</v>
      </c>
      <c r="AI13" s="3332"/>
      <c r="AJ13" s="3332"/>
      <c r="AK13" s="3332">
        <v>53164</v>
      </c>
      <c r="AL13" s="3332">
        <v>16982</v>
      </c>
      <c r="AM13" s="3332">
        <v>60013</v>
      </c>
      <c r="AN13" s="3328">
        <f>Y13+Z13</f>
        <v>575010</v>
      </c>
      <c r="AO13" s="3338">
        <v>43539</v>
      </c>
      <c r="AP13" s="3338">
        <v>43728</v>
      </c>
      <c r="AQ13" s="3325" t="s">
        <v>1182</v>
      </c>
      <c r="AR13" s="1867"/>
      <c r="AS13" s="1867"/>
      <c r="AT13" s="1867"/>
      <c r="AU13" s="1867"/>
      <c r="AV13" s="1867"/>
      <c r="AW13" s="1867"/>
      <c r="AX13" s="1867"/>
      <c r="AY13" s="1867"/>
      <c r="AZ13" s="1867"/>
      <c r="BA13" s="1867"/>
      <c r="BB13" s="1867"/>
      <c r="BC13" s="1867"/>
      <c r="BD13" s="1867"/>
      <c r="BE13" s="1867"/>
      <c r="BF13" s="1867"/>
      <c r="BG13" s="1867"/>
      <c r="BH13" s="1867"/>
      <c r="BI13" s="1867"/>
      <c r="BJ13" s="1867"/>
      <c r="BK13" s="1867"/>
      <c r="BL13" s="1867"/>
      <c r="BM13" s="1867"/>
      <c r="BN13" s="1867"/>
      <c r="BO13" s="1867"/>
      <c r="BP13" s="1867"/>
      <c r="BQ13" s="1867"/>
    </row>
    <row r="14" spans="1:69" s="362" customFormat="1" ht="39.75" customHeight="1" x14ac:dyDescent="0.2">
      <c r="A14" s="3341"/>
      <c r="B14" s="3345"/>
      <c r="C14" s="3346"/>
      <c r="D14" s="3341"/>
      <c r="E14" s="3341"/>
      <c r="F14" s="3350"/>
      <c r="G14" s="369"/>
      <c r="H14" s="916"/>
      <c r="I14" s="917"/>
      <c r="J14" s="3353"/>
      <c r="K14" s="3163"/>
      <c r="L14" s="3363"/>
      <c r="M14" s="3171"/>
      <c r="N14" s="3196"/>
      <c r="O14" s="3283"/>
      <c r="P14" s="3176"/>
      <c r="Q14" s="3321"/>
      <c r="R14" s="3323"/>
      <c r="S14" s="3179"/>
      <c r="T14" s="3179"/>
      <c r="U14" s="3372"/>
      <c r="V14" s="2269">
        <f>0+20000000</f>
        <v>20000000</v>
      </c>
      <c r="W14" s="1430">
        <v>92</v>
      </c>
      <c r="X14" s="2314" t="s">
        <v>1183</v>
      </c>
      <c r="Y14" s="3356"/>
      <c r="Z14" s="3359"/>
      <c r="AA14" s="3334"/>
      <c r="AB14" s="3334"/>
      <c r="AC14" s="3334"/>
      <c r="AD14" s="3335"/>
      <c r="AE14" s="3334"/>
      <c r="AF14" s="3334"/>
      <c r="AG14" s="3329"/>
      <c r="AH14" s="3332"/>
      <c r="AI14" s="3332"/>
      <c r="AJ14" s="3332"/>
      <c r="AK14" s="3332"/>
      <c r="AL14" s="3332"/>
      <c r="AM14" s="3332"/>
      <c r="AN14" s="3329"/>
      <c r="AO14" s="3339"/>
      <c r="AP14" s="3339"/>
      <c r="AQ14" s="3325"/>
      <c r="AR14" s="1867"/>
      <c r="AS14" s="1867"/>
      <c r="AT14" s="1867"/>
      <c r="AU14" s="1867"/>
      <c r="AV14" s="1867"/>
      <c r="AW14" s="1867"/>
      <c r="AX14" s="1867"/>
      <c r="AY14" s="1867"/>
      <c r="AZ14" s="1867"/>
      <c r="BA14" s="1867"/>
      <c r="BB14" s="1867"/>
      <c r="BC14" s="1867"/>
      <c r="BD14" s="1867"/>
      <c r="BE14" s="1867"/>
      <c r="BF14" s="1867"/>
      <c r="BG14" s="1867"/>
      <c r="BH14" s="1867"/>
      <c r="BI14" s="1867"/>
      <c r="BJ14" s="1867"/>
      <c r="BK14" s="1867"/>
      <c r="BL14" s="1867"/>
      <c r="BM14" s="1867"/>
      <c r="BN14" s="1867"/>
      <c r="BO14" s="1867"/>
      <c r="BP14" s="1867"/>
      <c r="BQ14" s="1867"/>
    </row>
    <row r="15" spans="1:69" s="362" customFormat="1" ht="69.75" customHeight="1" x14ac:dyDescent="0.2">
      <c r="A15" s="3341"/>
      <c r="B15" s="3345"/>
      <c r="C15" s="3346"/>
      <c r="D15" s="3341"/>
      <c r="E15" s="3341"/>
      <c r="F15" s="3350"/>
      <c r="G15" s="369"/>
      <c r="H15" s="916"/>
      <c r="I15" s="917"/>
      <c r="J15" s="1995">
        <v>215</v>
      </c>
      <c r="K15" s="1991" t="s">
        <v>1184</v>
      </c>
      <c r="L15" s="1987" t="s">
        <v>1185</v>
      </c>
      <c r="M15" s="1990">
        <v>2</v>
      </c>
      <c r="N15" s="3196"/>
      <c r="O15" s="3283"/>
      <c r="P15" s="3176"/>
      <c r="Q15" s="1988">
        <f>SUM(V15)/R13</f>
        <v>2.2498695063312047E-3</v>
      </c>
      <c r="R15" s="3323"/>
      <c r="S15" s="3179"/>
      <c r="T15" s="3179"/>
      <c r="U15" s="1433" t="s">
        <v>1186</v>
      </c>
      <c r="V15" s="2270">
        <v>15000000</v>
      </c>
      <c r="W15" s="1430">
        <v>20</v>
      </c>
      <c r="X15" s="2314" t="s">
        <v>61</v>
      </c>
      <c r="Y15" s="3356"/>
      <c r="Z15" s="3359"/>
      <c r="AA15" s="3333"/>
      <c r="AB15" s="3333"/>
      <c r="AC15" s="3333"/>
      <c r="AD15" s="3333"/>
      <c r="AE15" s="3333"/>
      <c r="AF15" s="3333"/>
      <c r="AG15" s="3330"/>
      <c r="AH15" s="3333"/>
      <c r="AI15" s="3333"/>
      <c r="AJ15" s="3333"/>
      <c r="AK15" s="3333"/>
      <c r="AL15" s="3333"/>
      <c r="AM15" s="3333"/>
      <c r="AN15" s="3329"/>
      <c r="AO15" s="915">
        <v>43661</v>
      </c>
      <c r="AP15" s="2042">
        <v>43819</v>
      </c>
      <c r="AQ15" s="3326"/>
      <c r="AR15" s="1867"/>
      <c r="AS15" s="1867"/>
      <c r="AT15" s="1867"/>
      <c r="AU15" s="1867"/>
      <c r="AV15" s="1867"/>
      <c r="AW15" s="1867"/>
      <c r="AX15" s="1867"/>
      <c r="AY15" s="1867"/>
      <c r="AZ15" s="1867"/>
      <c r="BA15" s="1867"/>
      <c r="BB15" s="1867"/>
      <c r="BC15" s="1867"/>
      <c r="BD15" s="1867"/>
      <c r="BE15" s="1867"/>
      <c r="BF15" s="1867"/>
      <c r="BG15" s="1867"/>
      <c r="BH15" s="1867"/>
      <c r="BI15" s="1867"/>
      <c r="BJ15" s="1867"/>
      <c r="BK15" s="1867"/>
      <c r="BL15" s="1867"/>
      <c r="BM15" s="1867"/>
      <c r="BN15" s="1867"/>
      <c r="BO15" s="1867"/>
      <c r="BP15" s="1867"/>
      <c r="BQ15" s="1867"/>
    </row>
    <row r="16" spans="1:69" s="362" customFormat="1" ht="36" customHeight="1" x14ac:dyDescent="0.2">
      <c r="A16" s="3341"/>
      <c r="B16" s="3345"/>
      <c r="C16" s="3346"/>
      <c r="D16" s="3341"/>
      <c r="E16" s="3341"/>
      <c r="F16" s="3350"/>
      <c r="G16" s="369"/>
      <c r="H16" s="916"/>
      <c r="I16" s="917"/>
      <c r="J16" s="3278">
        <v>216</v>
      </c>
      <c r="K16" s="3183" t="s">
        <v>1187</v>
      </c>
      <c r="L16" s="3231" t="s">
        <v>1188</v>
      </c>
      <c r="M16" s="3327">
        <f>1.994+2</f>
        <v>3.9939999999999998</v>
      </c>
      <c r="N16" s="3196"/>
      <c r="O16" s="3283"/>
      <c r="P16" s="3176"/>
      <c r="Q16" s="3321">
        <f>SUM(V16:V20)/R13</f>
        <v>0.17099008248117153</v>
      </c>
      <c r="R16" s="3323"/>
      <c r="S16" s="3179"/>
      <c r="T16" s="3179"/>
      <c r="U16" s="1400" t="s">
        <v>1189</v>
      </c>
      <c r="V16" s="2270">
        <f>15000000-15000000</f>
        <v>0</v>
      </c>
      <c r="W16" s="1405">
        <v>20</v>
      </c>
      <c r="X16" s="2010" t="s">
        <v>61</v>
      </c>
      <c r="Y16" s="3356"/>
      <c r="Z16" s="3359"/>
      <c r="AA16" s="3333"/>
      <c r="AB16" s="3333"/>
      <c r="AC16" s="3333"/>
      <c r="AD16" s="3333"/>
      <c r="AE16" s="3333"/>
      <c r="AF16" s="3333"/>
      <c r="AG16" s="3330"/>
      <c r="AH16" s="3333"/>
      <c r="AI16" s="3333"/>
      <c r="AJ16" s="3333"/>
      <c r="AK16" s="3333"/>
      <c r="AL16" s="3333"/>
      <c r="AM16" s="3333"/>
      <c r="AN16" s="3329"/>
      <c r="AO16" s="915">
        <v>43631</v>
      </c>
      <c r="AP16" s="2042">
        <v>43819</v>
      </c>
      <c r="AQ16" s="3326"/>
      <c r="AR16" s="1867"/>
      <c r="AS16" s="1867"/>
      <c r="AT16" s="1867"/>
      <c r="AU16" s="1867"/>
      <c r="AV16" s="1867"/>
      <c r="AW16" s="1867"/>
      <c r="AX16" s="1867"/>
      <c r="AY16" s="1867"/>
      <c r="AZ16" s="1867"/>
      <c r="BA16" s="1867"/>
      <c r="BB16" s="1867"/>
      <c r="BC16" s="1867"/>
      <c r="BD16" s="1867"/>
      <c r="BE16" s="1867"/>
      <c r="BF16" s="1867"/>
      <c r="BG16" s="1867"/>
      <c r="BH16" s="1867"/>
      <c r="BI16" s="1867"/>
      <c r="BJ16" s="1867"/>
      <c r="BK16" s="1867"/>
      <c r="BL16" s="1867"/>
      <c r="BM16" s="1867"/>
      <c r="BN16" s="1867"/>
      <c r="BO16" s="1867"/>
      <c r="BP16" s="1867"/>
      <c r="BQ16" s="1867"/>
    </row>
    <row r="17" spans="1:69" s="362" customFormat="1" ht="45.75" customHeight="1" x14ac:dyDescent="0.2">
      <c r="A17" s="3341"/>
      <c r="B17" s="3345"/>
      <c r="C17" s="3346"/>
      <c r="D17" s="3341"/>
      <c r="E17" s="3341"/>
      <c r="F17" s="3350"/>
      <c r="G17" s="369"/>
      <c r="H17" s="916"/>
      <c r="I17" s="917"/>
      <c r="J17" s="3278"/>
      <c r="K17" s="3183"/>
      <c r="L17" s="3231"/>
      <c r="M17" s="3327"/>
      <c r="N17" s="3196"/>
      <c r="O17" s="3283"/>
      <c r="P17" s="3176"/>
      <c r="Q17" s="3321"/>
      <c r="R17" s="3323"/>
      <c r="S17" s="3179"/>
      <c r="T17" s="3179"/>
      <c r="U17" s="1434" t="s">
        <v>1190</v>
      </c>
      <c r="V17" s="2269">
        <f>0+850000000+65000000</f>
        <v>915000000</v>
      </c>
      <c r="W17" s="1430">
        <v>92</v>
      </c>
      <c r="X17" s="2314" t="s">
        <v>1183</v>
      </c>
      <c r="Y17" s="3356"/>
      <c r="Z17" s="3359"/>
      <c r="AA17" s="3333"/>
      <c r="AB17" s="3333"/>
      <c r="AC17" s="3333"/>
      <c r="AD17" s="3333"/>
      <c r="AE17" s="3333"/>
      <c r="AF17" s="3333"/>
      <c r="AG17" s="3330"/>
      <c r="AH17" s="3333"/>
      <c r="AI17" s="3333"/>
      <c r="AJ17" s="3333"/>
      <c r="AK17" s="3333"/>
      <c r="AL17" s="3333"/>
      <c r="AM17" s="3333"/>
      <c r="AN17" s="3329"/>
      <c r="AO17" s="915"/>
      <c r="AP17" s="2042"/>
      <c r="AQ17" s="3326"/>
      <c r="AR17" s="1867"/>
      <c r="AS17" s="1867"/>
      <c r="AT17" s="1867"/>
      <c r="AU17" s="1867"/>
      <c r="AV17" s="1867"/>
      <c r="AW17" s="1867"/>
      <c r="AX17" s="1867"/>
      <c r="AY17" s="1867"/>
      <c r="AZ17" s="1867"/>
      <c r="BA17" s="1867"/>
      <c r="BB17" s="1867"/>
      <c r="BC17" s="1867"/>
      <c r="BD17" s="1867"/>
      <c r="BE17" s="1867"/>
      <c r="BF17" s="1867"/>
      <c r="BG17" s="1867"/>
      <c r="BH17" s="1867"/>
      <c r="BI17" s="1867"/>
      <c r="BJ17" s="1867"/>
      <c r="BK17" s="1867"/>
      <c r="BL17" s="1867"/>
      <c r="BM17" s="1867"/>
      <c r="BN17" s="1867"/>
      <c r="BO17" s="1867"/>
      <c r="BP17" s="1867"/>
      <c r="BQ17" s="1867"/>
    </row>
    <row r="18" spans="1:69" s="362" customFormat="1" ht="29.25" customHeight="1" x14ac:dyDescent="0.2">
      <c r="A18" s="3341"/>
      <c r="B18" s="3345"/>
      <c r="C18" s="3346"/>
      <c r="D18" s="3341"/>
      <c r="E18" s="3341"/>
      <c r="F18" s="3350"/>
      <c r="G18" s="369"/>
      <c r="H18" s="916"/>
      <c r="I18" s="917"/>
      <c r="J18" s="3278"/>
      <c r="K18" s="3183"/>
      <c r="L18" s="3231"/>
      <c r="M18" s="3327"/>
      <c r="N18" s="3196"/>
      <c r="O18" s="3283"/>
      <c r="P18" s="3176"/>
      <c r="Q18" s="3321"/>
      <c r="R18" s="3323"/>
      <c r="S18" s="3179"/>
      <c r="T18" s="3195"/>
      <c r="U18" s="3229" t="s">
        <v>1191</v>
      </c>
      <c r="V18" s="2271">
        <f>10000000-10000000</f>
        <v>0</v>
      </c>
      <c r="W18" s="1396">
        <v>20</v>
      </c>
      <c r="X18" s="1971" t="s">
        <v>61</v>
      </c>
      <c r="Y18" s="3356"/>
      <c r="Z18" s="3359"/>
      <c r="AA18" s="3333"/>
      <c r="AB18" s="3333"/>
      <c r="AC18" s="3333"/>
      <c r="AD18" s="3333"/>
      <c r="AE18" s="3333"/>
      <c r="AF18" s="3333"/>
      <c r="AG18" s="3330"/>
      <c r="AH18" s="3333"/>
      <c r="AI18" s="3333"/>
      <c r="AJ18" s="3333"/>
      <c r="AK18" s="3333"/>
      <c r="AL18" s="3333"/>
      <c r="AM18" s="3333"/>
      <c r="AN18" s="3329"/>
      <c r="AO18" s="915"/>
      <c r="AP18" s="2042"/>
      <c r="AQ18" s="3326"/>
      <c r="AR18" s="1867"/>
      <c r="AS18" s="1867"/>
      <c r="AT18" s="1867"/>
      <c r="AU18" s="1867"/>
      <c r="AV18" s="1867"/>
      <c r="AW18" s="1867"/>
      <c r="AX18" s="1867"/>
      <c r="AY18" s="1867"/>
      <c r="AZ18" s="1867"/>
      <c r="BA18" s="1867"/>
      <c r="BB18" s="1867"/>
      <c r="BC18" s="1867"/>
      <c r="BD18" s="1867"/>
      <c r="BE18" s="1867"/>
      <c r="BF18" s="1867"/>
      <c r="BG18" s="1867"/>
      <c r="BH18" s="1867"/>
      <c r="BI18" s="1867"/>
      <c r="BJ18" s="1867"/>
      <c r="BK18" s="1867"/>
      <c r="BL18" s="1867"/>
      <c r="BM18" s="1867"/>
      <c r="BN18" s="1867"/>
      <c r="BO18" s="1867"/>
      <c r="BP18" s="1867"/>
      <c r="BQ18" s="1867"/>
    </row>
    <row r="19" spans="1:69" s="362" customFormat="1" ht="29.25" customHeight="1" x14ac:dyDescent="0.2">
      <c r="A19" s="3341"/>
      <c r="B19" s="3345"/>
      <c r="C19" s="3346"/>
      <c r="D19" s="3341"/>
      <c r="E19" s="3341"/>
      <c r="F19" s="3350"/>
      <c r="G19" s="369"/>
      <c r="H19" s="916"/>
      <c r="I19" s="917"/>
      <c r="J19" s="3278"/>
      <c r="K19" s="3183"/>
      <c r="L19" s="3231"/>
      <c r="M19" s="3327"/>
      <c r="N19" s="3196"/>
      <c r="O19" s="3283"/>
      <c r="P19" s="3176"/>
      <c r="Q19" s="3321"/>
      <c r="R19" s="3323"/>
      <c r="S19" s="3179"/>
      <c r="T19" s="3195"/>
      <c r="U19" s="3229"/>
      <c r="V19" s="2271">
        <f>0+200000000</f>
        <v>200000000</v>
      </c>
      <c r="W19" s="1430">
        <v>92</v>
      </c>
      <c r="X19" s="2314" t="s">
        <v>1183</v>
      </c>
      <c r="Y19" s="3356"/>
      <c r="Z19" s="3359"/>
      <c r="AA19" s="3333"/>
      <c r="AB19" s="3333"/>
      <c r="AC19" s="3333"/>
      <c r="AD19" s="3333"/>
      <c r="AE19" s="3333"/>
      <c r="AF19" s="3333"/>
      <c r="AG19" s="3330"/>
      <c r="AH19" s="3333"/>
      <c r="AI19" s="3333"/>
      <c r="AJ19" s="3333"/>
      <c r="AK19" s="3333"/>
      <c r="AL19" s="3333"/>
      <c r="AM19" s="3333"/>
      <c r="AN19" s="3329"/>
      <c r="AO19" s="915"/>
      <c r="AP19" s="2042"/>
      <c r="AQ19" s="3326"/>
      <c r="AR19" s="1867"/>
      <c r="AS19" s="1867"/>
      <c r="AT19" s="1867"/>
      <c r="AU19" s="1867"/>
      <c r="AV19" s="1867"/>
      <c r="AW19" s="1867"/>
      <c r="AX19" s="1867"/>
      <c r="AY19" s="1867"/>
      <c r="AZ19" s="1867"/>
      <c r="BA19" s="1867"/>
      <c r="BB19" s="1867"/>
      <c r="BC19" s="1867"/>
      <c r="BD19" s="1867"/>
      <c r="BE19" s="1867"/>
      <c r="BF19" s="1867"/>
      <c r="BG19" s="1867"/>
      <c r="BH19" s="1867"/>
      <c r="BI19" s="1867"/>
      <c r="BJ19" s="1867"/>
      <c r="BK19" s="1867"/>
      <c r="BL19" s="1867"/>
      <c r="BM19" s="1867"/>
      <c r="BN19" s="1867"/>
      <c r="BO19" s="1867"/>
      <c r="BP19" s="1867"/>
      <c r="BQ19" s="1867"/>
    </row>
    <row r="20" spans="1:69" s="362" customFormat="1" ht="66.75" customHeight="1" x14ac:dyDescent="0.2">
      <c r="A20" s="3341"/>
      <c r="B20" s="3345"/>
      <c r="C20" s="3346"/>
      <c r="D20" s="3341"/>
      <c r="E20" s="3341"/>
      <c r="F20" s="3350"/>
      <c r="G20" s="369"/>
      <c r="H20" s="916"/>
      <c r="I20" s="917"/>
      <c r="J20" s="3278"/>
      <c r="K20" s="3183"/>
      <c r="L20" s="3231"/>
      <c r="M20" s="3327"/>
      <c r="N20" s="3196"/>
      <c r="O20" s="3283"/>
      <c r="P20" s="3176"/>
      <c r="Q20" s="3321"/>
      <c r="R20" s="3323"/>
      <c r="S20" s="3179"/>
      <c r="T20" s="3195"/>
      <c r="U20" s="2315" t="s">
        <v>1192</v>
      </c>
      <c r="V20" s="2271">
        <v>25000000</v>
      </c>
      <c r="W20" s="1430">
        <v>20</v>
      </c>
      <c r="X20" s="1971" t="s">
        <v>61</v>
      </c>
      <c r="Y20" s="3356"/>
      <c r="Z20" s="3359"/>
      <c r="AA20" s="3333"/>
      <c r="AB20" s="3333"/>
      <c r="AC20" s="3333"/>
      <c r="AD20" s="3333"/>
      <c r="AE20" s="3333"/>
      <c r="AF20" s="3333"/>
      <c r="AG20" s="3330"/>
      <c r="AH20" s="3333"/>
      <c r="AI20" s="3333"/>
      <c r="AJ20" s="3333"/>
      <c r="AK20" s="3333"/>
      <c r="AL20" s="3333"/>
      <c r="AM20" s="3333"/>
      <c r="AN20" s="3329"/>
      <c r="AO20" s="918">
        <v>43678</v>
      </c>
      <c r="AP20" s="2042">
        <v>43819</v>
      </c>
      <c r="AQ20" s="3326"/>
      <c r="AR20" s="1867"/>
      <c r="AS20" s="1867"/>
      <c r="AT20" s="1867"/>
      <c r="AU20" s="1867"/>
      <c r="AV20" s="1867"/>
      <c r="AW20" s="1867"/>
      <c r="AX20" s="1867"/>
      <c r="AY20" s="1867"/>
      <c r="AZ20" s="1867"/>
      <c r="BA20" s="1867"/>
      <c r="BB20" s="1867"/>
      <c r="BC20" s="1867"/>
      <c r="BD20" s="1867"/>
      <c r="BE20" s="1867"/>
      <c r="BF20" s="1867"/>
      <c r="BG20" s="1867"/>
      <c r="BH20" s="1867"/>
      <c r="BI20" s="1867"/>
      <c r="BJ20" s="1867"/>
      <c r="BK20" s="1867"/>
      <c r="BL20" s="1867"/>
      <c r="BM20" s="1867"/>
      <c r="BN20" s="1867"/>
      <c r="BO20" s="1867"/>
      <c r="BP20" s="1867"/>
      <c r="BQ20" s="1867"/>
    </row>
    <row r="21" spans="1:69" s="362" customFormat="1" ht="33" customHeight="1" x14ac:dyDescent="0.2">
      <c r="A21" s="3341"/>
      <c r="B21" s="3345"/>
      <c r="C21" s="3346"/>
      <c r="D21" s="3341"/>
      <c r="E21" s="3341"/>
      <c r="F21" s="3350"/>
      <c r="G21" s="369"/>
      <c r="H21" s="916"/>
      <c r="I21" s="917"/>
      <c r="J21" s="3278">
        <v>217</v>
      </c>
      <c r="K21" s="3183" t="s">
        <v>1193</v>
      </c>
      <c r="L21" s="3231" t="s">
        <v>1194</v>
      </c>
      <c r="M21" s="3230">
        <v>5</v>
      </c>
      <c r="N21" s="2316"/>
      <c r="O21" s="3283"/>
      <c r="P21" s="3176"/>
      <c r="Q21" s="3321">
        <f>SUM(V21:V49)/R13</f>
        <v>0.8036010513470413</v>
      </c>
      <c r="R21" s="3323"/>
      <c r="S21" s="3179"/>
      <c r="T21" s="3195"/>
      <c r="U21" s="3354" t="s">
        <v>1195</v>
      </c>
      <c r="V21" s="2272">
        <f>1600000000+700000000-36759029-1170000</f>
        <v>2262070971</v>
      </c>
      <c r="W21" s="1432">
        <v>42</v>
      </c>
      <c r="X21" s="2317" t="s">
        <v>1196</v>
      </c>
      <c r="Y21" s="3356"/>
      <c r="Z21" s="3359"/>
      <c r="AA21" s="3333"/>
      <c r="AB21" s="3333"/>
      <c r="AC21" s="3333"/>
      <c r="AD21" s="3333"/>
      <c r="AE21" s="3333"/>
      <c r="AF21" s="3333"/>
      <c r="AG21" s="3330"/>
      <c r="AH21" s="3333"/>
      <c r="AI21" s="3333"/>
      <c r="AJ21" s="3333"/>
      <c r="AK21" s="3333"/>
      <c r="AL21" s="3333"/>
      <c r="AM21" s="3333"/>
      <c r="AN21" s="3329"/>
      <c r="AO21" s="915">
        <v>43647</v>
      </c>
      <c r="AP21" s="2042">
        <v>43819</v>
      </c>
      <c r="AQ21" s="3326"/>
      <c r="AR21" s="1867"/>
      <c r="AS21" s="1867"/>
      <c r="AT21" s="1867"/>
      <c r="AU21" s="1867"/>
      <c r="AV21" s="1867"/>
      <c r="AW21" s="1867"/>
      <c r="AX21" s="1867"/>
      <c r="AY21" s="1867"/>
      <c r="AZ21" s="1867"/>
      <c r="BA21" s="1867"/>
      <c r="BB21" s="1867"/>
      <c r="BC21" s="1867"/>
      <c r="BD21" s="1867"/>
      <c r="BE21" s="1867"/>
      <c r="BF21" s="1867"/>
      <c r="BG21" s="1867"/>
      <c r="BH21" s="1867"/>
      <c r="BI21" s="1867"/>
      <c r="BJ21" s="1867"/>
      <c r="BK21" s="1867"/>
      <c r="BL21" s="1867"/>
      <c r="BM21" s="1867"/>
      <c r="BN21" s="1867"/>
      <c r="BO21" s="1867"/>
      <c r="BP21" s="1867"/>
      <c r="BQ21" s="1867"/>
    </row>
    <row r="22" spans="1:69" s="362" customFormat="1" ht="30.75" customHeight="1" x14ac:dyDescent="0.2">
      <c r="A22" s="3341"/>
      <c r="B22" s="3345"/>
      <c r="C22" s="3346"/>
      <c r="D22" s="3341"/>
      <c r="E22" s="3341"/>
      <c r="F22" s="3350"/>
      <c r="G22" s="369"/>
      <c r="H22" s="916"/>
      <c r="I22" s="917"/>
      <c r="J22" s="3278"/>
      <c r="K22" s="3183"/>
      <c r="L22" s="3231"/>
      <c r="M22" s="3230"/>
      <c r="N22" s="2316"/>
      <c r="O22" s="3283"/>
      <c r="P22" s="3176"/>
      <c r="Q22" s="3321"/>
      <c r="R22" s="3323"/>
      <c r="S22" s="3179"/>
      <c r="T22" s="3195"/>
      <c r="U22" s="3193"/>
      <c r="V22" s="2270">
        <f>0+2200000000-65000000</f>
        <v>2135000000</v>
      </c>
      <c r="W22" s="1430">
        <v>92</v>
      </c>
      <c r="X22" s="2314" t="s">
        <v>1183</v>
      </c>
      <c r="Y22" s="3356"/>
      <c r="Z22" s="3359"/>
      <c r="AA22" s="3333"/>
      <c r="AB22" s="3333"/>
      <c r="AC22" s="3333"/>
      <c r="AD22" s="3333"/>
      <c r="AE22" s="3333"/>
      <c r="AF22" s="3333"/>
      <c r="AG22" s="3330"/>
      <c r="AH22" s="3333"/>
      <c r="AI22" s="3333"/>
      <c r="AJ22" s="3333"/>
      <c r="AK22" s="3333"/>
      <c r="AL22" s="3333"/>
      <c r="AM22" s="3333"/>
      <c r="AN22" s="3329"/>
      <c r="AO22" s="915"/>
      <c r="AP22" s="2042"/>
      <c r="AQ22" s="3326"/>
      <c r="AR22" s="1867"/>
      <c r="AS22" s="1867"/>
      <c r="AT22" s="1867"/>
      <c r="AU22" s="1867"/>
      <c r="AV22" s="1867"/>
      <c r="AW22" s="1867"/>
      <c r="AX22" s="1867"/>
      <c r="AY22" s="1867"/>
      <c r="AZ22" s="1867"/>
      <c r="BA22" s="1867"/>
      <c r="BB22" s="1867"/>
      <c r="BC22" s="1867"/>
      <c r="BD22" s="1867"/>
      <c r="BE22" s="1867"/>
      <c r="BF22" s="1867"/>
      <c r="BG22" s="1867"/>
      <c r="BH22" s="1867"/>
      <c r="BI22" s="1867"/>
      <c r="BJ22" s="1867"/>
      <c r="BK22" s="1867"/>
      <c r="BL22" s="1867"/>
      <c r="BM22" s="1867"/>
      <c r="BN22" s="1867"/>
      <c r="BO22" s="1867"/>
      <c r="BP22" s="1867"/>
      <c r="BQ22" s="1867"/>
    </row>
    <row r="23" spans="1:69" s="362" customFormat="1" ht="28.5" x14ac:dyDescent="0.2">
      <c r="A23" s="3341"/>
      <c r="B23" s="3345"/>
      <c r="C23" s="3346"/>
      <c r="D23" s="3341"/>
      <c r="E23" s="3341"/>
      <c r="F23" s="3350"/>
      <c r="G23" s="369"/>
      <c r="H23" s="916"/>
      <c r="I23" s="917"/>
      <c r="J23" s="3278"/>
      <c r="K23" s="3183"/>
      <c r="L23" s="3231"/>
      <c r="M23" s="3230"/>
      <c r="N23" s="2316"/>
      <c r="O23" s="3283"/>
      <c r="P23" s="3176"/>
      <c r="Q23" s="3321"/>
      <c r="R23" s="3323"/>
      <c r="S23" s="3179"/>
      <c r="T23" s="3195"/>
      <c r="U23" s="3192" t="s">
        <v>1197</v>
      </c>
      <c r="V23" s="2270">
        <f>150000000-50000000+3000000</f>
        <v>103000000</v>
      </c>
      <c r="W23" s="1430">
        <v>42</v>
      </c>
      <c r="X23" s="2314" t="s">
        <v>1196</v>
      </c>
      <c r="Y23" s="3356"/>
      <c r="Z23" s="3359"/>
      <c r="AA23" s="3333"/>
      <c r="AB23" s="3333"/>
      <c r="AC23" s="3333"/>
      <c r="AD23" s="3333"/>
      <c r="AE23" s="3333"/>
      <c r="AF23" s="3333"/>
      <c r="AG23" s="3330"/>
      <c r="AH23" s="3333"/>
      <c r="AI23" s="3333"/>
      <c r="AJ23" s="3333"/>
      <c r="AK23" s="3333"/>
      <c r="AL23" s="3333"/>
      <c r="AM23" s="3333"/>
      <c r="AN23" s="3329"/>
      <c r="AO23" s="915">
        <v>43539</v>
      </c>
      <c r="AP23" s="2042">
        <v>43819</v>
      </c>
      <c r="AQ23" s="3326"/>
      <c r="AR23" s="1867"/>
      <c r="AS23" s="1867"/>
      <c r="AT23" s="1867"/>
      <c r="AU23" s="1867"/>
      <c r="AV23" s="1867"/>
      <c r="AW23" s="1867"/>
      <c r="AX23" s="1867"/>
      <c r="AY23" s="1867"/>
      <c r="AZ23" s="1867"/>
      <c r="BA23" s="1867"/>
      <c r="BB23" s="1867"/>
      <c r="BC23" s="1867"/>
      <c r="BD23" s="1867"/>
      <c r="BE23" s="1867"/>
      <c r="BF23" s="1867"/>
      <c r="BG23" s="1867"/>
      <c r="BH23" s="1867"/>
      <c r="BI23" s="1867"/>
      <c r="BJ23" s="1867"/>
      <c r="BK23" s="1867"/>
      <c r="BL23" s="1867"/>
      <c r="BM23" s="1867"/>
      <c r="BN23" s="1867"/>
      <c r="BO23" s="1867"/>
      <c r="BP23" s="1867"/>
      <c r="BQ23" s="1867"/>
    </row>
    <row r="24" spans="1:69" s="362" customFormat="1" ht="24" customHeight="1" x14ac:dyDescent="0.2">
      <c r="A24" s="3341"/>
      <c r="B24" s="3345"/>
      <c r="C24" s="3346"/>
      <c r="D24" s="3341"/>
      <c r="E24" s="3341"/>
      <c r="F24" s="3350"/>
      <c r="G24" s="369"/>
      <c r="H24" s="916"/>
      <c r="I24" s="917"/>
      <c r="J24" s="3278"/>
      <c r="K24" s="3183"/>
      <c r="L24" s="3231"/>
      <c r="M24" s="3230"/>
      <c r="N24" s="2316"/>
      <c r="O24" s="3283"/>
      <c r="P24" s="3176"/>
      <c r="Q24" s="3321"/>
      <c r="R24" s="3323"/>
      <c r="S24" s="3179"/>
      <c r="T24" s="3195"/>
      <c r="U24" s="3193"/>
      <c r="V24" s="2270">
        <f>0+98623337+1759029+99617634</f>
        <v>200000000</v>
      </c>
      <c r="W24" s="1430">
        <v>92</v>
      </c>
      <c r="X24" s="2314" t="s">
        <v>1183</v>
      </c>
      <c r="Y24" s="3356"/>
      <c r="Z24" s="3359"/>
      <c r="AA24" s="3333"/>
      <c r="AB24" s="3333"/>
      <c r="AC24" s="3333"/>
      <c r="AD24" s="3333"/>
      <c r="AE24" s="3333"/>
      <c r="AF24" s="3333"/>
      <c r="AG24" s="3330"/>
      <c r="AH24" s="3333"/>
      <c r="AI24" s="3333"/>
      <c r="AJ24" s="3333"/>
      <c r="AK24" s="3333"/>
      <c r="AL24" s="3333"/>
      <c r="AM24" s="3333"/>
      <c r="AN24" s="3329"/>
      <c r="AO24" s="915"/>
      <c r="AP24" s="2042"/>
      <c r="AQ24" s="3326"/>
      <c r="AR24" s="1867"/>
      <c r="AS24" s="1867"/>
      <c r="AT24" s="1867"/>
      <c r="AU24" s="1867"/>
      <c r="AV24" s="1867"/>
      <c r="AW24" s="1867"/>
      <c r="AX24" s="1867"/>
      <c r="AY24" s="1867"/>
      <c r="AZ24" s="1867"/>
      <c r="BA24" s="1867"/>
      <c r="BB24" s="1867"/>
      <c r="BC24" s="1867"/>
      <c r="BD24" s="1867"/>
      <c r="BE24" s="1867"/>
      <c r="BF24" s="1867"/>
      <c r="BG24" s="1867"/>
      <c r="BH24" s="1867"/>
      <c r="BI24" s="1867"/>
      <c r="BJ24" s="1867"/>
      <c r="BK24" s="1867"/>
      <c r="BL24" s="1867"/>
      <c r="BM24" s="1867"/>
      <c r="BN24" s="1867"/>
      <c r="BO24" s="1867"/>
      <c r="BP24" s="1867"/>
      <c r="BQ24" s="1867"/>
    </row>
    <row r="25" spans="1:69" s="362" customFormat="1" ht="29.25" customHeight="1" x14ac:dyDescent="0.2">
      <c r="A25" s="3341"/>
      <c r="B25" s="3345"/>
      <c r="C25" s="3346"/>
      <c r="D25" s="3341"/>
      <c r="E25" s="3341"/>
      <c r="F25" s="3350"/>
      <c r="G25" s="369"/>
      <c r="H25" s="916"/>
      <c r="I25" s="917"/>
      <c r="J25" s="3278"/>
      <c r="K25" s="3183"/>
      <c r="L25" s="3231"/>
      <c r="M25" s="3230"/>
      <c r="N25" s="2316"/>
      <c r="O25" s="3283"/>
      <c r="P25" s="3176"/>
      <c r="Q25" s="3321"/>
      <c r="R25" s="3323"/>
      <c r="S25" s="3179"/>
      <c r="T25" s="3195"/>
      <c r="U25" s="3192" t="s">
        <v>1198</v>
      </c>
      <c r="V25" s="2270">
        <f>50000000+50000000</f>
        <v>100000000</v>
      </c>
      <c r="W25" s="1430">
        <v>42</v>
      </c>
      <c r="X25" s="2314" t="s">
        <v>1196</v>
      </c>
      <c r="Y25" s="3356"/>
      <c r="Z25" s="3359"/>
      <c r="AA25" s="3333"/>
      <c r="AB25" s="3333"/>
      <c r="AC25" s="3333"/>
      <c r="AD25" s="3333"/>
      <c r="AE25" s="3333"/>
      <c r="AF25" s="3333"/>
      <c r="AG25" s="3330"/>
      <c r="AH25" s="3333"/>
      <c r="AI25" s="3333"/>
      <c r="AJ25" s="3333"/>
      <c r="AK25" s="3333"/>
      <c r="AL25" s="3333"/>
      <c r="AM25" s="3333"/>
      <c r="AN25" s="3329"/>
      <c r="AO25" s="915">
        <v>43539</v>
      </c>
      <c r="AP25" s="2042">
        <v>43819</v>
      </c>
      <c r="AQ25" s="3326"/>
      <c r="AR25" s="1867"/>
      <c r="AS25" s="1867"/>
      <c r="AT25" s="1867"/>
      <c r="AU25" s="1867"/>
      <c r="AV25" s="1867"/>
      <c r="AW25" s="1867"/>
      <c r="AX25" s="1867"/>
      <c r="AY25" s="1867"/>
      <c r="AZ25" s="1867"/>
      <c r="BA25" s="1867"/>
      <c r="BB25" s="1867"/>
      <c r="BC25" s="1867"/>
      <c r="BD25" s="1867"/>
      <c r="BE25" s="1867"/>
      <c r="BF25" s="1867"/>
      <c r="BG25" s="1867"/>
      <c r="BH25" s="1867"/>
      <c r="BI25" s="1867"/>
      <c r="BJ25" s="1867"/>
      <c r="BK25" s="1867"/>
      <c r="BL25" s="1867"/>
      <c r="BM25" s="1867"/>
      <c r="BN25" s="1867"/>
      <c r="BO25" s="1867"/>
      <c r="BP25" s="1867"/>
      <c r="BQ25" s="1867"/>
    </row>
    <row r="26" spans="1:69" s="362" customFormat="1" ht="25.5" customHeight="1" x14ac:dyDescent="0.2">
      <c r="A26" s="3341"/>
      <c r="B26" s="3345"/>
      <c r="C26" s="3346"/>
      <c r="D26" s="3341"/>
      <c r="E26" s="3341"/>
      <c r="F26" s="3350"/>
      <c r="G26" s="369"/>
      <c r="H26" s="916"/>
      <c r="I26" s="917"/>
      <c r="J26" s="3278"/>
      <c r="K26" s="3183"/>
      <c r="L26" s="3231"/>
      <c r="M26" s="3230"/>
      <c r="N26" s="2316"/>
      <c r="O26" s="3283"/>
      <c r="P26" s="3176"/>
      <c r="Q26" s="3321"/>
      <c r="R26" s="3323"/>
      <c r="S26" s="3179"/>
      <c r="T26" s="3195"/>
      <c r="U26" s="3193"/>
      <c r="V26" s="2270">
        <f>0+20000000-20000000</f>
        <v>0</v>
      </c>
      <c r="W26" s="1430">
        <v>92</v>
      </c>
      <c r="X26" s="2314" t="s">
        <v>1183</v>
      </c>
      <c r="Y26" s="3356"/>
      <c r="Z26" s="3359"/>
      <c r="AA26" s="3333"/>
      <c r="AB26" s="3333"/>
      <c r="AC26" s="3333"/>
      <c r="AD26" s="3333"/>
      <c r="AE26" s="3333"/>
      <c r="AF26" s="3333"/>
      <c r="AG26" s="3330"/>
      <c r="AH26" s="3333"/>
      <c r="AI26" s="3333"/>
      <c r="AJ26" s="3333"/>
      <c r="AK26" s="3333"/>
      <c r="AL26" s="3333"/>
      <c r="AM26" s="3333"/>
      <c r="AN26" s="3329"/>
      <c r="AO26" s="915"/>
      <c r="AP26" s="2042"/>
      <c r="AQ26" s="3326"/>
      <c r="AR26" s="1867"/>
      <c r="AS26" s="1867"/>
      <c r="AT26" s="1867"/>
      <c r="AU26" s="1867"/>
      <c r="AV26" s="1867"/>
      <c r="AW26" s="1867"/>
      <c r="AX26" s="1867"/>
      <c r="AY26" s="1867"/>
      <c r="AZ26" s="1867"/>
      <c r="BA26" s="1867"/>
      <c r="BB26" s="1867"/>
      <c r="BC26" s="1867"/>
      <c r="BD26" s="1867"/>
      <c r="BE26" s="1867"/>
      <c r="BF26" s="1867"/>
      <c r="BG26" s="1867"/>
      <c r="BH26" s="1867"/>
      <c r="BI26" s="1867"/>
      <c r="BJ26" s="1867"/>
      <c r="BK26" s="1867"/>
      <c r="BL26" s="1867"/>
      <c r="BM26" s="1867"/>
      <c r="BN26" s="1867"/>
      <c r="BO26" s="1867"/>
      <c r="BP26" s="1867"/>
      <c r="BQ26" s="1867"/>
    </row>
    <row r="27" spans="1:69" s="362" customFormat="1" ht="41.25" customHeight="1" x14ac:dyDescent="0.2">
      <c r="A27" s="3341"/>
      <c r="B27" s="3345"/>
      <c r="C27" s="3346"/>
      <c r="D27" s="3341"/>
      <c r="E27" s="3341"/>
      <c r="F27" s="3350"/>
      <c r="G27" s="369"/>
      <c r="H27" s="916"/>
      <c r="I27" s="917"/>
      <c r="J27" s="3278"/>
      <c r="K27" s="3183"/>
      <c r="L27" s="3231"/>
      <c r="M27" s="3230"/>
      <c r="N27" s="2316"/>
      <c r="O27" s="3283"/>
      <c r="P27" s="3176"/>
      <c r="Q27" s="3321"/>
      <c r="R27" s="3323"/>
      <c r="S27" s="3179"/>
      <c r="T27" s="3195"/>
      <c r="U27" s="1435" t="s">
        <v>1199</v>
      </c>
      <c r="V27" s="2270">
        <f>3000000-3000000</f>
        <v>0</v>
      </c>
      <c r="W27" s="1430">
        <v>42</v>
      </c>
      <c r="X27" s="2314" t="s">
        <v>1196</v>
      </c>
      <c r="Y27" s="3356"/>
      <c r="Z27" s="3359"/>
      <c r="AA27" s="3333"/>
      <c r="AB27" s="3333"/>
      <c r="AC27" s="3333"/>
      <c r="AD27" s="3333"/>
      <c r="AE27" s="3333"/>
      <c r="AF27" s="3333"/>
      <c r="AG27" s="3330"/>
      <c r="AH27" s="3333"/>
      <c r="AI27" s="3333"/>
      <c r="AJ27" s="3333"/>
      <c r="AK27" s="3333"/>
      <c r="AL27" s="3333"/>
      <c r="AM27" s="3333"/>
      <c r="AN27" s="3329"/>
      <c r="AO27" s="915">
        <v>43539</v>
      </c>
      <c r="AP27" s="2042">
        <v>43646</v>
      </c>
      <c r="AQ27" s="3326"/>
      <c r="AR27" s="1867"/>
      <c r="AS27" s="1867"/>
      <c r="AT27" s="1867"/>
      <c r="AU27" s="1867"/>
      <c r="AV27" s="1867"/>
      <c r="AW27" s="1867"/>
      <c r="AX27" s="1867"/>
      <c r="AY27" s="1867"/>
      <c r="AZ27" s="1867"/>
      <c r="BA27" s="1867"/>
      <c r="BB27" s="1867"/>
      <c r="BC27" s="1867"/>
      <c r="BD27" s="1867"/>
      <c r="BE27" s="1867"/>
      <c r="BF27" s="1867"/>
      <c r="BG27" s="1867"/>
      <c r="BH27" s="1867"/>
      <c r="BI27" s="1867"/>
      <c r="BJ27" s="1867"/>
      <c r="BK27" s="1867"/>
      <c r="BL27" s="1867"/>
      <c r="BM27" s="1867"/>
      <c r="BN27" s="1867"/>
      <c r="BO27" s="1867"/>
      <c r="BP27" s="1867"/>
      <c r="BQ27" s="1867"/>
    </row>
    <row r="28" spans="1:69" s="362" customFormat="1" ht="28.5" x14ac:dyDescent="0.2">
      <c r="A28" s="3341"/>
      <c r="B28" s="3345"/>
      <c r="C28" s="3346"/>
      <c r="D28" s="3341"/>
      <c r="E28" s="3341"/>
      <c r="F28" s="3350"/>
      <c r="G28" s="369"/>
      <c r="H28" s="916"/>
      <c r="I28" s="917"/>
      <c r="J28" s="3278"/>
      <c r="K28" s="3183"/>
      <c r="L28" s="3231"/>
      <c r="M28" s="3230"/>
      <c r="N28" s="2316" t="s">
        <v>1200</v>
      </c>
      <c r="O28" s="3283"/>
      <c r="P28" s="3176"/>
      <c r="Q28" s="3321"/>
      <c r="R28" s="3323"/>
      <c r="S28" s="3179"/>
      <c r="T28" s="3195"/>
      <c r="U28" s="3192" t="s">
        <v>1201</v>
      </c>
      <c r="V28" s="2270">
        <v>50000000</v>
      </c>
      <c r="W28" s="1430">
        <v>42</v>
      </c>
      <c r="X28" s="2314" t="s">
        <v>1196</v>
      </c>
      <c r="Y28" s="3356"/>
      <c r="Z28" s="3359"/>
      <c r="AA28" s="3333"/>
      <c r="AB28" s="3333"/>
      <c r="AC28" s="3333"/>
      <c r="AD28" s="3333"/>
      <c r="AE28" s="3333"/>
      <c r="AF28" s="3333"/>
      <c r="AG28" s="3330"/>
      <c r="AH28" s="3333"/>
      <c r="AI28" s="3333"/>
      <c r="AJ28" s="3333"/>
      <c r="AK28" s="3333"/>
      <c r="AL28" s="3333"/>
      <c r="AM28" s="3333"/>
      <c r="AN28" s="3329"/>
      <c r="AO28" s="915">
        <v>43570</v>
      </c>
      <c r="AP28" s="2042">
        <v>43819</v>
      </c>
      <c r="AQ28" s="3326"/>
      <c r="AR28" s="1867"/>
      <c r="AS28" s="1867"/>
      <c r="AT28" s="1867"/>
      <c r="AU28" s="1867"/>
      <c r="AV28" s="1867"/>
      <c r="AW28" s="1867"/>
      <c r="AX28" s="1867"/>
      <c r="AY28" s="1867"/>
      <c r="AZ28" s="1867"/>
      <c r="BA28" s="1867"/>
      <c r="BB28" s="1867"/>
      <c r="BC28" s="1867"/>
      <c r="BD28" s="1867"/>
      <c r="BE28" s="1867"/>
      <c r="BF28" s="1867"/>
      <c r="BG28" s="1867"/>
      <c r="BH28" s="1867"/>
      <c r="BI28" s="1867"/>
      <c r="BJ28" s="1867"/>
      <c r="BK28" s="1867"/>
      <c r="BL28" s="1867"/>
      <c r="BM28" s="1867"/>
      <c r="BN28" s="1867"/>
      <c r="BO28" s="1867"/>
      <c r="BP28" s="1867"/>
      <c r="BQ28" s="1867"/>
    </row>
    <row r="29" spans="1:69" s="362" customFormat="1" ht="17.25" customHeight="1" x14ac:dyDescent="0.2">
      <c r="A29" s="3341"/>
      <c r="B29" s="3345"/>
      <c r="C29" s="3346"/>
      <c r="D29" s="3341"/>
      <c r="E29" s="3341"/>
      <c r="F29" s="3350"/>
      <c r="G29" s="369"/>
      <c r="H29" s="916"/>
      <c r="I29" s="917"/>
      <c r="J29" s="3278"/>
      <c r="K29" s="3183"/>
      <c r="L29" s="3231"/>
      <c r="M29" s="3230"/>
      <c r="N29" s="2316"/>
      <c r="O29" s="3283"/>
      <c r="P29" s="3176"/>
      <c r="Q29" s="3321"/>
      <c r="R29" s="3323"/>
      <c r="S29" s="3179"/>
      <c r="T29" s="3195"/>
      <c r="U29" s="3193"/>
      <c r="V29" s="2270">
        <f>0+47000000-47000000</f>
        <v>0</v>
      </c>
      <c r="W29" s="1430">
        <v>92</v>
      </c>
      <c r="X29" s="2314" t="s">
        <v>1183</v>
      </c>
      <c r="Y29" s="3356"/>
      <c r="Z29" s="3359"/>
      <c r="AA29" s="3333"/>
      <c r="AB29" s="3333"/>
      <c r="AC29" s="3333"/>
      <c r="AD29" s="3333"/>
      <c r="AE29" s="3333"/>
      <c r="AF29" s="3333"/>
      <c r="AG29" s="3330"/>
      <c r="AH29" s="3333"/>
      <c r="AI29" s="3333"/>
      <c r="AJ29" s="3333"/>
      <c r="AK29" s="3333"/>
      <c r="AL29" s="3333"/>
      <c r="AM29" s="3333"/>
      <c r="AN29" s="3329"/>
      <c r="AO29" s="915"/>
      <c r="AP29" s="2042"/>
      <c r="AQ29" s="3326"/>
      <c r="AR29" s="1867"/>
      <c r="AS29" s="1867"/>
      <c r="AT29" s="1867"/>
      <c r="AU29" s="1867"/>
      <c r="AV29" s="1867"/>
      <c r="AW29" s="1867"/>
      <c r="AX29" s="1867"/>
      <c r="AY29" s="1867"/>
      <c r="AZ29" s="1867"/>
      <c r="BA29" s="1867"/>
      <c r="BB29" s="1867"/>
      <c r="BC29" s="1867"/>
      <c r="BD29" s="1867"/>
      <c r="BE29" s="1867"/>
      <c r="BF29" s="1867"/>
      <c r="BG29" s="1867"/>
      <c r="BH29" s="1867"/>
      <c r="BI29" s="1867"/>
      <c r="BJ29" s="1867"/>
      <c r="BK29" s="1867"/>
      <c r="BL29" s="1867"/>
      <c r="BM29" s="1867"/>
      <c r="BN29" s="1867"/>
      <c r="BO29" s="1867"/>
      <c r="BP29" s="1867"/>
      <c r="BQ29" s="1867"/>
    </row>
    <row r="30" spans="1:69" s="362" customFormat="1" ht="31.5" customHeight="1" x14ac:dyDescent="0.2">
      <c r="A30" s="3341"/>
      <c r="B30" s="3345"/>
      <c r="C30" s="3346"/>
      <c r="D30" s="3341"/>
      <c r="E30" s="3341"/>
      <c r="F30" s="3350"/>
      <c r="G30" s="369"/>
      <c r="H30" s="916"/>
      <c r="I30" s="917"/>
      <c r="J30" s="3278"/>
      <c r="K30" s="3183"/>
      <c r="L30" s="3231"/>
      <c r="M30" s="3230"/>
      <c r="N30" s="2316"/>
      <c r="O30" s="3283"/>
      <c r="P30" s="3176"/>
      <c r="Q30" s="3321"/>
      <c r="R30" s="3323"/>
      <c r="S30" s="3179"/>
      <c r="T30" s="3195"/>
      <c r="U30" s="3192" t="s">
        <v>1202</v>
      </c>
      <c r="V30" s="2270">
        <v>35100000</v>
      </c>
      <c r="W30" s="1430">
        <v>42</v>
      </c>
      <c r="X30" s="2314" t="s">
        <v>1196</v>
      </c>
      <c r="Y30" s="3356"/>
      <c r="Z30" s="3359"/>
      <c r="AA30" s="3333"/>
      <c r="AB30" s="3333"/>
      <c r="AC30" s="3333"/>
      <c r="AD30" s="3333"/>
      <c r="AE30" s="3333"/>
      <c r="AF30" s="3333"/>
      <c r="AG30" s="3330"/>
      <c r="AH30" s="3333"/>
      <c r="AI30" s="3333"/>
      <c r="AJ30" s="3333"/>
      <c r="AK30" s="3333"/>
      <c r="AL30" s="3333"/>
      <c r="AM30" s="3333"/>
      <c r="AN30" s="3329"/>
      <c r="AO30" s="915">
        <v>43539</v>
      </c>
      <c r="AP30" s="2042">
        <v>43819</v>
      </c>
      <c r="AQ30" s="3326"/>
      <c r="AR30" s="1867"/>
      <c r="AS30" s="1867"/>
      <c r="AT30" s="1867"/>
      <c r="AU30" s="1867"/>
      <c r="AV30" s="1867"/>
      <c r="AW30" s="1867"/>
      <c r="AX30" s="1867"/>
      <c r="AY30" s="1867"/>
      <c r="AZ30" s="1867"/>
      <c r="BA30" s="1867"/>
      <c r="BB30" s="1867"/>
      <c r="BC30" s="1867"/>
      <c r="BD30" s="1867"/>
      <c r="BE30" s="1867"/>
      <c r="BF30" s="1867"/>
      <c r="BG30" s="1867"/>
      <c r="BH30" s="1867"/>
      <c r="BI30" s="1867"/>
      <c r="BJ30" s="1867"/>
      <c r="BK30" s="1867"/>
      <c r="BL30" s="1867"/>
      <c r="BM30" s="1867"/>
      <c r="BN30" s="1867"/>
      <c r="BO30" s="1867"/>
      <c r="BP30" s="1867"/>
      <c r="BQ30" s="1867"/>
    </row>
    <row r="31" spans="1:69" s="362" customFormat="1" ht="31.5" customHeight="1" x14ac:dyDescent="0.2">
      <c r="A31" s="3341"/>
      <c r="B31" s="3345"/>
      <c r="C31" s="3346"/>
      <c r="D31" s="3341"/>
      <c r="E31" s="3341"/>
      <c r="F31" s="3350"/>
      <c r="G31" s="369"/>
      <c r="H31" s="916"/>
      <c r="I31" s="917"/>
      <c r="J31" s="3278"/>
      <c r="K31" s="3183"/>
      <c r="L31" s="3231"/>
      <c r="M31" s="3230"/>
      <c r="N31" s="2316"/>
      <c r="O31" s="3283"/>
      <c r="P31" s="3176"/>
      <c r="Q31" s="3321"/>
      <c r="R31" s="3323"/>
      <c r="S31" s="3179"/>
      <c r="T31" s="3195"/>
      <c r="U31" s="3193"/>
      <c r="V31" s="2270">
        <f>0+85000000</f>
        <v>85000000</v>
      </c>
      <c r="W31" s="1430">
        <v>92</v>
      </c>
      <c r="X31" s="2314" t="s">
        <v>1183</v>
      </c>
      <c r="Y31" s="3356"/>
      <c r="Z31" s="3359"/>
      <c r="AA31" s="3333"/>
      <c r="AB31" s="3333"/>
      <c r="AC31" s="3333"/>
      <c r="AD31" s="3333"/>
      <c r="AE31" s="3333"/>
      <c r="AF31" s="3333"/>
      <c r="AG31" s="3330"/>
      <c r="AH31" s="3333"/>
      <c r="AI31" s="3333"/>
      <c r="AJ31" s="3333"/>
      <c r="AK31" s="3333"/>
      <c r="AL31" s="3333"/>
      <c r="AM31" s="3333"/>
      <c r="AN31" s="3329"/>
      <c r="AO31" s="915"/>
      <c r="AP31" s="2042"/>
      <c r="AQ31" s="3326"/>
      <c r="AR31" s="1867"/>
      <c r="AS31" s="1867"/>
      <c r="AT31" s="1867"/>
      <c r="AU31" s="1867"/>
      <c r="AV31" s="1867"/>
      <c r="AW31" s="1867"/>
      <c r="AX31" s="1867"/>
      <c r="AY31" s="1867"/>
      <c r="AZ31" s="1867"/>
      <c r="BA31" s="1867"/>
      <c r="BB31" s="1867"/>
      <c r="BC31" s="1867"/>
      <c r="BD31" s="1867"/>
      <c r="BE31" s="1867"/>
      <c r="BF31" s="1867"/>
      <c r="BG31" s="1867"/>
      <c r="BH31" s="1867"/>
      <c r="BI31" s="1867"/>
      <c r="BJ31" s="1867"/>
      <c r="BK31" s="1867"/>
      <c r="BL31" s="1867"/>
      <c r="BM31" s="1867"/>
      <c r="BN31" s="1867"/>
      <c r="BO31" s="1867"/>
      <c r="BP31" s="1867"/>
      <c r="BQ31" s="1867"/>
    </row>
    <row r="32" spans="1:69" s="362" customFormat="1" ht="28.5" x14ac:dyDescent="0.2">
      <c r="A32" s="3341"/>
      <c r="B32" s="3345"/>
      <c r="C32" s="3346"/>
      <c r="D32" s="3341"/>
      <c r="E32" s="3341"/>
      <c r="F32" s="3350"/>
      <c r="G32" s="369"/>
      <c r="H32" s="916"/>
      <c r="I32" s="917"/>
      <c r="J32" s="3278"/>
      <c r="K32" s="3183"/>
      <c r="L32" s="3231"/>
      <c r="M32" s="3230"/>
      <c r="N32" s="2316" t="s">
        <v>1203</v>
      </c>
      <c r="O32" s="3283"/>
      <c r="P32" s="3176"/>
      <c r="Q32" s="3321"/>
      <c r="R32" s="3323"/>
      <c r="S32" s="3179"/>
      <c r="T32" s="3195"/>
      <c r="U32" s="3192" t="s">
        <v>1204</v>
      </c>
      <c r="V32" s="2270">
        <v>20000000</v>
      </c>
      <c r="W32" s="1430">
        <v>42</v>
      </c>
      <c r="X32" s="2314" t="s">
        <v>1196</v>
      </c>
      <c r="Y32" s="3356"/>
      <c r="Z32" s="3359"/>
      <c r="AA32" s="3333"/>
      <c r="AB32" s="3333"/>
      <c r="AC32" s="3333"/>
      <c r="AD32" s="3333"/>
      <c r="AE32" s="3333"/>
      <c r="AF32" s="3333"/>
      <c r="AG32" s="3330"/>
      <c r="AH32" s="3333"/>
      <c r="AI32" s="3333"/>
      <c r="AJ32" s="3333"/>
      <c r="AK32" s="3333"/>
      <c r="AL32" s="3333"/>
      <c r="AM32" s="3333"/>
      <c r="AN32" s="3329"/>
      <c r="AO32" s="915">
        <v>43570</v>
      </c>
      <c r="AP32" s="2042">
        <v>43819</v>
      </c>
      <c r="AQ32" s="3326"/>
      <c r="AR32" s="1867"/>
      <c r="AS32" s="1867"/>
      <c r="AT32" s="1867"/>
      <c r="AU32" s="1867"/>
      <c r="AV32" s="1867"/>
      <c r="AW32" s="1867"/>
      <c r="AX32" s="1867"/>
      <c r="AY32" s="1867"/>
      <c r="AZ32" s="1867"/>
      <c r="BA32" s="1867"/>
      <c r="BB32" s="1867"/>
      <c r="BC32" s="1867"/>
      <c r="BD32" s="1867"/>
      <c r="BE32" s="1867"/>
      <c r="BF32" s="1867"/>
      <c r="BG32" s="1867"/>
      <c r="BH32" s="1867"/>
      <c r="BI32" s="1867"/>
      <c r="BJ32" s="1867"/>
      <c r="BK32" s="1867"/>
      <c r="BL32" s="1867"/>
      <c r="BM32" s="1867"/>
      <c r="BN32" s="1867"/>
      <c r="BO32" s="1867"/>
      <c r="BP32" s="1867"/>
      <c r="BQ32" s="1867"/>
    </row>
    <row r="33" spans="1:69" s="362" customFormat="1" ht="24.75" customHeight="1" x14ac:dyDescent="0.2">
      <c r="A33" s="3341"/>
      <c r="B33" s="3345"/>
      <c r="C33" s="3346"/>
      <c r="D33" s="3341"/>
      <c r="E33" s="3341"/>
      <c r="F33" s="3350"/>
      <c r="G33" s="369"/>
      <c r="H33" s="916"/>
      <c r="I33" s="917"/>
      <c r="J33" s="3278"/>
      <c r="K33" s="3183"/>
      <c r="L33" s="3231"/>
      <c r="M33" s="3230"/>
      <c r="N33" s="2316"/>
      <c r="O33" s="3283"/>
      <c r="P33" s="3176"/>
      <c r="Q33" s="3321"/>
      <c r="R33" s="3323"/>
      <c r="S33" s="3179"/>
      <c r="T33" s="3195"/>
      <c r="U33" s="3193"/>
      <c r="V33" s="2270">
        <f>0+53000000-9617634</f>
        <v>43382366</v>
      </c>
      <c r="W33" s="1430">
        <v>92</v>
      </c>
      <c r="X33" s="2314" t="s">
        <v>1183</v>
      </c>
      <c r="Y33" s="3356"/>
      <c r="Z33" s="3359"/>
      <c r="AA33" s="3333"/>
      <c r="AB33" s="3333"/>
      <c r="AC33" s="3333"/>
      <c r="AD33" s="3333"/>
      <c r="AE33" s="3333"/>
      <c r="AF33" s="3333"/>
      <c r="AG33" s="3330"/>
      <c r="AH33" s="3333"/>
      <c r="AI33" s="3333"/>
      <c r="AJ33" s="3333"/>
      <c r="AK33" s="3333"/>
      <c r="AL33" s="3333"/>
      <c r="AM33" s="3333"/>
      <c r="AN33" s="3329"/>
      <c r="AO33" s="915"/>
      <c r="AP33" s="2042"/>
      <c r="AQ33" s="3326"/>
      <c r="AR33" s="1867"/>
      <c r="AS33" s="1867"/>
      <c r="AT33" s="1867"/>
      <c r="AU33" s="1867"/>
      <c r="AV33" s="1867"/>
      <c r="AW33" s="1867"/>
      <c r="AX33" s="1867"/>
      <c r="AY33" s="1867"/>
      <c r="AZ33" s="1867"/>
      <c r="BA33" s="1867"/>
      <c r="BB33" s="1867"/>
      <c r="BC33" s="1867"/>
      <c r="BD33" s="1867"/>
      <c r="BE33" s="1867"/>
      <c r="BF33" s="1867"/>
      <c r="BG33" s="1867"/>
      <c r="BH33" s="1867"/>
      <c r="BI33" s="1867"/>
      <c r="BJ33" s="1867"/>
      <c r="BK33" s="1867"/>
      <c r="BL33" s="1867"/>
      <c r="BM33" s="1867"/>
      <c r="BN33" s="1867"/>
      <c r="BO33" s="1867"/>
      <c r="BP33" s="1867"/>
      <c r="BQ33" s="1867"/>
    </row>
    <row r="34" spans="1:69" s="362" customFormat="1" ht="60.75" customHeight="1" x14ac:dyDescent="0.2">
      <c r="A34" s="3341"/>
      <c r="B34" s="3345"/>
      <c r="C34" s="3346"/>
      <c r="D34" s="3341"/>
      <c r="E34" s="3341"/>
      <c r="F34" s="3350"/>
      <c r="G34" s="369"/>
      <c r="H34" s="916"/>
      <c r="I34" s="917"/>
      <c r="J34" s="3278"/>
      <c r="K34" s="3183"/>
      <c r="L34" s="3231"/>
      <c r="M34" s="3230"/>
      <c r="N34" s="2316" t="s">
        <v>1205</v>
      </c>
      <c r="O34" s="3283"/>
      <c r="P34" s="3176"/>
      <c r="Q34" s="3321"/>
      <c r="R34" s="3323"/>
      <c r="S34" s="3179"/>
      <c r="T34" s="3195"/>
      <c r="U34" s="3192" t="s">
        <v>1206</v>
      </c>
      <c r="V34" s="2270">
        <f>45000000-45000000</f>
        <v>0</v>
      </c>
      <c r="W34" s="1430">
        <v>42</v>
      </c>
      <c r="X34" s="2314" t="s">
        <v>1196</v>
      </c>
      <c r="Y34" s="3356"/>
      <c r="Z34" s="3359"/>
      <c r="AA34" s="3333"/>
      <c r="AB34" s="3333"/>
      <c r="AC34" s="3333"/>
      <c r="AD34" s="3333"/>
      <c r="AE34" s="3333"/>
      <c r="AF34" s="3333"/>
      <c r="AG34" s="3330"/>
      <c r="AH34" s="3333"/>
      <c r="AI34" s="3333"/>
      <c r="AJ34" s="3333"/>
      <c r="AK34" s="3333"/>
      <c r="AL34" s="3333"/>
      <c r="AM34" s="3333"/>
      <c r="AN34" s="3329"/>
      <c r="AO34" s="915">
        <v>43480</v>
      </c>
      <c r="AP34" s="2042">
        <v>43646</v>
      </c>
      <c r="AQ34" s="3326"/>
      <c r="AR34" s="1867"/>
      <c r="AS34" s="1867"/>
      <c r="AT34" s="1867"/>
      <c r="AU34" s="1867"/>
      <c r="AV34" s="1867"/>
      <c r="AW34" s="1867"/>
      <c r="AX34" s="1867"/>
      <c r="AY34" s="1867"/>
      <c r="AZ34" s="1867"/>
      <c r="BA34" s="1867"/>
      <c r="BB34" s="1867"/>
      <c r="BC34" s="1867"/>
      <c r="BD34" s="1867"/>
      <c r="BE34" s="1867"/>
      <c r="BF34" s="1867"/>
      <c r="BG34" s="1867"/>
      <c r="BH34" s="1867"/>
      <c r="BI34" s="1867"/>
      <c r="BJ34" s="1867"/>
      <c r="BK34" s="1867"/>
      <c r="BL34" s="1867"/>
      <c r="BM34" s="1867"/>
      <c r="BN34" s="1867"/>
      <c r="BO34" s="1867"/>
      <c r="BP34" s="1867"/>
      <c r="BQ34" s="1867"/>
    </row>
    <row r="35" spans="1:69" s="362" customFormat="1" ht="26.25" customHeight="1" x14ac:dyDescent="0.2">
      <c r="A35" s="3341"/>
      <c r="B35" s="3345"/>
      <c r="C35" s="3346"/>
      <c r="D35" s="3341"/>
      <c r="E35" s="3341"/>
      <c r="F35" s="3350"/>
      <c r="G35" s="369"/>
      <c r="H35" s="916"/>
      <c r="I35" s="917"/>
      <c r="J35" s="3278"/>
      <c r="K35" s="3183"/>
      <c r="L35" s="3231"/>
      <c r="M35" s="3230"/>
      <c r="N35" s="2316"/>
      <c r="O35" s="3283"/>
      <c r="P35" s="3176"/>
      <c r="Q35" s="3321"/>
      <c r="R35" s="3323"/>
      <c r="S35" s="3179"/>
      <c r="T35" s="3195"/>
      <c r="U35" s="3193"/>
      <c r="V35" s="2270">
        <f>0+50000000-50000000</f>
        <v>0</v>
      </c>
      <c r="W35" s="1430">
        <v>92</v>
      </c>
      <c r="X35" s="2314" t="s">
        <v>1183</v>
      </c>
      <c r="Y35" s="3356"/>
      <c r="Z35" s="3359"/>
      <c r="AA35" s="3333"/>
      <c r="AB35" s="3333"/>
      <c r="AC35" s="3333"/>
      <c r="AD35" s="3333"/>
      <c r="AE35" s="3333"/>
      <c r="AF35" s="3333"/>
      <c r="AG35" s="3330"/>
      <c r="AH35" s="3333"/>
      <c r="AI35" s="3333"/>
      <c r="AJ35" s="3333"/>
      <c r="AK35" s="3333"/>
      <c r="AL35" s="3333"/>
      <c r="AM35" s="3333"/>
      <c r="AN35" s="3329"/>
      <c r="AO35" s="915"/>
      <c r="AP35" s="2042"/>
      <c r="AQ35" s="3326"/>
      <c r="AR35" s="1867"/>
      <c r="AS35" s="1867"/>
      <c r="AT35" s="1867"/>
      <c r="AU35" s="1867"/>
      <c r="AV35" s="1867"/>
      <c r="AW35" s="1867"/>
      <c r="AX35" s="1867"/>
      <c r="AY35" s="1867"/>
      <c r="AZ35" s="1867"/>
      <c r="BA35" s="1867"/>
      <c r="BB35" s="1867"/>
      <c r="BC35" s="1867"/>
      <c r="BD35" s="1867"/>
      <c r="BE35" s="1867"/>
      <c r="BF35" s="1867"/>
      <c r="BG35" s="1867"/>
      <c r="BH35" s="1867"/>
      <c r="BI35" s="1867"/>
      <c r="BJ35" s="1867"/>
      <c r="BK35" s="1867"/>
      <c r="BL35" s="1867"/>
      <c r="BM35" s="1867"/>
      <c r="BN35" s="1867"/>
      <c r="BO35" s="1867"/>
      <c r="BP35" s="1867"/>
      <c r="BQ35" s="1867"/>
    </row>
    <row r="36" spans="1:69" s="362" customFormat="1" ht="48" customHeight="1" x14ac:dyDescent="0.2">
      <c r="A36" s="3341"/>
      <c r="B36" s="3345"/>
      <c r="C36" s="3346"/>
      <c r="D36" s="3341"/>
      <c r="E36" s="3341"/>
      <c r="F36" s="3350"/>
      <c r="G36" s="369"/>
      <c r="H36" s="916"/>
      <c r="I36" s="917"/>
      <c r="J36" s="3278"/>
      <c r="K36" s="3183"/>
      <c r="L36" s="3231"/>
      <c r="M36" s="3230"/>
      <c r="N36" s="2316"/>
      <c r="O36" s="3283"/>
      <c r="P36" s="3176"/>
      <c r="Q36" s="3321"/>
      <c r="R36" s="3323"/>
      <c r="S36" s="3179"/>
      <c r="T36" s="3195"/>
      <c r="U36" s="1435" t="s">
        <v>1207</v>
      </c>
      <c r="V36" s="2270">
        <f>50000000-50000000</f>
        <v>0</v>
      </c>
      <c r="W36" s="1430">
        <v>42</v>
      </c>
      <c r="X36" s="2314" t="s">
        <v>1196</v>
      </c>
      <c r="Y36" s="3356"/>
      <c r="Z36" s="3359"/>
      <c r="AA36" s="3333"/>
      <c r="AB36" s="3333"/>
      <c r="AC36" s="3333"/>
      <c r="AD36" s="3333"/>
      <c r="AE36" s="3333"/>
      <c r="AF36" s="3333"/>
      <c r="AG36" s="3330"/>
      <c r="AH36" s="3333"/>
      <c r="AI36" s="3333"/>
      <c r="AJ36" s="3333"/>
      <c r="AK36" s="3333"/>
      <c r="AL36" s="3333"/>
      <c r="AM36" s="3333"/>
      <c r="AN36" s="3329"/>
      <c r="AO36" s="915">
        <v>43480</v>
      </c>
      <c r="AP36" s="2042">
        <v>43646</v>
      </c>
      <c r="AQ36" s="3326"/>
      <c r="AR36" s="1867"/>
      <c r="AS36" s="1867"/>
      <c r="AT36" s="1867"/>
      <c r="AU36" s="1867"/>
      <c r="AV36" s="1867"/>
      <c r="AW36" s="1867"/>
      <c r="AX36" s="1867"/>
      <c r="AY36" s="1867"/>
      <c r="AZ36" s="1867"/>
      <c r="BA36" s="1867"/>
      <c r="BB36" s="1867"/>
      <c r="BC36" s="1867"/>
      <c r="BD36" s="1867"/>
      <c r="BE36" s="1867"/>
      <c r="BF36" s="1867"/>
      <c r="BG36" s="1867"/>
      <c r="BH36" s="1867"/>
      <c r="BI36" s="1867"/>
      <c r="BJ36" s="1867"/>
      <c r="BK36" s="1867"/>
      <c r="BL36" s="1867"/>
      <c r="BM36" s="1867"/>
      <c r="BN36" s="1867"/>
      <c r="BO36" s="1867"/>
      <c r="BP36" s="1867"/>
      <c r="BQ36" s="1867"/>
    </row>
    <row r="37" spans="1:69" s="362" customFormat="1" ht="51.75" customHeight="1" x14ac:dyDescent="0.2">
      <c r="A37" s="3341"/>
      <c r="B37" s="3345"/>
      <c r="C37" s="3346"/>
      <c r="D37" s="3341"/>
      <c r="E37" s="3341"/>
      <c r="F37" s="3350"/>
      <c r="G37" s="369"/>
      <c r="H37" s="916"/>
      <c r="I37" s="917"/>
      <c r="J37" s="3278"/>
      <c r="K37" s="3183"/>
      <c r="L37" s="3231"/>
      <c r="M37" s="3230"/>
      <c r="N37" s="2316"/>
      <c r="O37" s="3283"/>
      <c r="P37" s="3176"/>
      <c r="Q37" s="3321"/>
      <c r="R37" s="3323"/>
      <c r="S37" s="3179"/>
      <c r="T37" s="3195"/>
      <c r="U37" s="3361" t="s">
        <v>1208</v>
      </c>
      <c r="V37" s="2270">
        <f>15000000+131759029</f>
        <v>146759029</v>
      </c>
      <c r="W37" s="1430">
        <v>42</v>
      </c>
      <c r="X37" s="2314" t="s">
        <v>1196</v>
      </c>
      <c r="Y37" s="3356"/>
      <c r="Z37" s="3359"/>
      <c r="AA37" s="3333"/>
      <c r="AB37" s="3333"/>
      <c r="AC37" s="3333"/>
      <c r="AD37" s="3333"/>
      <c r="AE37" s="3333"/>
      <c r="AF37" s="3333"/>
      <c r="AG37" s="3330"/>
      <c r="AH37" s="3333"/>
      <c r="AI37" s="3333"/>
      <c r="AJ37" s="3333"/>
      <c r="AK37" s="3333"/>
      <c r="AL37" s="3333"/>
      <c r="AM37" s="3333"/>
      <c r="AN37" s="3329"/>
      <c r="AO37" s="915">
        <v>43580</v>
      </c>
      <c r="AP37" s="2042">
        <v>43631</v>
      </c>
      <c r="AQ37" s="3326"/>
      <c r="AR37" s="1867"/>
      <c r="AS37" s="1867"/>
      <c r="AT37" s="1867"/>
      <c r="AU37" s="1867"/>
      <c r="AV37" s="1867"/>
      <c r="AW37" s="1867"/>
      <c r="AX37" s="1867"/>
      <c r="AY37" s="1867"/>
      <c r="AZ37" s="1867"/>
      <c r="BA37" s="1867"/>
      <c r="BB37" s="1867"/>
      <c r="BC37" s="1867"/>
      <c r="BD37" s="1867"/>
      <c r="BE37" s="1867"/>
      <c r="BF37" s="1867"/>
      <c r="BG37" s="1867"/>
      <c r="BH37" s="1867"/>
      <c r="BI37" s="1867"/>
      <c r="BJ37" s="1867"/>
      <c r="BK37" s="1867"/>
      <c r="BL37" s="1867"/>
      <c r="BM37" s="1867"/>
      <c r="BN37" s="1867"/>
      <c r="BO37" s="1867"/>
      <c r="BP37" s="1867"/>
      <c r="BQ37" s="1867"/>
    </row>
    <row r="38" spans="1:69" s="362" customFormat="1" ht="35.25" customHeight="1" x14ac:dyDescent="0.2">
      <c r="A38" s="3341"/>
      <c r="B38" s="3345"/>
      <c r="C38" s="3346"/>
      <c r="D38" s="3341"/>
      <c r="E38" s="3341"/>
      <c r="F38" s="3350"/>
      <c r="G38" s="369"/>
      <c r="H38" s="916"/>
      <c r="I38" s="917"/>
      <c r="J38" s="3278"/>
      <c r="K38" s="3183"/>
      <c r="L38" s="3231"/>
      <c r="M38" s="3230"/>
      <c r="N38" s="2316"/>
      <c r="O38" s="3283"/>
      <c r="P38" s="3176"/>
      <c r="Q38" s="3321"/>
      <c r="R38" s="3323"/>
      <c r="S38" s="3179"/>
      <c r="T38" s="3195"/>
      <c r="U38" s="3361"/>
      <c r="V38" s="2270">
        <f>0+15000000+68240971</f>
        <v>83240971</v>
      </c>
      <c r="W38" s="1430">
        <v>92</v>
      </c>
      <c r="X38" s="2314" t="s">
        <v>1183</v>
      </c>
      <c r="Y38" s="3356"/>
      <c r="Z38" s="3359"/>
      <c r="AA38" s="3333"/>
      <c r="AB38" s="3333"/>
      <c r="AC38" s="3333"/>
      <c r="AD38" s="3333"/>
      <c r="AE38" s="3333"/>
      <c r="AF38" s="3333"/>
      <c r="AG38" s="3330"/>
      <c r="AH38" s="3333"/>
      <c r="AI38" s="3333"/>
      <c r="AJ38" s="3333"/>
      <c r="AK38" s="3333"/>
      <c r="AL38" s="3333"/>
      <c r="AM38" s="3333"/>
      <c r="AN38" s="3329"/>
      <c r="AO38" s="915"/>
      <c r="AP38" s="2042"/>
      <c r="AQ38" s="3326"/>
      <c r="AR38" s="1867"/>
      <c r="AS38" s="1867"/>
      <c r="AT38" s="1867"/>
      <c r="AU38" s="1867"/>
      <c r="AV38" s="1867"/>
      <c r="AW38" s="1867"/>
      <c r="AX38" s="1867"/>
      <c r="AY38" s="1867"/>
      <c r="AZ38" s="1867"/>
      <c r="BA38" s="1867"/>
      <c r="BB38" s="1867"/>
      <c r="BC38" s="1867"/>
      <c r="BD38" s="1867"/>
      <c r="BE38" s="1867"/>
      <c r="BF38" s="1867"/>
      <c r="BG38" s="1867"/>
      <c r="BH38" s="1867"/>
      <c r="BI38" s="1867"/>
      <c r="BJ38" s="1867"/>
      <c r="BK38" s="1867"/>
      <c r="BL38" s="1867"/>
      <c r="BM38" s="1867"/>
      <c r="BN38" s="1867"/>
      <c r="BO38" s="1867"/>
      <c r="BP38" s="1867"/>
      <c r="BQ38" s="1867"/>
    </row>
    <row r="39" spans="1:69" s="362" customFormat="1" ht="35.25" customHeight="1" x14ac:dyDescent="0.2">
      <c r="A39" s="3341"/>
      <c r="B39" s="3345"/>
      <c r="C39" s="3346"/>
      <c r="D39" s="3341"/>
      <c r="E39" s="3341"/>
      <c r="F39" s="3350"/>
      <c r="G39" s="369"/>
      <c r="H39" s="916"/>
      <c r="I39" s="917"/>
      <c r="J39" s="3278"/>
      <c r="K39" s="3183"/>
      <c r="L39" s="3231"/>
      <c r="M39" s="3230"/>
      <c r="N39" s="2316"/>
      <c r="O39" s="3283"/>
      <c r="P39" s="3176"/>
      <c r="Q39" s="3321"/>
      <c r="R39" s="3323"/>
      <c r="S39" s="3179"/>
      <c r="T39" s="3195"/>
      <c r="U39" s="2318" t="s">
        <v>1209</v>
      </c>
      <c r="V39" s="2270">
        <f>0+30000000</f>
        <v>30000000</v>
      </c>
      <c r="W39" s="1430">
        <v>92</v>
      </c>
      <c r="X39" s="2314" t="s">
        <v>1183</v>
      </c>
      <c r="Y39" s="3356"/>
      <c r="Z39" s="3359"/>
      <c r="AA39" s="3333"/>
      <c r="AB39" s="3333"/>
      <c r="AC39" s="3333"/>
      <c r="AD39" s="3333"/>
      <c r="AE39" s="3333"/>
      <c r="AF39" s="3333"/>
      <c r="AG39" s="3330"/>
      <c r="AH39" s="3333"/>
      <c r="AI39" s="3333"/>
      <c r="AJ39" s="3333"/>
      <c r="AK39" s="3333"/>
      <c r="AL39" s="3333"/>
      <c r="AM39" s="3333"/>
      <c r="AN39" s="3329"/>
      <c r="AO39" s="915"/>
      <c r="AP39" s="2042"/>
      <c r="AQ39" s="3326"/>
      <c r="AR39" s="1867"/>
      <c r="AS39" s="1867"/>
      <c r="AT39" s="1867"/>
      <c r="AU39" s="1867"/>
      <c r="AV39" s="1867"/>
      <c r="AW39" s="1867"/>
      <c r="AX39" s="1867"/>
      <c r="AY39" s="1867"/>
      <c r="AZ39" s="1867"/>
      <c r="BA39" s="1867"/>
      <c r="BB39" s="1867"/>
      <c r="BC39" s="1867"/>
      <c r="BD39" s="1867"/>
      <c r="BE39" s="1867"/>
      <c r="BF39" s="1867"/>
      <c r="BG39" s="1867"/>
      <c r="BH39" s="1867"/>
      <c r="BI39" s="1867"/>
      <c r="BJ39" s="1867"/>
      <c r="BK39" s="1867"/>
      <c r="BL39" s="1867"/>
      <c r="BM39" s="1867"/>
      <c r="BN39" s="1867"/>
      <c r="BO39" s="1867"/>
      <c r="BP39" s="1867"/>
      <c r="BQ39" s="1867"/>
    </row>
    <row r="40" spans="1:69" s="362" customFormat="1" ht="34.5" customHeight="1" x14ac:dyDescent="0.2">
      <c r="A40" s="3341"/>
      <c r="B40" s="3345"/>
      <c r="C40" s="3346"/>
      <c r="D40" s="3341"/>
      <c r="E40" s="3341"/>
      <c r="F40" s="3350"/>
      <c r="G40" s="369"/>
      <c r="H40" s="916"/>
      <c r="I40" s="917"/>
      <c r="J40" s="3278"/>
      <c r="K40" s="3183"/>
      <c r="L40" s="3231"/>
      <c r="M40" s="3230"/>
      <c r="N40" s="2316"/>
      <c r="O40" s="3283"/>
      <c r="P40" s="3176"/>
      <c r="Q40" s="3321"/>
      <c r="R40" s="3323"/>
      <c r="S40" s="3179"/>
      <c r="T40" s="3195"/>
      <c r="U40" s="3202" t="s">
        <v>1210</v>
      </c>
      <c r="V40" s="2270">
        <v>10900000</v>
      </c>
      <c r="W40" s="1430">
        <v>42</v>
      </c>
      <c r="X40" s="2314" t="s">
        <v>1196</v>
      </c>
      <c r="Y40" s="3356"/>
      <c r="Z40" s="3359"/>
      <c r="AA40" s="3333"/>
      <c r="AB40" s="3333"/>
      <c r="AC40" s="3333"/>
      <c r="AD40" s="3333"/>
      <c r="AE40" s="3333"/>
      <c r="AF40" s="3333"/>
      <c r="AG40" s="3330"/>
      <c r="AH40" s="3333"/>
      <c r="AI40" s="3333"/>
      <c r="AJ40" s="3333"/>
      <c r="AK40" s="3333"/>
      <c r="AL40" s="3333"/>
      <c r="AM40" s="3333"/>
      <c r="AN40" s="3329"/>
      <c r="AO40" s="915">
        <v>43480</v>
      </c>
      <c r="AP40" s="2042">
        <v>43600</v>
      </c>
      <c r="AQ40" s="3326"/>
      <c r="AR40" s="1867"/>
      <c r="AS40" s="1867"/>
      <c r="AT40" s="1867"/>
      <c r="AU40" s="1867"/>
      <c r="AV40" s="1867"/>
      <c r="AW40" s="1867"/>
      <c r="AX40" s="1867"/>
      <c r="AY40" s="1867"/>
      <c r="AZ40" s="1867"/>
      <c r="BA40" s="1867"/>
      <c r="BB40" s="1867"/>
      <c r="BC40" s="1867"/>
      <c r="BD40" s="1867"/>
      <c r="BE40" s="1867"/>
      <c r="BF40" s="1867"/>
      <c r="BG40" s="1867"/>
      <c r="BH40" s="1867"/>
      <c r="BI40" s="1867"/>
      <c r="BJ40" s="1867"/>
      <c r="BK40" s="1867"/>
      <c r="BL40" s="1867"/>
      <c r="BM40" s="1867"/>
      <c r="BN40" s="1867"/>
      <c r="BO40" s="1867"/>
      <c r="BP40" s="1867"/>
      <c r="BQ40" s="1867"/>
    </row>
    <row r="41" spans="1:69" s="362" customFormat="1" ht="27" customHeight="1" x14ac:dyDescent="0.2">
      <c r="A41" s="3341"/>
      <c r="B41" s="3345"/>
      <c r="C41" s="3346"/>
      <c r="D41" s="3341"/>
      <c r="E41" s="3341"/>
      <c r="F41" s="3350"/>
      <c r="G41" s="369"/>
      <c r="H41" s="916"/>
      <c r="I41" s="917"/>
      <c r="J41" s="3278"/>
      <c r="K41" s="3183"/>
      <c r="L41" s="3231"/>
      <c r="M41" s="3230"/>
      <c r="N41" s="2316"/>
      <c r="O41" s="3283"/>
      <c r="P41" s="3176"/>
      <c r="Q41" s="3321"/>
      <c r="R41" s="3323"/>
      <c r="S41" s="3179"/>
      <c r="T41" s="3195"/>
      <c r="U41" s="3203"/>
      <c r="V41" s="2270">
        <f>0+10000000-9000000</f>
        <v>1000000</v>
      </c>
      <c r="W41" s="1430">
        <v>92</v>
      </c>
      <c r="X41" s="2314" t="s">
        <v>1183</v>
      </c>
      <c r="Y41" s="3356"/>
      <c r="Z41" s="3359"/>
      <c r="AA41" s="3333"/>
      <c r="AB41" s="3333"/>
      <c r="AC41" s="3333"/>
      <c r="AD41" s="3333"/>
      <c r="AE41" s="3333"/>
      <c r="AF41" s="3333"/>
      <c r="AG41" s="3330"/>
      <c r="AH41" s="3333"/>
      <c r="AI41" s="3333"/>
      <c r="AJ41" s="3333"/>
      <c r="AK41" s="3333"/>
      <c r="AL41" s="3333"/>
      <c r="AM41" s="3333"/>
      <c r="AN41" s="3329"/>
      <c r="AO41" s="915"/>
      <c r="AP41" s="2042"/>
      <c r="AQ41" s="3326"/>
      <c r="AR41" s="1867"/>
      <c r="AS41" s="1867"/>
      <c r="AT41" s="1867"/>
      <c r="AU41" s="1867"/>
      <c r="AV41" s="1867"/>
      <c r="AW41" s="1867"/>
      <c r="AX41" s="1867"/>
      <c r="AY41" s="1867"/>
      <c r="AZ41" s="1867"/>
      <c r="BA41" s="1867"/>
      <c r="BB41" s="1867"/>
      <c r="BC41" s="1867"/>
      <c r="BD41" s="1867"/>
      <c r="BE41" s="1867"/>
      <c r="BF41" s="1867"/>
      <c r="BG41" s="1867"/>
      <c r="BH41" s="1867"/>
      <c r="BI41" s="1867"/>
      <c r="BJ41" s="1867"/>
      <c r="BK41" s="1867"/>
      <c r="BL41" s="1867"/>
      <c r="BM41" s="1867"/>
      <c r="BN41" s="1867"/>
      <c r="BO41" s="1867"/>
      <c r="BP41" s="1867"/>
      <c r="BQ41" s="1867"/>
    </row>
    <row r="42" spans="1:69" s="362" customFormat="1" ht="31.5" customHeight="1" x14ac:dyDescent="0.2">
      <c r="A42" s="3341"/>
      <c r="B42" s="3345"/>
      <c r="C42" s="3346"/>
      <c r="D42" s="3341"/>
      <c r="E42" s="3341"/>
      <c r="F42" s="3350"/>
      <c r="G42" s="369"/>
      <c r="H42" s="916"/>
      <c r="I42" s="917"/>
      <c r="J42" s="3278"/>
      <c r="K42" s="3183"/>
      <c r="L42" s="3231"/>
      <c r="M42" s="3230"/>
      <c r="N42" s="2316"/>
      <c r="O42" s="3283"/>
      <c r="P42" s="3176"/>
      <c r="Q42" s="3321"/>
      <c r="R42" s="3323"/>
      <c r="S42" s="3179"/>
      <c r="T42" s="3195"/>
      <c r="U42" s="3202" t="s">
        <v>1211</v>
      </c>
      <c r="V42" s="2270">
        <v>10000000</v>
      </c>
      <c r="W42" s="1430">
        <v>42</v>
      </c>
      <c r="X42" s="2319" t="s">
        <v>1196</v>
      </c>
      <c r="Y42" s="3356"/>
      <c r="Z42" s="3359"/>
      <c r="AA42" s="3333"/>
      <c r="AB42" s="3333"/>
      <c r="AC42" s="3333"/>
      <c r="AD42" s="3333"/>
      <c r="AE42" s="3333"/>
      <c r="AF42" s="3333"/>
      <c r="AG42" s="3330"/>
      <c r="AH42" s="3333"/>
      <c r="AI42" s="3333"/>
      <c r="AJ42" s="3333"/>
      <c r="AK42" s="3333"/>
      <c r="AL42" s="3333"/>
      <c r="AM42" s="3333"/>
      <c r="AN42" s="3329"/>
      <c r="AO42" s="915">
        <v>43480</v>
      </c>
      <c r="AP42" s="2042">
        <v>43600</v>
      </c>
      <c r="AQ42" s="3326"/>
      <c r="AR42" s="1867"/>
      <c r="AS42" s="1867"/>
      <c r="AT42" s="1867"/>
      <c r="AU42" s="1867"/>
      <c r="AV42" s="1867"/>
      <c r="AW42" s="1867"/>
      <c r="AX42" s="1867"/>
      <c r="AY42" s="1867"/>
      <c r="AZ42" s="1867"/>
      <c r="BA42" s="1867"/>
      <c r="BB42" s="1867"/>
      <c r="BC42" s="1867"/>
      <c r="BD42" s="1867"/>
      <c r="BE42" s="1867"/>
      <c r="BF42" s="1867"/>
      <c r="BG42" s="1867"/>
      <c r="BH42" s="1867"/>
      <c r="BI42" s="1867"/>
      <c r="BJ42" s="1867"/>
      <c r="BK42" s="1867"/>
      <c r="BL42" s="1867"/>
      <c r="BM42" s="1867"/>
      <c r="BN42" s="1867"/>
      <c r="BO42" s="1867"/>
      <c r="BP42" s="1867"/>
      <c r="BQ42" s="1867"/>
    </row>
    <row r="43" spans="1:69" s="362" customFormat="1" ht="31.5" customHeight="1" x14ac:dyDescent="0.2">
      <c r="A43" s="3341"/>
      <c r="B43" s="3345"/>
      <c r="C43" s="3346"/>
      <c r="D43" s="3341"/>
      <c r="E43" s="3341"/>
      <c r="F43" s="3350"/>
      <c r="G43" s="369"/>
      <c r="H43" s="916"/>
      <c r="I43" s="917"/>
      <c r="J43" s="3278"/>
      <c r="K43" s="3183"/>
      <c r="L43" s="3231"/>
      <c r="M43" s="3230"/>
      <c r="N43" s="2316"/>
      <c r="O43" s="3283"/>
      <c r="P43" s="3176"/>
      <c r="Q43" s="3321"/>
      <c r="R43" s="3323"/>
      <c r="S43" s="3179"/>
      <c r="T43" s="3195"/>
      <c r="U43" s="3336"/>
      <c r="V43" s="2269">
        <f>0+10000000-9000000</f>
        <v>1000000</v>
      </c>
      <c r="W43" s="1431">
        <v>92</v>
      </c>
      <c r="X43" s="2320" t="s">
        <v>1183</v>
      </c>
      <c r="Y43" s="3356"/>
      <c r="Z43" s="3359"/>
      <c r="AA43" s="3333"/>
      <c r="AB43" s="3333"/>
      <c r="AC43" s="3333"/>
      <c r="AD43" s="3333"/>
      <c r="AE43" s="3333"/>
      <c r="AF43" s="3333"/>
      <c r="AG43" s="3330"/>
      <c r="AH43" s="3333"/>
      <c r="AI43" s="3333"/>
      <c r="AJ43" s="3333"/>
      <c r="AK43" s="3333"/>
      <c r="AL43" s="3333"/>
      <c r="AM43" s="3333"/>
      <c r="AN43" s="3329"/>
      <c r="AO43" s="915"/>
      <c r="AP43" s="2042"/>
      <c r="AQ43" s="3326"/>
      <c r="AR43" s="1867"/>
      <c r="AS43" s="1867"/>
      <c r="AT43" s="1867"/>
      <c r="AU43" s="1867"/>
      <c r="AV43" s="1867"/>
      <c r="AW43" s="1867"/>
      <c r="AX43" s="1867"/>
      <c r="AY43" s="1867"/>
      <c r="AZ43" s="1867"/>
      <c r="BA43" s="1867"/>
      <c r="BB43" s="1867"/>
      <c r="BC43" s="1867"/>
      <c r="BD43" s="1867"/>
      <c r="BE43" s="1867"/>
      <c r="BF43" s="1867"/>
      <c r="BG43" s="1867"/>
      <c r="BH43" s="1867"/>
      <c r="BI43" s="1867"/>
      <c r="BJ43" s="1867"/>
      <c r="BK43" s="1867"/>
      <c r="BL43" s="1867"/>
      <c r="BM43" s="1867"/>
      <c r="BN43" s="1867"/>
      <c r="BO43" s="1867"/>
      <c r="BP43" s="1867"/>
      <c r="BQ43" s="1867"/>
    </row>
    <row r="44" spans="1:69" s="362" customFormat="1" ht="38.25" customHeight="1" x14ac:dyDescent="0.2">
      <c r="A44" s="3341"/>
      <c r="B44" s="3345"/>
      <c r="C44" s="3346"/>
      <c r="D44" s="3341"/>
      <c r="E44" s="3341"/>
      <c r="F44" s="3350"/>
      <c r="G44" s="369"/>
      <c r="H44" s="916"/>
      <c r="I44" s="917"/>
      <c r="J44" s="3278"/>
      <c r="K44" s="3183"/>
      <c r="L44" s="3231"/>
      <c r="M44" s="3230"/>
      <c r="N44" s="2316"/>
      <c r="O44" s="3283"/>
      <c r="P44" s="3176"/>
      <c r="Q44" s="3321"/>
      <c r="R44" s="3323"/>
      <c r="S44" s="3179"/>
      <c r="T44" s="3195"/>
      <c r="U44" s="3204"/>
      <c r="V44" s="2273">
        <f>0+2390000</f>
        <v>2390000</v>
      </c>
      <c r="W44" s="1147">
        <v>20</v>
      </c>
      <c r="X44" s="2321" t="s">
        <v>1212</v>
      </c>
      <c r="Y44" s="3356"/>
      <c r="Z44" s="3359"/>
      <c r="AA44" s="3333"/>
      <c r="AB44" s="3333"/>
      <c r="AC44" s="3333"/>
      <c r="AD44" s="3333"/>
      <c r="AE44" s="3333"/>
      <c r="AF44" s="3333"/>
      <c r="AG44" s="3330"/>
      <c r="AH44" s="3333"/>
      <c r="AI44" s="3333"/>
      <c r="AJ44" s="3333"/>
      <c r="AK44" s="3333"/>
      <c r="AL44" s="3333"/>
      <c r="AM44" s="3333"/>
      <c r="AN44" s="3329"/>
      <c r="AO44" s="915"/>
      <c r="AP44" s="2042"/>
      <c r="AQ44" s="3326"/>
      <c r="AR44" s="1867"/>
      <c r="AS44" s="1867"/>
      <c r="AT44" s="1867"/>
      <c r="AU44" s="1867"/>
      <c r="AV44" s="1867"/>
      <c r="AW44" s="1867"/>
      <c r="AX44" s="1867"/>
      <c r="AY44" s="1867"/>
      <c r="AZ44" s="1867"/>
      <c r="BA44" s="1867"/>
      <c r="BB44" s="1867"/>
      <c r="BC44" s="1867"/>
      <c r="BD44" s="1867"/>
      <c r="BE44" s="1867"/>
      <c r="BF44" s="1867"/>
      <c r="BG44" s="1867"/>
      <c r="BH44" s="1867"/>
      <c r="BI44" s="1867"/>
      <c r="BJ44" s="1867"/>
      <c r="BK44" s="1867"/>
      <c r="BL44" s="1867"/>
      <c r="BM44" s="1867"/>
      <c r="BN44" s="1867"/>
      <c r="BO44" s="1867"/>
      <c r="BP44" s="1867"/>
      <c r="BQ44" s="1867"/>
    </row>
    <row r="45" spans="1:69" s="362" customFormat="1" ht="29.25" customHeight="1" x14ac:dyDescent="0.2">
      <c r="A45" s="3341"/>
      <c r="B45" s="3345"/>
      <c r="C45" s="3346"/>
      <c r="D45" s="3341"/>
      <c r="E45" s="3341"/>
      <c r="F45" s="3350"/>
      <c r="G45" s="369"/>
      <c r="H45" s="916"/>
      <c r="I45" s="917"/>
      <c r="J45" s="3278"/>
      <c r="K45" s="3183"/>
      <c r="L45" s="3231"/>
      <c r="M45" s="3230"/>
      <c r="N45" s="2316"/>
      <c r="O45" s="3283"/>
      <c r="P45" s="3176"/>
      <c r="Q45" s="3321"/>
      <c r="R45" s="3323"/>
      <c r="S45" s="3179"/>
      <c r="T45" s="3195"/>
      <c r="U45" s="3202" t="s">
        <v>1213</v>
      </c>
      <c r="V45" s="2274">
        <v>10000000</v>
      </c>
      <c r="W45" s="1432">
        <v>42</v>
      </c>
      <c r="X45" s="2322" t="s">
        <v>1196</v>
      </c>
      <c r="Y45" s="3356"/>
      <c r="Z45" s="3359"/>
      <c r="AA45" s="3333"/>
      <c r="AB45" s="3333"/>
      <c r="AC45" s="3333"/>
      <c r="AD45" s="3333"/>
      <c r="AE45" s="3333"/>
      <c r="AF45" s="3333"/>
      <c r="AG45" s="3330"/>
      <c r="AH45" s="3333"/>
      <c r="AI45" s="3333"/>
      <c r="AJ45" s="3333"/>
      <c r="AK45" s="3333"/>
      <c r="AL45" s="3333"/>
      <c r="AM45" s="3333"/>
      <c r="AN45" s="3329"/>
      <c r="AO45" s="915">
        <v>43480</v>
      </c>
      <c r="AP45" s="2042">
        <v>43600</v>
      </c>
      <c r="AQ45" s="3326"/>
      <c r="AR45" s="1867"/>
      <c r="AS45" s="1867"/>
      <c r="AT45" s="1867"/>
      <c r="AU45" s="1867"/>
      <c r="AV45" s="1867"/>
      <c r="AW45" s="1867"/>
      <c r="AX45" s="1867"/>
      <c r="AY45" s="1867"/>
      <c r="AZ45" s="1867"/>
      <c r="BA45" s="1867"/>
      <c r="BB45" s="1867"/>
      <c r="BC45" s="1867"/>
      <c r="BD45" s="1867"/>
      <c r="BE45" s="1867"/>
      <c r="BF45" s="1867"/>
      <c r="BG45" s="1867"/>
      <c r="BH45" s="1867"/>
      <c r="BI45" s="1867"/>
      <c r="BJ45" s="1867"/>
      <c r="BK45" s="1867"/>
      <c r="BL45" s="1867"/>
      <c r="BM45" s="1867"/>
      <c r="BN45" s="1867"/>
      <c r="BO45" s="1867"/>
      <c r="BP45" s="1867"/>
      <c r="BQ45" s="1867"/>
    </row>
    <row r="46" spans="1:69" s="362" customFormat="1" ht="29.25" customHeight="1" x14ac:dyDescent="0.2">
      <c r="A46" s="3341"/>
      <c r="B46" s="3345"/>
      <c r="C46" s="3346"/>
      <c r="D46" s="3341"/>
      <c r="E46" s="3341"/>
      <c r="F46" s="3350"/>
      <c r="G46" s="369"/>
      <c r="H46" s="916"/>
      <c r="I46" s="917"/>
      <c r="J46" s="3278"/>
      <c r="K46" s="3183"/>
      <c r="L46" s="3231"/>
      <c r="M46" s="3230"/>
      <c r="N46" s="2316"/>
      <c r="O46" s="3283"/>
      <c r="P46" s="3176"/>
      <c r="Q46" s="3321"/>
      <c r="R46" s="3323"/>
      <c r="S46" s="3179"/>
      <c r="T46" s="3195"/>
      <c r="U46" s="3336"/>
      <c r="V46" s="2270">
        <f>0+10000000-7000000</f>
        <v>3000000</v>
      </c>
      <c r="W46" s="1430">
        <v>92</v>
      </c>
      <c r="X46" s="2319" t="s">
        <v>1183</v>
      </c>
      <c r="Y46" s="3356"/>
      <c r="Z46" s="3359"/>
      <c r="AA46" s="3333"/>
      <c r="AB46" s="3333"/>
      <c r="AC46" s="3333"/>
      <c r="AD46" s="3333"/>
      <c r="AE46" s="3333"/>
      <c r="AF46" s="3333"/>
      <c r="AG46" s="3330"/>
      <c r="AH46" s="3333"/>
      <c r="AI46" s="3333"/>
      <c r="AJ46" s="3333"/>
      <c r="AK46" s="3333"/>
      <c r="AL46" s="3333"/>
      <c r="AM46" s="3333"/>
      <c r="AN46" s="3329"/>
      <c r="AO46" s="915"/>
      <c r="AP46" s="2042"/>
      <c r="AQ46" s="3326"/>
      <c r="AR46" s="1867"/>
      <c r="AS46" s="1867"/>
      <c r="AT46" s="1867"/>
      <c r="AU46" s="1867"/>
      <c r="AV46" s="1867"/>
      <c r="AW46" s="1867"/>
      <c r="AX46" s="1867"/>
      <c r="AY46" s="1867"/>
      <c r="AZ46" s="1867"/>
      <c r="BA46" s="1867"/>
      <c r="BB46" s="1867"/>
      <c r="BC46" s="1867"/>
      <c r="BD46" s="1867"/>
      <c r="BE46" s="1867"/>
      <c r="BF46" s="1867"/>
      <c r="BG46" s="1867"/>
      <c r="BH46" s="1867"/>
      <c r="BI46" s="1867"/>
      <c r="BJ46" s="1867"/>
      <c r="BK46" s="1867"/>
      <c r="BL46" s="1867"/>
      <c r="BM46" s="1867"/>
      <c r="BN46" s="1867"/>
      <c r="BO46" s="1867"/>
      <c r="BP46" s="1867"/>
      <c r="BQ46" s="1867"/>
    </row>
    <row r="47" spans="1:69" s="362" customFormat="1" ht="38.25" customHeight="1" x14ac:dyDescent="0.2">
      <c r="A47" s="3341"/>
      <c r="B47" s="3345"/>
      <c r="C47" s="3346"/>
      <c r="D47" s="3341"/>
      <c r="E47" s="3341"/>
      <c r="F47" s="3350"/>
      <c r="G47" s="369"/>
      <c r="H47" s="916"/>
      <c r="I47" s="917"/>
      <c r="J47" s="3278"/>
      <c r="K47" s="3183"/>
      <c r="L47" s="3231"/>
      <c r="M47" s="3230"/>
      <c r="N47" s="2316"/>
      <c r="O47" s="3283"/>
      <c r="P47" s="3176"/>
      <c r="Q47" s="3321"/>
      <c r="R47" s="3323"/>
      <c r="S47" s="3179"/>
      <c r="T47" s="3195"/>
      <c r="U47" s="3203"/>
      <c r="V47" s="2273">
        <f>0+2807734</f>
        <v>2807734</v>
      </c>
      <c r="W47" s="1147">
        <v>20</v>
      </c>
      <c r="X47" s="2321" t="s">
        <v>1212</v>
      </c>
      <c r="Y47" s="3356"/>
      <c r="Z47" s="3359"/>
      <c r="AA47" s="3333"/>
      <c r="AB47" s="3333"/>
      <c r="AC47" s="3333"/>
      <c r="AD47" s="3333"/>
      <c r="AE47" s="3333"/>
      <c r="AF47" s="3333"/>
      <c r="AG47" s="3330"/>
      <c r="AH47" s="3333"/>
      <c r="AI47" s="3333"/>
      <c r="AJ47" s="3333"/>
      <c r="AK47" s="3333"/>
      <c r="AL47" s="3333"/>
      <c r="AM47" s="3333"/>
      <c r="AN47" s="3329"/>
      <c r="AO47" s="915"/>
      <c r="AP47" s="2042"/>
      <c r="AQ47" s="3326"/>
      <c r="AR47" s="1867"/>
      <c r="AS47" s="1867"/>
      <c r="AT47" s="1867"/>
      <c r="AU47" s="1867"/>
      <c r="AV47" s="1867"/>
      <c r="AW47" s="1867"/>
      <c r="AX47" s="1867"/>
      <c r="AY47" s="1867"/>
      <c r="AZ47" s="1867"/>
      <c r="BA47" s="1867"/>
      <c r="BB47" s="1867"/>
      <c r="BC47" s="1867"/>
      <c r="BD47" s="1867"/>
      <c r="BE47" s="1867"/>
      <c r="BF47" s="1867"/>
      <c r="BG47" s="1867"/>
      <c r="BH47" s="1867"/>
      <c r="BI47" s="1867"/>
      <c r="BJ47" s="1867"/>
      <c r="BK47" s="1867"/>
      <c r="BL47" s="1867"/>
      <c r="BM47" s="1867"/>
      <c r="BN47" s="1867"/>
      <c r="BO47" s="1867"/>
      <c r="BP47" s="1867"/>
      <c r="BQ47" s="1867"/>
    </row>
    <row r="48" spans="1:69" s="362" customFormat="1" ht="38.25" customHeight="1" x14ac:dyDescent="0.2">
      <c r="A48" s="3341"/>
      <c r="B48" s="3345"/>
      <c r="C48" s="3346"/>
      <c r="D48" s="3341"/>
      <c r="E48" s="3341"/>
      <c r="F48" s="3350"/>
      <c r="G48" s="369"/>
      <c r="H48" s="916"/>
      <c r="I48" s="917"/>
      <c r="J48" s="3278"/>
      <c r="K48" s="3183"/>
      <c r="L48" s="3231"/>
      <c r="M48" s="3230"/>
      <c r="N48" s="2316"/>
      <c r="O48" s="3283"/>
      <c r="P48" s="3176"/>
      <c r="Q48" s="3321"/>
      <c r="R48" s="3323"/>
      <c r="S48" s="3179"/>
      <c r="T48" s="3195"/>
      <c r="U48" s="3202" t="s">
        <v>1214</v>
      </c>
      <c r="V48" s="2270">
        <v>11000000</v>
      </c>
      <c r="W48" s="1431">
        <v>42</v>
      </c>
      <c r="X48" s="2320" t="s">
        <v>1196</v>
      </c>
      <c r="Y48" s="3356"/>
      <c r="Z48" s="3359"/>
      <c r="AA48" s="3333"/>
      <c r="AB48" s="3333"/>
      <c r="AC48" s="3333"/>
      <c r="AD48" s="3333"/>
      <c r="AE48" s="3333"/>
      <c r="AF48" s="3333"/>
      <c r="AG48" s="3330"/>
      <c r="AH48" s="3333"/>
      <c r="AI48" s="3333"/>
      <c r="AJ48" s="3333"/>
      <c r="AK48" s="3333"/>
      <c r="AL48" s="3333"/>
      <c r="AM48" s="3333"/>
      <c r="AN48" s="3329"/>
      <c r="AO48" s="915"/>
      <c r="AP48" s="2042"/>
      <c r="AQ48" s="3326"/>
      <c r="AR48" s="1867"/>
      <c r="AS48" s="1867"/>
      <c r="AT48" s="1867"/>
      <c r="AU48" s="1867"/>
      <c r="AV48" s="1867"/>
      <c r="AW48" s="1867"/>
      <c r="AX48" s="1867"/>
      <c r="AY48" s="1867"/>
      <c r="AZ48" s="1867"/>
      <c r="BA48" s="1867"/>
      <c r="BB48" s="1867"/>
      <c r="BC48" s="1867"/>
      <c r="BD48" s="1867"/>
      <c r="BE48" s="1867"/>
      <c r="BF48" s="1867"/>
      <c r="BG48" s="1867"/>
      <c r="BH48" s="1867"/>
      <c r="BI48" s="1867"/>
      <c r="BJ48" s="1867"/>
      <c r="BK48" s="1867"/>
      <c r="BL48" s="1867"/>
      <c r="BM48" s="1867"/>
      <c r="BN48" s="1867"/>
      <c r="BO48" s="1867"/>
      <c r="BP48" s="1867"/>
      <c r="BQ48" s="1867"/>
    </row>
    <row r="49" spans="1:69" s="362" customFormat="1" ht="48" customHeight="1" x14ac:dyDescent="0.2">
      <c r="A49" s="3341"/>
      <c r="B49" s="3345"/>
      <c r="C49" s="3346"/>
      <c r="D49" s="3341"/>
      <c r="E49" s="3341"/>
      <c r="F49" s="3350"/>
      <c r="G49" s="369"/>
      <c r="H49" s="916"/>
      <c r="I49" s="917"/>
      <c r="J49" s="3278"/>
      <c r="K49" s="3183"/>
      <c r="L49" s="3231"/>
      <c r="M49" s="3230"/>
      <c r="N49" s="2316"/>
      <c r="O49" s="3283"/>
      <c r="P49" s="3176"/>
      <c r="Q49" s="3321"/>
      <c r="R49" s="3323"/>
      <c r="S49" s="3179"/>
      <c r="T49" s="3195"/>
      <c r="U49" s="3203"/>
      <c r="V49" s="2275">
        <f>0+30000000-18000000</f>
        <v>12000000</v>
      </c>
      <c r="W49" s="1430">
        <v>92</v>
      </c>
      <c r="X49" s="2319" t="s">
        <v>1183</v>
      </c>
      <c r="Y49" s="3356"/>
      <c r="Z49" s="3359"/>
      <c r="AA49" s="3333"/>
      <c r="AB49" s="3333"/>
      <c r="AC49" s="3333"/>
      <c r="AD49" s="3333"/>
      <c r="AE49" s="3333"/>
      <c r="AF49" s="3333"/>
      <c r="AG49" s="3330"/>
      <c r="AH49" s="3333"/>
      <c r="AI49" s="3333"/>
      <c r="AJ49" s="3333"/>
      <c r="AK49" s="3333"/>
      <c r="AL49" s="3333"/>
      <c r="AM49" s="3333"/>
      <c r="AN49" s="3329"/>
      <c r="AO49" s="915">
        <v>43480</v>
      </c>
      <c r="AP49" s="2042">
        <v>43646</v>
      </c>
      <c r="AQ49" s="3326"/>
      <c r="AR49" s="1867"/>
      <c r="AS49" s="1867"/>
      <c r="AT49" s="1867"/>
      <c r="AU49" s="1867"/>
      <c r="AV49" s="1867"/>
      <c r="AW49" s="1867"/>
      <c r="AX49" s="1867"/>
      <c r="AY49" s="1867"/>
      <c r="AZ49" s="1867"/>
      <c r="BA49" s="1867"/>
      <c r="BB49" s="1867"/>
      <c r="BC49" s="1867"/>
      <c r="BD49" s="1867"/>
      <c r="BE49" s="1867"/>
      <c r="BF49" s="1867"/>
      <c r="BG49" s="1867"/>
      <c r="BH49" s="1867"/>
      <c r="BI49" s="1867"/>
      <c r="BJ49" s="1867"/>
      <c r="BK49" s="1867"/>
      <c r="BL49" s="1867"/>
      <c r="BM49" s="1867"/>
      <c r="BN49" s="1867"/>
      <c r="BO49" s="1867"/>
      <c r="BP49" s="1867"/>
      <c r="BQ49" s="1867"/>
    </row>
    <row r="50" spans="1:69" s="362" customFormat="1" ht="30" customHeight="1" x14ac:dyDescent="0.2">
      <c r="A50" s="3341"/>
      <c r="B50" s="3345"/>
      <c r="C50" s="3346"/>
      <c r="D50" s="3341"/>
      <c r="E50" s="3341"/>
      <c r="F50" s="3350"/>
      <c r="G50" s="369"/>
      <c r="H50" s="916"/>
      <c r="I50" s="917"/>
      <c r="J50" s="3278">
        <v>218</v>
      </c>
      <c r="K50" s="3183" t="s">
        <v>1215</v>
      </c>
      <c r="L50" s="3231" t="s">
        <v>1216</v>
      </c>
      <c r="M50" s="3230">
        <v>3</v>
      </c>
      <c r="N50" s="2316"/>
      <c r="O50" s="3283"/>
      <c r="P50" s="3176"/>
      <c r="Q50" s="3321">
        <f>SUM(V50:V52)/R13</f>
        <v>1.7909301150683146E-2</v>
      </c>
      <c r="R50" s="3323"/>
      <c r="S50" s="3179"/>
      <c r="T50" s="3179"/>
      <c r="U50" s="3202" t="s">
        <v>1217</v>
      </c>
      <c r="V50" s="2276">
        <f>45600000-1197734</f>
        <v>44402266</v>
      </c>
      <c r="W50" s="1432">
        <v>20</v>
      </c>
      <c r="X50" s="2322" t="s">
        <v>61</v>
      </c>
      <c r="Y50" s="3356"/>
      <c r="Z50" s="3359"/>
      <c r="AA50" s="3333"/>
      <c r="AB50" s="3333"/>
      <c r="AC50" s="3333"/>
      <c r="AD50" s="3333"/>
      <c r="AE50" s="3333"/>
      <c r="AF50" s="3333"/>
      <c r="AG50" s="3330"/>
      <c r="AH50" s="3333"/>
      <c r="AI50" s="3333"/>
      <c r="AJ50" s="3333"/>
      <c r="AK50" s="3333"/>
      <c r="AL50" s="3333"/>
      <c r="AM50" s="3333"/>
      <c r="AN50" s="3329"/>
      <c r="AO50" s="915">
        <v>43480</v>
      </c>
      <c r="AP50" s="2042">
        <v>43646</v>
      </c>
      <c r="AQ50" s="3326"/>
      <c r="AR50" s="1867"/>
      <c r="AS50" s="1867"/>
      <c r="AT50" s="1867"/>
      <c r="AU50" s="1867"/>
      <c r="AV50" s="1867"/>
      <c r="AW50" s="1867"/>
      <c r="AX50" s="1867"/>
      <c r="AY50" s="1867"/>
      <c r="AZ50" s="1867"/>
      <c r="BA50" s="1867"/>
      <c r="BB50" s="1867"/>
      <c r="BC50" s="1867"/>
      <c r="BD50" s="1867"/>
      <c r="BE50" s="1867"/>
      <c r="BF50" s="1867"/>
      <c r="BG50" s="1867"/>
      <c r="BH50" s="1867"/>
      <c r="BI50" s="1867"/>
      <c r="BJ50" s="1867"/>
      <c r="BK50" s="1867"/>
      <c r="BL50" s="1867"/>
      <c r="BM50" s="1867"/>
      <c r="BN50" s="1867"/>
      <c r="BO50" s="1867"/>
      <c r="BP50" s="1867"/>
      <c r="BQ50" s="1867"/>
    </row>
    <row r="51" spans="1:69" s="362" customFormat="1" ht="58.5" customHeight="1" x14ac:dyDescent="0.2">
      <c r="A51" s="3341"/>
      <c r="B51" s="3345"/>
      <c r="C51" s="3346"/>
      <c r="D51" s="3341"/>
      <c r="E51" s="3341"/>
      <c r="F51" s="3350"/>
      <c r="G51" s="369"/>
      <c r="H51" s="916"/>
      <c r="I51" s="917"/>
      <c r="J51" s="3278"/>
      <c r="K51" s="3183"/>
      <c r="L51" s="3231"/>
      <c r="M51" s="3230"/>
      <c r="N51" s="2316"/>
      <c r="O51" s="3283"/>
      <c r="P51" s="3176"/>
      <c r="Q51" s="3321"/>
      <c r="R51" s="3323"/>
      <c r="S51" s="3179"/>
      <c r="T51" s="3179"/>
      <c r="U51" s="3203"/>
      <c r="V51" s="2276">
        <f>0+75000000</f>
        <v>75000000</v>
      </c>
      <c r="W51" s="1432">
        <v>92</v>
      </c>
      <c r="X51" s="2322" t="s">
        <v>1183</v>
      </c>
      <c r="Y51" s="3356"/>
      <c r="Z51" s="3359"/>
      <c r="AA51" s="3333"/>
      <c r="AB51" s="3333"/>
      <c r="AC51" s="3333"/>
      <c r="AD51" s="3333"/>
      <c r="AE51" s="3333"/>
      <c r="AF51" s="3333"/>
      <c r="AG51" s="3330"/>
      <c r="AH51" s="3333"/>
      <c r="AI51" s="3333"/>
      <c r="AJ51" s="3333"/>
      <c r="AK51" s="3333"/>
      <c r="AL51" s="3333"/>
      <c r="AM51" s="3333"/>
      <c r="AN51" s="3329"/>
      <c r="AO51" s="915"/>
      <c r="AP51" s="2042"/>
      <c r="AQ51" s="3326"/>
      <c r="AR51" s="1867"/>
      <c r="AS51" s="1867"/>
      <c r="AT51" s="1867"/>
      <c r="AU51" s="1867"/>
      <c r="AV51" s="1867"/>
      <c r="AW51" s="1867"/>
      <c r="AX51" s="1867"/>
      <c r="AY51" s="1867"/>
      <c r="AZ51" s="1867"/>
      <c r="BA51" s="1867"/>
      <c r="BB51" s="1867"/>
      <c r="BC51" s="1867"/>
      <c r="BD51" s="1867"/>
      <c r="BE51" s="1867"/>
      <c r="BF51" s="1867"/>
      <c r="BG51" s="1867"/>
      <c r="BH51" s="1867"/>
      <c r="BI51" s="1867"/>
      <c r="BJ51" s="1867"/>
      <c r="BK51" s="1867"/>
      <c r="BL51" s="1867"/>
      <c r="BM51" s="1867"/>
      <c r="BN51" s="1867"/>
      <c r="BO51" s="1867"/>
      <c r="BP51" s="1867"/>
      <c r="BQ51" s="1867"/>
    </row>
    <row r="52" spans="1:69" s="362" customFormat="1" ht="75.75" customHeight="1" x14ac:dyDescent="0.2">
      <c r="A52" s="3341"/>
      <c r="B52" s="3345"/>
      <c r="C52" s="3346"/>
      <c r="D52" s="3341"/>
      <c r="E52" s="3341"/>
      <c r="F52" s="3350"/>
      <c r="G52" s="369"/>
      <c r="H52" s="919"/>
      <c r="I52" s="920"/>
      <c r="J52" s="3278"/>
      <c r="K52" s="3183"/>
      <c r="L52" s="3231"/>
      <c r="M52" s="3230"/>
      <c r="N52" s="2316"/>
      <c r="O52" s="3283"/>
      <c r="P52" s="3176"/>
      <c r="Q52" s="3321"/>
      <c r="R52" s="3324"/>
      <c r="S52" s="3179"/>
      <c r="T52" s="3179"/>
      <c r="U52" s="2043" t="s">
        <v>1218</v>
      </c>
      <c r="V52" s="2277">
        <f>4000000-4000000</f>
        <v>0</v>
      </c>
      <c r="W52" s="1432">
        <v>20</v>
      </c>
      <c r="X52" s="2322" t="s">
        <v>61</v>
      </c>
      <c r="Y52" s="3357"/>
      <c r="Z52" s="3360"/>
      <c r="AA52" s="3333"/>
      <c r="AB52" s="3333"/>
      <c r="AC52" s="3333"/>
      <c r="AD52" s="3333"/>
      <c r="AE52" s="3333"/>
      <c r="AF52" s="3333"/>
      <c r="AG52" s="3331"/>
      <c r="AH52" s="3333"/>
      <c r="AI52" s="3333"/>
      <c r="AJ52" s="3333"/>
      <c r="AK52" s="3333"/>
      <c r="AL52" s="3333"/>
      <c r="AM52" s="3333"/>
      <c r="AN52" s="3337"/>
      <c r="AO52" s="915">
        <v>43600</v>
      </c>
      <c r="AP52" s="2042" t="s">
        <v>1219</v>
      </c>
      <c r="AQ52" s="3326"/>
      <c r="AR52" s="1867"/>
      <c r="AS52" s="1867"/>
      <c r="AT52" s="1867"/>
      <c r="AU52" s="1867"/>
      <c r="AV52" s="1867"/>
      <c r="AW52" s="1867"/>
      <c r="AX52" s="1867"/>
      <c r="AY52" s="1867"/>
      <c r="AZ52" s="1867"/>
      <c r="BA52" s="1867"/>
      <c r="BB52" s="1867"/>
      <c r="BC52" s="1867"/>
      <c r="BD52" s="1867"/>
      <c r="BE52" s="1867"/>
      <c r="BF52" s="1867"/>
      <c r="BG52" s="1867"/>
      <c r="BH52" s="1867"/>
      <c r="BI52" s="1867"/>
      <c r="BJ52" s="1867"/>
      <c r="BK52" s="1867"/>
      <c r="BL52" s="1867"/>
      <c r="BM52" s="1867"/>
      <c r="BN52" s="1867"/>
      <c r="BO52" s="1867"/>
      <c r="BP52" s="1867"/>
      <c r="BQ52" s="1867"/>
    </row>
    <row r="53" spans="1:69" s="369" customFormat="1" ht="15" customHeight="1" x14ac:dyDescent="0.2">
      <c r="A53" s="3341"/>
      <c r="B53" s="3345"/>
      <c r="C53" s="3346"/>
      <c r="D53" s="3341"/>
      <c r="E53" s="3341"/>
      <c r="F53" s="3350"/>
      <c r="G53" s="904">
        <v>76</v>
      </c>
      <c r="H53" s="717" t="s">
        <v>1220</v>
      </c>
      <c r="I53" s="717"/>
      <c r="J53" s="744"/>
      <c r="K53" s="921"/>
      <c r="L53" s="922"/>
      <c r="M53" s="779"/>
      <c r="N53" s="774"/>
      <c r="O53" s="775"/>
      <c r="P53" s="719"/>
      <c r="Q53" s="746"/>
      <c r="R53" s="923"/>
      <c r="S53" s="921"/>
      <c r="T53" s="1065"/>
      <c r="U53" s="719"/>
      <c r="V53" s="2278"/>
      <c r="W53" s="718"/>
      <c r="X53" s="719"/>
      <c r="Y53" s="717"/>
      <c r="Z53" s="717"/>
      <c r="AA53" s="717"/>
      <c r="AB53" s="717"/>
      <c r="AC53" s="717"/>
      <c r="AD53" s="717"/>
      <c r="AE53" s="717"/>
      <c r="AF53" s="717"/>
      <c r="AG53" s="717"/>
      <c r="AH53" s="717"/>
      <c r="AI53" s="717"/>
      <c r="AJ53" s="717"/>
      <c r="AK53" s="724"/>
      <c r="AL53" s="724"/>
      <c r="AM53" s="724"/>
      <c r="AN53" s="724"/>
      <c r="AO53" s="724"/>
      <c r="AP53" s="724"/>
      <c r="AQ53" s="939"/>
      <c r="AR53" s="1867"/>
      <c r="AS53" s="1867"/>
      <c r="AT53" s="1867"/>
      <c r="AU53" s="1867"/>
      <c r="AV53" s="1867"/>
      <c r="AW53" s="1867"/>
      <c r="AX53" s="1867"/>
      <c r="AY53" s="1867"/>
      <c r="AZ53" s="1867"/>
      <c r="BA53" s="1867"/>
      <c r="BB53" s="1867"/>
      <c r="BC53" s="1867"/>
      <c r="BD53" s="1867"/>
      <c r="BE53" s="1867"/>
      <c r="BF53" s="1867"/>
      <c r="BG53" s="1867"/>
      <c r="BH53" s="1867"/>
      <c r="BI53" s="1867"/>
      <c r="BJ53" s="1867"/>
      <c r="BK53" s="1867"/>
      <c r="BL53" s="1867"/>
      <c r="BM53" s="1867"/>
      <c r="BN53" s="1867"/>
      <c r="BO53" s="1867"/>
      <c r="BP53" s="1867"/>
      <c r="BQ53" s="1867"/>
    </row>
    <row r="54" spans="1:69" s="362" customFormat="1" ht="69.75" customHeight="1" x14ac:dyDescent="0.2">
      <c r="A54" s="3341"/>
      <c r="B54" s="3345"/>
      <c r="C54" s="3346"/>
      <c r="D54" s="3341"/>
      <c r="E54" s="3341"/>
      <c r="F54" s="3350"/>
      <c r="G54" s="369"/>
      <c r="H54" s="913"/>
      <c r="I54" s="914"/>
      <c r="J54" s="3313">
        <v>219</v>
      </c>
      <c r="K54" s="3216" t="s">
        <v>1221</v>
      </c>
      <c r="L54" s="3217" t="s">
        <v>1222</v>
      </c>
      <c r="M54" s="3316">
        <v>11</v>
      </c>
      <c r="N54" s="2323"/>
      <c r="O54" s="3275" t="s">
        <v>1223</v>
      </c>
      <c r="P54" s="3276" t="s">
        <v>1224</v>
      </c>
      <c r="Q54" s="3321">
        <f>SUM(V54:V60)/R54</f>
        <v>0.48485153703513656</v>
      </c>
      <c r="R54" s="3322">
        <f>SUM(V54:V68)</f>
        <v>718838837</v>
      </c>
      <c r="S54" s="3179" t="s">
        <v>1225</v>
      </c>
      <c r="T54" s="3195" t="s">
        <v>1226</v>
      </c>
      <c r="U54" s="3192" t="s">
        <v>1227</v>
      </c>
      <c r="V54" s="2277">
        <f>50000000+3000000</f>
        <v>53000000</v>
      </c>
      <c r="W54" s="1437" t="s">
        <v>60</v>
      </c>
      <c r="X54" s="2324" t="s">
        <v>1228</v>
      </c>
      <c r="Y54" s="3310">
        <v>7650</v>
      </c>
      <c r="Z54" s="3304">
        <v>7350</v>
      </c>
      <c r="AA54" s="3307">
        <v>4564</v>
      </c>
      <c r="AB54" s="3307">
        <v>3365</v>
      </c>
      <c r="AC54" s="3307">
        <v>1921</v>
      </c>
      <c r="AD54" s="3307">
        <v>5150</v>
      </c>
      <c r="AE54" s="3294"/>
      <c r="AF54" s="3294"/>
      <c r="AG54" s="3294"/>
      <c r="AH54" s="3294"/>
      <c r="AI54" s="3294"/>
      <c r="AJ54" s="3294"/>
      <c r="AK54" s="3294"/>
      <c r="AL54" s="3294"/>
      <c r="AM54" s="3294"/>
      <c r="AN54" s="3298">
        <f>+Y54+Z54</f>
        <v>15000</v>
      </c>
      <c r="AO54" s="924">
        <v>43480</v>
      </c>
      <c r="AP54" s="924">
        <v>43600</v>
      </c>
      <c r="AQ54" s="3300" t="s">
        <v>1229</v>
      </c>
      <c r="AR54" s="1867"/>
      <c r="AS54" s="1867"/>
      <c r="AT54" s="1867"/>
      <c r="AU54" s="1867"/>
      <c r="AV54" s="1867"/>
      <c r="AW54" s="1867"/>
      <c r="AX54" s="1867"/>
      <c r="AY54" s="1867"/>
      <c r="AZ54" s="1867"/>
      <c r="BA54" s="1867"/>
      <c r="BB54" s="1867"/>
      <c r="BC54" s="1867"/>
      <c r="BD54" s="1867"/>
      <c r="BE54" s="1867"/>
      <c r="BF54" s="1867"/>
      <c r="BG54" s="1867"/>
      <c r="BH54" s="1867"/>
      <c r="BI54" s="1867"/>
      <c r="BJ54" s="1867"/>
      <c r="BK54" s="1867"/>
      <c r="BL54" s="1867"/>
      <c r="BM54" s="1867"/>
      <c r="BN54" s="1867"/>
      <c r="BO54" s="1867"/>
      <c r="BP54" s="1867"/>
      <c r="BQ54" s="1867"/>
    </row>
    <row r="55" spans="1:69" s="362" customFormat="1" ht="32.25" customHeight="1" x14ac:dyDescent="0.2">
      <c r="A55" s="3341"/>
      <c r="B55" s="3345"/>
      <c r="C55" s="3346"/>
      <c r="D55" s="3341"/>
      <c r="E55" s="3341"/>
      <c r="F55" s="3350"/>
      <c r="G55" s="369"/>
      <c r="H55" s="916"/>
      <c r="I55" s="917"/>
      <c r="J55" s="3314"/>
      <c r="K55" s="3162"/>
      <c r="L55" s="3218"/>
      <c r="M55" s="3317"/>
      <c r="N55" s="2323"/>
      <c r="O55" s="3160"/>
      <c r="P55" s="3176"/>
      <c r="Q55" s="3321"/>
      <c r="R55" s="3323"/>
      <c r="S55" s="3179"/>
      <c r="T55" s="3195"/>
      <c r="U55" s="3193"/>
      <c r="V55" s="2277">
        <f>0+130657749</f>
        <v>130657749</v>
      </c>
      <c r="W55" s="1436">
        <v>92</v>
      </c>
      <c r="X55" s="1991" t="s">
        <v>1183</v>
      </c>
      <c r="Y55" s="3311"/>
      <c r="Z55" s="3305"/>
      <c r="AA55" s="3308"/>
      <c r="AB55" s="3308"/>
      <c r="AC55" s="3308"/>
      <c r="AD55" s="3308"/>
      <c r="AE55" s="3295"/>
      <c r="AF55" s="3295"/>
      <c r="AG55" s="3295"/>
      <c r="AH55" s="3295"/>
      <c r="AI55" s="3295"/>
      <c r="AJ55" s="3295"/>
      <c r="AK55" s="3295"/>
      <c r="AL55" s="3295"/>
      <c r="AM55" s="3295"/>
      <c r="AN55" s="3298"/>
      <c r="AO55" s="924"/>
      <c r="AP55" s="924"/>
      <c r="AQ55" s="3301"/>
      <c r="AR55" s="1867"/>
      <c r="AS55" s="1867"/>
      <c r="AT55" s="1867"/>
      <c r="AU55" s="1867"/>
      <c r="AV55" s="1867"/>
      <c r="AW55" s="1867"/>
      <c r="AX55" s="1867"/>
      <c r="AY55" s="1867"/>
      <c r="AZ55" s="1867"/>
      <c r="BA55" s="1867"/>
      <c r="BB55" s="1867"/>
      <c r="BC55" s="1867"/>
      <c r="BD55" s="1867"/>
      <c r="BE55" s="1867"/>
      <c r="BF55" s="1867"/>
      <c r="BG55" s="1867"/>
      <c r="BH55" s="1867"/>
      <c r="BI55" s="1867"/>
      <c r="BJ55" s="1867"/>
      <c r="BK55" s="1867"/>
      <c r="BL55" s="1867"/>
      <c r="BM55" s="1867"/>
      <c r="BN55" s="1867"/>
      <c r="BO55" s="1867"/>
      <c r="BP55" s="1867"/>
      <c r="BQ55" s="1867"/>
    </row>
    <row r="56" spans="1:69" s="362" customFormat="1" ht="33" customHeight="1" x14ac:dyDescent="0.2">
      <c r="A56" s="3341"/>
      <c r="B56" s="3345"/>
      <c r="C56" s="3346"/>
      <c r="D56" s="3341"/>
      <c r="E56" s="3341"/>
      <c r="F56" s="3350"/>
      <c r="G56" s="369"/>
      <c r="H56" s="916"/>
      <c r="I56" s="917"/>
      <c r="J56" s="3314"/>
      <c r="K56" s="3162"/>
      <c r="L56" s="3218"/>
      <c r="M56" s="3317"/>
      <c r="N56" s="2323"/>
      <c r="O56" s="3160"/>
      <c r="P56" s="3176"/>
      <c r="Q56" s="3321"/>
      <c r="R56" s="3323"/>
      <c r="S56" s="3179"/>
      <c r="T56" s="3195"/>
      <c r="U56" s="3192" t="s">
        <v>1230</v>
      </c>
      <c r="V56" s="2277">
        <v>23500000</v>
      </c>
      <c r="W56" s="1436">
        <v>20</v>
      </c>
      <c r="X56" s="1991" t="s">
        <v>1228</v>
      </c>
      <c r="Y56" s="3311"/>
      <c r="Z56" s="3305"/>
      <c r="AA56" s="3308"/>
      <c r="AB56" s="3308"/>
      <c r="AC56" s="3308"/>
      <c r="AD56" s="3308"/>
      <c r="AE56" s="3295"/>
      <c r="AF56" s="3295"/>
      <c r="AG56" s="3295"/>
      <c r="AH56" s="3295"/>
      <c r="AI56" s="3295"/>
      <c r="AJ56" s="3295"/>
      <c r="AK56" s="3295"/>
      <c r="AL56" s="3295"/>
      <c r="AM56" s="3295"/>
      <c r="AN56" s="3298"/>
      <c r="AO56" s="924">
        <v>43480</v>
      </c>
      <c r="AP56" s="924">
        <v>43600</v>
      </c>
      <c r="AQ56" s="3301"/>
      <c r="AR56" s="1867"/>
      <c r="AS56" s="1867"/>
      <c r="AT56" s="1867"/>
      <c r="AU56" s="1867"/>
      <c r="AV56" s="1867"/>
      <c r="AW56" s="1867"/>
      <c r="AX56" s="1867"/>
      <c r="AY56" s="1867"/>
      <c r="AZ56" s="1867"/>
      <c r="BA56" s="1867"/>
      <c r="BB56" s="1867"/>
      <c r="BC56" s="1867"/>
      <c r="BD56" s="1867"/>
      <c r="BE56" s="1867"/>
      <c r="BF56" s="1867"/>
      <c r="BG56" s="1867"/>
      <c r="BH56" s="1867"/>
      <c r="BI56" s="1867"/>
      <c r="BJ56" s="1867"/>
      <c r="BK56" s="1867"/>
      <c r="BL56" s="1867"/>
      <c r="BM56" s="1867"/>
      <c r="BN56" s="1867"/>
      <c r="BO56" s="1867"/>
      <c r="BP56" s="1867"/>
      <c r="BQ56" s="1867"/>
    </row>
    <row r="57" spans="1:69" s="362" customFormat="1" ht="33" customHeight="1" x14ac:dyDescent="0.2">
      <c r="A57" s="3341"/>
      <c r="B57" s="3345"/>
      <c r="C57" s="3346"/>
      <c r="D57" s="3341"/>
      <c r="E57" s="3341"/>
      <c r="F57" s="3350"/>
      <c r="G57" s="369"/>
      <c r="H57" s="916"/>
      <c r="I57" s="917"/>
      <c r="J57" s="3314"/>
      <c r="K57" s="3162"/>
      <c r="L57" s="3218"/>
      <c r="M57" s="3317"/>
      <c r="N57" s="2323"/>
      <c r="O57" s="3160"/>
      <c r="P57" s="3176"/>
      <c r="Q57" s="3321"/>
      <c r="R57" s="3323"/>
      <c r="S57" s="3179"/>
      <c r="T57" s="3195"/>
      <c r="U57" s="3193"/>
      <c r="V57" s="2277">
        <f>0+55000000</f>
        <v>55000000</v>
      </c>
      <c r="W57" s="1436">
        <v>92</v>
      </c>
      <c r="X57" s="1991" t="s">
        <v>1183</v>
      </c>
      <c r="Y57" s="3311"/>
      <c r="Z57" s="3305"/>
      <c r="AA57" s="3308"/>
      <c r="AB57" s="3308"/>
      <c r="AC57" s="3308"/>
      <c r="AD57" s="3308"/>
      <c r="AE57" s="3295"/>
      <c r="AF57" s="3295"/>
      <c r="AG57" s="3295"/>
      <c r="AH57" s="3295"/>
      <c r="AI57" s="3295"/>
      <c r="AJ57" s="3295"/>
      <c r="AK57" s="3295"/>
      <c r="AL57" s="3295"/>
      <c r="AM57" s="3295"/>
      <c r="AN57" s="3298"/>
      <c r="AO57" s="924"/>
      <c r="AP57" s="924"/>
      <c r="AQ57" s="3301"/>
      <c r="AR57" s="1867"/>
      <c r="AS57" s="1867"/>
      <c r="AT57" s="1867"/>
      <c r="AU57" s="1867"/>
      <c r="AV57" s="1867"/>
      <c r="AW57" s="1867"/>
      <c r="AX57" s="1867"/>
      <c r="AY57" s="1867"/>
      <c r="AZ57" s="1867"/>
      <c r="BA57" s="1867"/>
      <c r="BB57" s="1867"/>
      <c r="BC57" s="1867"/>
      <c r="BD57" s="1867"/>
      <c r="BE57" s="1867"/>
      <c r="BF57" s="1867"/>
      <c r="BG57" s="1867"/>
      <c r="BH57" s="1867"/>
      <c r="BI57" s="1867"/>
      <c r="BJ57" s="1867"/>
      <c r="BK57" s="1867"/>
      <c r="BL57" s="1867"/>
      <c r="BM57" s="1867"/>
      <c r="BN57" s="1867"/>
      <c r="BO57" s="1867"/>
      <c r="BP57" s="1867"/>
      <c r="BQ57" s="1867"/>
    </row>
    <row r="58" spans="1:69" s="362" customFormat="1" ht="36.75" customHeight="1" x14ac:dyDescent="0.2">
      <c r="A58" s="3341"/>
      <c r="B58" s="3345"/>
      <c r="C58" s="3346"/>
      <c r="D58" s="3341"/>
      <c r="E58" s="3341"/>
      <c r="F58" s="3350"/>
      <c r="G58" s="369"/>
      <c r="H58" s="916"/>
      <c r="I58" s="917"/>
      <c r="J58" s="3314"/>
      <c r="K58" s="3162"/>
      <c r="L58" s="3218"/>
      <c r="M58" s="3317"/>
      <c r="N58" s="2323"/>
      <c r="O58" s="3160"/>
      <c r="P58" s="3176"/>
      <c r="Q58" s="3321"/>
      <c r="R58" s="3323"/>
      <c r="S58" s="3179"/>
      <c r="T58" s="3195"/>
      <c r="U58" s="3192" t="s">
        <v>1231</v>
      </c>
      <c r="V58" s="2277">
        <v>23500000</v>
      </c>
      <c r="W58" s="1436">
        <v>20</v>
      </c>
      <c r="X58" s="1991" t="s">
        <v>1228</v>
      </c>
      <c r="Y58" s="3311"/>
      <c r="Z58" s="3305"/>
      <c r="AA58" s="3308"/>
      <c r="AB58" s="3308"/>
      <c r="AC58" s="3308"/>
      <c r="AD58" s="3308"/>
      <c r="AE58" s="3295"/>
      <c r="AF58" s="3295"/>
      <c r="AG58" s="3295"/>
      <c r="AH58" s="3295"/>
      <c r="AI58" s="3295"/>
      <c r="AJ58" s="3295"/>
      <c r="AK58" s="3295"/>
      <c r="AL58" s="3295"/>
      <c r="AM58" s="3295"/>
      <c r="AN58" s="3298"/>
      <c r="AO58" s="924">
        <v>43480</v>
      </c>
      <c r="AP58" s="924">
        <v>43600</v>
      </c>
      <c r="AQ58" s="3301"/>
      <c r="AR58" s="1867"/>
      <c r="AS58" s="1867"/>
      <c r="AT58" s="1867"/>
      <c r="AU58" s="1867"/>
      <c r="AV58" s="1867"/>
      <c r="AW58" s="1867"/>
      <c r="AX58" s="1867"/>
      <c r="AY58" s="1867"/>
      <c r="AZ58" s="1867"/>
      <c r="BA58" s="1867"/>
      <c r="BB58" s="1867"/>
      <c r="BC58" s="1867"/>
      <c r="BD58" s="1867"/>
      <c r="BE58" s="1867"/>
      <c r="BF58" s="1867"/>
      <c r="BG58" s="1867"/>
      <c r="BH58" s="1867"/>
      <c r="BI58" s="1867"/>
      <c r="BJ58" s="1867"/>
      <c r="BK58" s="1867"/>
      <c r="BL58" s="1867"/>
      <c r="BM58" s="1867"/>
      <c r="BN58" s="1867"/>
      <c r="BO58" s="1867"/>
      <c r="BP58" s="1867"/>
      <c r="BQ58" s="1867"/>
    </row>
    <row r="59" spans="1:69" s="362" customFormat="1" ht="29.25" customHeight="1" x14ac:dyDescent="0.2">
      <c r="A59" s="3341"/>
      <c r="B59" s="3345"/>
      <c r="C59" s="3346"/>
      <c r="D59" s="3341"/>
      <c r="E59" s="3341"/>
      <c r="F59" s="3350"/>
      <c r="G59" s="369"/>
      <c r="H59" s="916"/>
      <c r="I59" s="917"/>
      <c r="J59" s="3314"/>
      <c r="K59" s="3162"/>
      <c r="L59" s="3218"/>
      <c r="M59" s="3317"/>
      <c r="N59" s="2323"/>
      <c r="O59" s="3160"/>
      <c r="P59" s="3176"/>
      <c r="Q59" s="3321"/>
      <c r="R59" s="3323"/>
      <c r="S59" s="3179"/>
      <c r="T59" s="3195"/>
      <c r="U59" s="3193"/>
      <c r="V59" s="2277">
        <f>0+62872366</f>
        <v>62872366</v>
      </c>
      <c r="W59" s="1436">
        <v>92</v>
      </c>
      <c r="X59" s="1991" t="s">
        <v>1183</v>
      </c>
      <c r="Y59" s="3311"/>
      <c r="Z59" s="3305"/>
      <c r="AA59" s="3308"/>
      <c r="AB59" s="3308"/>
      <c r="AC59" s="3308"/>
      <c r="AD59" s="3308"/>
      <c r="AE59" s="3295"/>
      <c r="AF59" s="3295"/>
      <c r="AG59" s="3295"/>
      <c r="AH59" s="3295"/>
      <c r="AI59" s="3295"/>
      <c r="AJ59" s="3295"/>
      <c r="AK59" s="3295"/>
      <c r="AL59" s="3295"/>
      <c r="AM59" s="3295"/>
      <c r="AN59" s="3298"/>
      <c r="AO59" s="924"/>
      <c r="AP59" s="924"/>
      <c r="AQ59" s="3301"/>
      <c r="AR59" s="1867"/>
      <c r="AS59" s="1867"/>
      <c r="AT59" s="1867"/>
      <c r="AU59" s="1867"/>
      <c r="AV59" s="1867"/>
      <c r="AW59" s="1867"/>
      <c r="AX59" s="1867"/>
      <c r="AY59" s="1867"/>
      <c r="AZ59" s="1867"/>
      <c r="BA59" s="1867"/>
      <c r="BB59" s="1867"/>
      <c r="BC59" s="1867"/>
      <c r="BD59" s="1867"/>
      <c r="BE59" s="1867"/>
      <c r="BF59" s="1867"/>
      <c r="BG59" s="1867"/>
      <c r="BH59" s="1867"/>
      <c r="BI59" s="1867"/>
      <c r="BJ59" s="1867"/>
      <c r="BK59" s="1867"/>
      <c r="BL59" s="1867"/>
      <c r="BM59" s="1867"/>
      <c r="BN59" s="1867"/>
      <c r="BO59" s="1867"/>
      <c r="BP59" s="1867"/>
      <c r="BQ59" s="1867"/>
    </row>
    <row r="60" spans="1:69" s="362" customFormat="1" ht="33.75" customHeight="1" x14ac:dyDescent="0.2">
      <c r="A60" s="3341"/>
      <c r="B60" s="3345"/>
      <c r="C60" s="3346"/>
      <c r="D60" s="3341"/>
      <c r="E60" s="3341"/>
      <c r="F60" s="3350"/>
      <c r="G60" s="369"/>
      <c r="H60" s="916"/>
      <c r="I60" s="917"/>
      <c r="J60" s="3315"/>
      <c r="K60" s="3163"/>
      <c r="L60" s="3219"/>
      <c r="M60" s="3318"/>
      <c r="N60" s="2323"/>
      <c r="O60" s="3160"/>
      <c r="P60" s="3176"/>
      <c r="Q60" s="3321"/>
      <c r="R60" s="3323"/>
      <c r="S60" s="3179"/>
      <c r="T60" s="3195"/>
      <c r="U60" s="1435" t="s">
        <v>1232</v>
      </c>
      <c r="V60" s="2277">
        <f>3000000-3000000</f>
        <v>0</v>
      </c>
      <c r="W60" s="1436">
        <v>20</v>
      </c>
      <c r="X60" s="1991" t="s">
        <v>1228</v>
      </c>
      <c r="Y60" s="3311"/>
      <c r="Z60" s="3305"/>
      <c r="AA60" s="3308"/>
      <c r="AB60" s="3308"/>
      <c r="AC60" s="3308"/>
      <c r="AD60" s="3308"/>
      <c r="AE60" s="3295"/>
      <c r="AF60" s="3295"/>
      <c r="AG60" s="3295"/>
      <c r="AH60" s="3295"/>
      <c r="AI60" s="3295"/>
      <c r="AJ60" s="3295"/>
      <c r="AK60" s="3295"/>
      <c r="AL60" s="3295"/>
      <c r="AM60" s="3295"/>
      <c r="AN60" s="3298"/>
      <c r="AO60" s="924">
        <v>43480</v>
      </c>
      <c r="AP60" s="924">
        <v>43600</v>
      </c>
      <c r="AQ60" s="3301"/>
      <c r="AR60" s="1867"/>
      <c r="AS60" s="1867"/>
      <c r="AT60" s="1867"/>
      <c r="AU60" s="1867"/>
      <c r="AV60" s="1867"/>
      <c r="AW60" s="1867"/>
      <c r="AX60" s="1867"/>
      <c r="AY60" s="1867"/>
      <c r="AZ60" s="1867"/>
      <c r="BA60" s="1867"/>
      <c r="BB60" s="1867"/>
      <c r="BC60" s="1867"/>
      <c r="BD60" s="1867"/>
      <c r="BE60" s="1867"/>
      <c r="BF60" s="1867"/>
      <c r="BG60" s="1867"/>
      <c r="BH60" s="1867"/>
      <c r="BI60" s="1867"/>
      <c r="BJ60" s="1867"/>
      <c r="BK60" s="1867"/>
      <c r="BL60" s="1867"/>
      <c r="BM60" s="1867"/>
      <c r="BN60" s="1867"/>
      <c r="BO60" s="1867"/>
      <c r="BP60" s="1867"/>
      <c r="BQ60" s="1867"/>
    </row>
    <row r="61" spans="1:69" s="362" customFormat="1" ht="39" customHeight="1" x14ac:dyDescent="0.2">
      <c r="A61" s="3341"/>
      <c r="B61" s="3345"/>
      <c r="C61" s="3346"/>
      <c r="D61" s="3341"/>
      <c r="E61" s="3341"/>
      <c r="F61" s="3350"/>
      <c r="G61" s="369"/>
      <c r="H61" s="916"/>
      <c r="I61" s="917"/>
      <c r="J61" s="3270">
        <v>220</v>
      </c>
      <c r="K61" s="3183" t="s">
        <v>1233</v>
      </c>
      <c r="L61" s="3183" t="s">
        <v>1234</v>
      </c>
      <c r="M61" s="3289">
        <v>12</v>
      </c>
      <c r="N61" s="2323" t="s">
        <v>1235</v>
      </c>
      <c r="O61" s="3160"/>
      <c r="P61" s="3176"/>
      <c r="Q61" s="3321">
        <f>SUM(V61:V67)/R54</f>
        <v>0.50123713891657751</v>
      </c>
      <c r="R61" s="3323"/>
      <c r="S61" s="3179"/>
      <c r="T61" s="3179"/>
      <c r="U61" s="3242" t="s">
        <v>1236</v>
      </c>
      <c r="V61" s="2277">
        <f>26290000-2037500</f>
        <v>24252500</v>
      </c>
      <c r="W61" s="1436">
        <v>20</v>
      </c>
      <c r="X61" s="1991" t="s">
        <v>1228</v>
      </c>
      <c r="Y61" s="3311"/>
      <c r="Z61" s="3305"/>
      <c r="AA61" s="3308"/>
      <c r="AB61" s="3308"/>
      <c r="AC61" s="3308"/>
      <c r="AD61" s="3308"/>
      <c r="AE61" s="3296"/>
      <c r="AF61" s="3296"/>
      <c r="AG61" s="3296"/>
      <c r="AH61" s="3296"/>
      <c r="AI61" s="3296"/>
      <c r="AJ61" s="3296"/>
      <c r="AK61" s="3296"/>
      <c r="AL61" s="3296"/>
      <c r="AM61" s="3296"/>
      <c r="AN61" s="3299"/>
      <c r="AO61" s="924">
        <v>43480</v>
      </c>
      <c r="AP61" s="924">
        <v>43600</v>
      </c>
      <c r="AQ61" s="3302"/>
      <c r="AR61" s="1867"/>
      <c r="AS61" s="1867"/>
      <c r="AT61" s="1867"/>
      <c r="AU61" s="1867"/>
      <c r="AV61" s="1867"/>
      <c r="AW61" s="1867"/>
      <c r="AX61" s="1867"/>
      <c r="AY61" s="1867"/>
      <c r="AZ61" s="1867"/>
      <c r="BA61" s="1867"/>
      <c r="BB61" s="1867"/>
      <c r="BC61" s="1867"/>
      <c r="BD61" s="1867"/>
      <c r="BE61" s="1867"/>
      <c r="BF61" s="1867"/>
      <c r="BG61" s="1867"/>
      <c r="BH61" s="1867"/>
      <c r="BI61" s="1867"/>
      <c r="BJ61" s="1867"/>
      <c r="BK61" s="1867"/>
      <c r="BL61" s="1867"/>
      <c r="BM61" s="1867"/>
      <c r="BN61" s="1867"/>
      <c r="BO61" s="1867"/>
      <c r="BP61" s="1867"/>
      <c r="BQ61" s="1867"/>
    </row>
    <row r="62" spans="1:69" s="362" customFormat="1" ht="22.5" customHeight="1" x14ac:dyDescent="0.2">
      <c r="A62" s="3341"/>
      <c r="B62" s="3345"/>
      <c r="C62" s="3346"/>
      <c r="D62" s="3341"/>
      <c r="E62" s="3341"/>
      <c r="F62" s="3350"/>
      <c r="G62" s="369"/>
      <c r="H62" s="916"/>
      <c r="I62" s="917"/>
      <c r="J62" s="3270"/>
      <c r="K62" s="3183"/>
      <c r="L62" s="3183"/>
      <c r="M62" s="3289"/>
      <c r="N62" s="2323" t="s">
        <v>1237</v>
      </c>
      <c r="O62" s="3160"/>
      <c r="P62" s="3176"/>
      <c r="Q62" s="3321"/>
      <c r="R62" s="3323"/>
      <c r="S62" s="3179"/>
      <c r="T62" s="3179"/>
      <c r="U62" s="3243"/>
      <c r="V62" s="2277">
        <f>0+130940708</f>
        <v>130940708</v>
      </c>
      <c r="W62" s="1436">
        <v>92</v>
      </c>
      <c r="X62" s="1991" t="s">
        <v>1183</v>
      </c>
      <c r="Y62" s="3311"/>
      <c r="Z62" s="3305"/>
      <c r="AA62" s="3308"/>
      <c r="AB62" s="3308"/>
      <c r="AC62" s="3308"/>
      <c r="AD62" s="3308"/>
      <c r="AE62" s="3296"/>
      <c r="AF62" s="3296"/>
      <c r="AG62" s="3296"/>
      <c r="AH62" s="3296"/>
      <c r="AI62" s="3296"/>
      <c r="AJ62" s="3296"/>
      <c r="AK62" s="3296"/>
      <c r="AL62" s="3296"/>
      <c r="AM62" s="3296"/>
      <c r="AN62" s="3299"/>
      <c r="AO62" s="924"/>
      <c r="AP62" s="924"/>
      <c r="AQ62" s="3302"/>
      <c r="AR62" s="1867"/>
      <c r="AS62" s="1867"/>
      <c r="AT62" s="1867"/>
      <c r="AU62" s="1867"/>
      <c r="AV62" s="1867"/>
      <c r="AW62" s="1867"/>
      <c r="AX62" s="1867"/>
      <c r="AY62" s="1867"/>
      <c r="AZ62" s="1867"/>
      <c r="BA62" s="1867"/>
      <c r="BB62" s="1867"/>
      <c r="BC62" s="1867"/>
      <c r="BD62" s="1867"/>
      <c r="BE62" s="1867"/>
      <c r="BF62" s="1867"/>
      <c r="BG62" s="1867"/>
      <c r="BH62" s="1867"/>
      <c r="BI62" s="1867"/>
      <c r="BJ62" s="1867"/>
      <c r="BK62" s="1867"/>
      <c r="BL62" s="1867"/>
      <c r="BM62" s="1867"/>
      <c r="BN62" s="1867"/>
      <c r="BO62" s="1867"/>
      <c r="BP62" s="1867"/>
      <c r="BQ62" s="1867"/>
    </row>
    <row r="63" spans="1:69" s="362" customFormat="1" ht="54.75" customHeight="1" x14ac:dyDescent="0.2">
      <c r="A63" s="3341"/>
      <c r="B63" s="3345"/>
      <c r="C63" s="3346"/>
      <c r="D63" s="3341"/>
      <c r="E63" s="3341"/>
      <c r="F63" s="3350"/>
      <c r="G63" s="369"/>
      <c r="H63" s="916"/>
      <c r="I63" s="917"/>
      <c r="J63" s="3270"/>
      <c r="K63" s="3183"/>
      <c r="L63" s="3183"/>
      <c r="M63" s="3289"/>
      <c r="N63" s="2323"/>
      <c r="O63" s="3160"/>
      <c r="P63" s="3176"/>
      <c r="Q63" s="3321"/>
      <c r="R63" s="3323"/>
      <c r="S63" s="3179"/>
      <c r="T63" s="3179"/>
      <c r="U63" s="1445" t="s">
        <v>1238</v>
      </c>
      <c r="V63" s="2277">
        <f>0+30812000</f>
        <v>30812000</v>
      </c>
      <c r="W63" s="1436">
        <v>92</v>
      </c>
      <c r="X63" s="1991" t="s">
        <v>1183</v>
      </c>
      <c r="Y63" s="3311"/>
      <c r="Z63" s="3305"/>
      <c r="AA63" s="3308"/>
      <c r="AB63" s="3308"/>
      <c r="AC63" s="3308"/>
      <c r="AD63" s="3308"/>
      <c r="AE63" s="3296"/>
      <c r="AF63" s="3296"/>
      <c r="AG63" s="3296"/>
      <c r="AH63" s="3296"/>
      <c r="AI63" s="3296"/>
      <c r="AJ63" s="3296"/>
      <c r="AK63" s="3296"/>
      <c r="AL63" s="3296"/>
      <c r="AM63" s="3296"/>
      <c r="AN63" s="3299"/>
      <c r="AO63" s="924"/>
      <c r="AP63" s="924"/>
      <c r="AQ63" s="3302"/>
      <c r="AR63" s="1867"/>
      <c r="AS63" s="1867"/>
      <c r="AT63" s="1867"/>
      <c r="AU63" s="1867"/>
      <c r="AV63" s="1867"/>
      <c r="AW63" s="1867"/>
      <c r="AX63" s="1867"/>
      <c r="AY63" s="1867"/>
      <c r="AZ63" s="1867"/>
      <c r="BA63" s="1867"/>
      <c r="BB63" s="1867"/>
      <c r="BC63" s="1867"/>
      <c r="BD63" s="1867"/>
      <c r="BE63" s="1867"/>
      <c r="BF63" s="1867"/>
      <c r="BG63" s="1867"/>
      <c r="BH63" s="1867"/>
      <c r="BI63" s="1867"/>
      <c r="BJ63" s="1867"/>
      <c r="BK63" s="1867"/>
      <c r="BL63" s="1867"/>
      <c r="BM63" s="1867"/>
      <c r="BN63" s="1867"/>
      <c r="BO63" s="1867"/>
      <c r="BP63" s="1867"/>
      <c r="BQ63" s="1867"/>
    </row>
    <row r="64" spans="1:69" s="362" customFormat="1" ht="34.5" customHeight="1" x14ac:dyDescent="0.2">
      <c r="A64" s="3341"/>
      <c r="B64" s="3345"/>
      <c r="C64" s="3346"/>
      <c r="D64" s="3341"/>
      <c r="E64" s="3341"/>
      <c r="F64" s="3350"/>
      <c r="G64" s="369"/>
      <c r="H64" s="916"/>
      <c r="I64" s="917"/>
      <c r="J64" s="3270"/>
      <c r="K64" s="3183"/>
      <c r="L64" s="3183"/>
      <c r="M64" s="3289"/>
      <c r="N64" s="883"/>
      <c r="O64" s="3160"/>
      <c r="P64" s="3176"/>
      <c r="Q64" s="3321"/>
      <c r="R64" s="3323"/>
      <c r="S64" s="3179"/>
      <c r="T64" s="3179"/>
      <c r="U64" s="3242" t="s">
        <v>1230</v>
      </c>
      <c r="V64" s="2277">
        <f>26290000</f>
        <v>26290000</v>
      </c>
      <c r="W64" s="1436">
        <v>20</v>
      </c>
      <c r="X64" s="1991" t="s">
        <v>1228</v>
      </c>
      <c r="Y64" s="3311"/>
      <c r="Z64" s="3305"/>
      <c r="AA64" s="3308"/>
      <c r="AB64" s="3308"/>
      <c r="AC64" s="3308"/>
      <c r="AD64" s="3308"/>
      <c r="AE64" s="3296"/>
      <c r="AF64" s="3296"/>
      <c r="AG64" s="3296"/>
      <c r="AH64" s="3296"/>
      <c r="AI64" s="3296"/>
      <c r="AJ64" s="3296"/>
      <c r="AK64" s="3296"/>
      <c r="AL64" s="3296"/>
      <c r="AM64" s="3296"/>
      <c r="AN64" s="3299"/>
      <c r="AO64" s="924">
        <v>43480</v>
      </c>
      <c r="AP64" s="924">
        <v>43600</v>
      </c>
      <c r="AQ64" s="3302"/>
      <c r="AR64" s="1867"/>
      <c r="AS64" s="1867"/>
      <c r="AT64" s="1867"/>
      <c r="AU64" s="1867"/>
      <c r="AV64" s="1867"/>
      <c r="AW64" s="1867"/>
      <c r="AX64" s="1867"/>
      <c r="AY64" s="1867"/>
      <c r="AZ64" s="1867"/>
      <c r="BA64" s="1867"/>
      <c r="BB64" s="1867"/>
      <c r="BC64" s="1867"/>
      <c r="BD64" s="1867"/>
      <c r="BE64" s="1867"/>
      <c r="BF64" s="1867"/>
      <c r="BG64" s="1867"/>
      <c r="BH64" s="1867"/>
      <c r="BI64" s="1867"/>
      <c r="BJ64" s="1867"/>
      <c r="BK64" s="1867"/>
      <c r="BL64" s="1867"/>
      <c r="BM64" s="1867"/>
      <c r="BN64" s="1867"/>
      <c r="BO64" s="1867"/>
      <c r="BP64" s="1867"/>
      <c r="BQ64" s="1867"/>
    </row>
    <row r="65" spans="1:69" s="362" customFormat="1" ht="30.75" customHeight="1" x14ac:dyDescent="0.2">
      <c r="A65" s="3341"/>
      <c r="B65" s="3345"/>
      <c r="C65" s="3346"/>
      <c r="D65" s="3341"/>
      <c r="E65" s="3341"/>
      <c r="F65" s="3350"/>
      <c r="G65" s="369"/>
      <c r="H65" s="916"/>
      <c r="I65" s="917"/>
      <c r="J65" s="3270"/>
      <c r="K65" s="3183"/>
      <c r="L65" s="3183"/>
      <c r="M65" s="3289"/>
      <c r="N65" s="883"/>
      <c r="O65" s="3160"/>
      <c r="P65" s="3176"/>
      <c r="Q65" s="3321"/>
      <c r="R65" s="3323"/>
      <c r="S65" s="3179"/>
      <c r="T65" s="3179"/>
      <c r="U65" s="3243"/>
      <c r="V65" s="2277">
        <f>0+36044666</f>
        <v>36044666</v>
      </c>
      <c r="W65" s="1436">
        <v>92</v>
      </c>
      <c r="X65" s="1991" t="s">
        <v>1183</v>
      </c>
      <c r="Y65" s="3311"/>
      <c r="Z65" s="3305"/>
      <c r="AA65" s="3308"/>
      <c r="AB65" s="3308"/>
      <c r="AC65" s="3308"/>
      <c r="AD65" s="3308"/>
      <c r="AE65" s="3296"/>
      <c r="AF65" s="3296"/>
      <c r="AG65" s="3296"/>
      <c r="AH65" s="3296"/>
      <c r="AI65" s="3296"/>
      <c r="AJ65" s="3296"/>
      <c r="AK65" s="3296"/>
      <c r="AL65" s="3296"/>
      <c r="AM65" s="3296"/>
      <c r="AN65" s="3299"/>
      <c r="AO65" s="924"/>
      <c r="AP65" s="924"/>
      <c r="AQ65" s="3302"/>
      <c r="AR65" s="1867"/>
      <c r="AS65" s="1867"/>
      <c r="AT65" s="1867"/>
      <c r="AU65" s="1867"/>
      <c r="AV65" s="1867"/>
      <c r="AW65" s="1867"/>
      <c r="AX65" s="1867"/>
      <c r="AY65" s="1867"/>
      <c r="AZ65" s="1867"/>
      <c r="BA65" s="1867"/>
      <c r="BB65" s="1867"/>
      <c r="BC65" s="1867"/>
      <c r="BD65" s="1867"/>
      <c r="BE65" s="1867"/>
      <c r="BF65" s="1867"/>
      <c r="BG65" s="1867"/>
      <c r="BH65" s="1867"/>
      <c r="BI65" s="1867"/>
      <c r="BJ65" s="1867"/>
      <c r="BK65" s="1867"/>
      <c r="BL65" s="1867"/>
      <c r="BM65" s="1867"/>
      <c r="BN65" s="1867"/>
      <c r="BO65" s="1867"/>
      <c r="BP65" s="1867"/>
      <c r="BQ65" s="1867"/>
    </row>
    <row r="66" spans="1:69" s="362" customFormat="1" ht="30.75" customHeight="1" x14ac:dyDescent="0.2">
      <c r="A66" s="3341"/>
      <c r="B66" s="3345"/>
      <c r="C66" s="3346"/>
      <c r="D66" s="3341"/>
      <c r="E66" s="3341"/>
      <c r="F66" s="3350"/>
      <c r="G66" s="369"/>
      <c r="H66" s="916"/>
      <c r="I66" s="917"/>
      <c r="J66" s="3270"/>
      <c r="K66" s="3183"/>
      <c r="L66" s="3183"/>
      <c r="M66" s="3289"/>
      <c r="N66" s="2323"/>
      <c r="O66" s="3160"/>
      <c r="P66" s="3176"/>
      <c r="Q66" s="3321"/>
      <c r="R66" s="3323"/>
      <c r="S66" s="3179"/>
      <c r="T66" s="3179"/>
      <c r="U66" s="3242" t="s">
        <v>1231</v>
      </c>
      <c r="V66" s="2279">
        <f>26290000+2037500</f>
        <v>28327500</v>
      </c>
      <c r="W66" s="1437">
        <v>20</v>
      </c>
      <c r="X66" s="2324" t="s">
        <v>1228</v>
      </c>
      <c r="Y66" s="3311"/>
      <c r="Z66" s="3305"/>
      <c r="AA66" s="3308"/>
      <c r="AB66" s="3308"/>
      <c r="AC66" s="3308"/>
      <c r="AD66" s="3308"/>
      <c r="AE66" s="3296"/>
      <c r="AF66" s="3296"/>
      <c r="AG66" s="3296"/>
      <c r="AH66" s="3296"/>
      <c r="AI66" s="3296"/>
      <c r="AJ66" s="3296"/>
      <c r="AK66" s="3296"/>
      <c r="AL66" s="3296"/>
      <c r="AM66" s="3296"/>
      <c r="AN66" s="3299"/>
      <c r="AO66" s="924"/>
      <c r="AP66" s="924"/>
      <c r="AQ66" s="3302"/>
      <c r="AR66" s="1867"/>
      <c r="AS66" s="1867"/>
      <c r="AT66" s="1867"/>
      <c r="AU66" s="1867"/>
      <c r="AV66" s="1867"/>
      <c r="AW66" s="1867"/>
      <c r="AX66" s="1867"/>
      <c r="AY66" s="1867"/>
      <c r="AZ66" s="1867"/>
      <c r="BA66" s="1867"/>
      <c r="BB66" s="1867"/>
      <c r="BC66" s="1867"/>
      <c r="BD66" s="1867"/>
      <c r="BE66" s="1867"/>
      <c r="BF66" s="1867"/>
      <c r="BG66" s="1867"/>
      <c r="BH66" s="1867"/>
      <c r="BI66" s="1867"/>
      <c r="BJ66" s="1867"/>
      <c r="BK66" s="1867"/>
      <c r="BL66" s="1867"/>
      <c r="BM66" s="1867"/>
      <c r="BN66" s="1867"/>
      <c r="BO66" s="1867"/>
      <c r="BP66" s="1867"/>
      <c r="BQ66" s="1867"/>
    </row>
    <row r="67" spans="1:69" s="362" customFormat="1" ht="30.75" customHeight="1" x14ac:dyDescent="0.2">
      <c r="A67" s="3341"/>
      <c r="B67" s="3345"/>
      <c r="C67" s="3346"/>
      <c r="D67" s="3341"/>
      <c r="E67" s="3341"/>
      <c r="F67" s="3350"/>
      <c r="G67" s="369"/>
      <c r="H67" s="916"/>
      <c r="I67" s="917"/>
      <c r="J67" s="3270"/>
      <c r="K67" s="3183"/>
      <c r="L67" s="3183"/>
      <c r="M67" s="3289"/>
      <c r="N67" s="2323"/>
      <c r="O67" s="3160"/>
      <c r="P67" s="3176"/>
      <c r="Q67" s="3321"/>
      <c r="R67" s="3323"/>
      <c r="S67" s="3179"/>
      <c r="T67" s="3179"/>
      <c r="U67" s="3248"/>
      <c r="V67" s="2280">
        <f>0+83641348</f>
        <v>83641348</v>
      </c>
      <c r="W67" s="1438">
        <v>92</v>
      </c>
      <c r="X67" s="1991" t="s">
        <v>1183</v>
      </c>
      <c r="Y67" s="3311"/>
      <c r="Z67" s="3305"/>
      <c r="AA67" s="3308"/>
      <c r="AB67" s="3308"/>
      <c r="AC67" s="3308"/>
      <c r="AD67" s="3308"/>
      <c r="AE67" s="3296"/>
      <c r="AF67" s="3296"/>
      <c r="AG67" s="3296"/>
      <c r="AH67" s="3296"/>
      <c r="AI67" s="3296"/>
      <c r="AJ67" s="3296"/>
      <c r="AK67" s="3296"/>
      <c r="AL67" s="3296"/>
      <c r="AM67" s="3296"/>
      <c r="AN67" s="3299"/>
      <c r="AO67" s="924">
        <v>43480</v>
      </c>
      <c r="AP67" s="924">
        <v>43600</v>
      </c>
      <c r="AQ67" s="3302"/>
      <c r="AR67" s="1867"/>
      <c r="AS67" s="1867"/>
      <c r="AT67" s="1867"/>
      <c r="AU67" s="1867"/>
      <c r="AV67" s="1867"/>
      <c r="AW67" s="1867"/>
      <c r="AX67" s="1867"/>
      <c r="AY67" s="1867"/>
      <c r="AZ67" s="1867"/>
      <c r="BA67" s="1867"/>
      <c r="BB67" s="1867"/>
      <c r="BC67" s="1867"/>
      <c r="BD67" s="1867"/>
      <c r="BE67" s="1867"/>
      <c r="BF67" s="1867"/>
      <c r="BG67" s="1867"/>
      <c r="BH67" s="1867"/>
      <c r="BI67" s="1867"/>
      <c r="BJ67" s="1867"/>
      <c r="BK67" s="1867"/>
      <c r="BL67" s="1867"/>
      <c r="BM67" s="1867"/>
      <c r="BN67" s="1867"/>
      <c r="BO67" s="1867"/>
      <c r="BP67" s="1867"/>
      <c r="BQ67" s="1867"/>
    </row>
    <row r="68" spans="1:69" s="362" customFormat="1" ht="63" customHeight="1" x14ac:dyDescent="0.2">
      <c r="A68" s="3341"/>
      <c r="B68" s="3345"/>
      <c r="C68" s="3346"/>
      <c r="D68" s="3342"/>
      <c r="E68" s="3342"/>
      <c r="F68" s="3351"/>
      <c r="G68" s="369"/>
      <c r="H68" s="919"/>
      <c r="I68" s="920"/>
      <c r="J68" s="1989">
        <v>222</v>
      </c>
      <c r="K68" s="1987" t="s">
        <v>1239</v>
      </c>
      <c r="L68" s="1987" t="s">
        <v>1240</v>
      </c>
      <c r="M68" s="1992">
        <v>1</v>
      </c>
      <c r="N68" s="2323"/>
      <c r="O68" s="3161"/>
      <c r="P68" s="3176"/>
      <c r="Q68" s="1988">
        <f>+V68/R54</f>
        <v>1.3911324048285944E-2</v>
      </c>
      <c r="R68" s="3324"/>
      <c r="S68" s="3179"/>
      <c r="T68" s="3179"/>
      <c r="U68" s="1433" t="s">
        <v>1241</v>
      </c>
      <c r="V68" s="2281">
        <v>10000000</v>
      </c>
      <c r="W68" s="1439">
        <v>20</v>
      </c>
      <c r="X68" s="1994" t="s">
        <v>1228</v>
      </c>
      <c r="Y68" s="3312"/>
      <c r="Z68" s="3306"/>
      <c r="AA68" s="3309"/>
      <c r="AB68" s="3309"/>
      <c r="AC68" s="3309"/>
      <c r="AD68" s="3309"/>
      <c r="AE68" s="3297"/>
      <c r="AF68" s="3297"/>
      <c r="AG68" s="3297"/>
      <c r="AH68" s="3297"/>
      <c r="AI68" s="3297"/>
      <c r="AJ68" s="3297"/>
      <c r="AK68" s="3297"/>
      <c r="AL68" s="3297"/>
      <c r="AM68" s="3297"/>
      <c r="AN68" s="3299"/>
      <c r="AO68" s="924">
        <v>43480</v>
      </c>
      <c r="AP68" s="924">
        <v>43600</v>
      </c>
      <c r="AQ68" s="3303"/>
      <c r="AR68" s="1867"/>
      <c r="AS68" s="1867"/>
      <c r="AT68" s="1867"/>
      <c r="AU68" s="1867"/>
      <c r="AV68" s="1867"/>
      <c r="AW68" s="1867"/>
      <c r="AX68" s="1867"/>
      <c r="AY68" s="1867"/>
      <c r="AZ68" s="1867"/>
      <c r="BA68" s="1867"/>
      <c r="BB68" s="1867"/>
      <c r="BC68" s="1867"/>
      <c r="BD68" s="1867"/>
      <c r="BE68" s="1867"/>
      <c r="BF68" s="1867"/>
      <c r="BG68" s="1867"/>
      <c r="BH68" s="1867"/>
      <c r="BI68" s="1867"/>
      <c r="BJ68" s="1867"/>
      <c r="BK68" s="1867"/>
      <c r="BL68" s="1867"/>
      <c r="BM68" s="1867"/>
      <c r="BN68" s="1867"/>
      <c r="BO68" s="1867"/>
      <c r="BP68" s="1867"/>
      <c r="BQ68" s="1867"/>
    </row>
    <row r="69" spans="1:69" s="369" customFormat="1" ht="15" customHeight="1" x14ac:dyDescent="0.2">
      <c r="A69" s="3341"/>
      <c r="B69" s="3345"/>
      <c r="C69" s="3346"/>
      <c r="D69" s="1693">
        <v>24</v>
      </c>
      <c r="E69" s="658" t="s">
        <v>1242</v>
      </c>
      <c r="F69" s="658"/>
      <c r="G69" s="893"/>
      <c r="H69" s="893"/>
      <c r="I69" s="893"/>
      <c r="J69" s="925"/>
      <c r="K69" s="926"/>
      <c r="L69" s="835"/>
      <c r="M69" s="834"/>
      <c r="N69" s="2313"/>
      <c r="O69" s="894"/>
      <c r="P69" s="896"/>
      <c r="Q69" s="1877"/>
      <c r="R69" s="927"/>
      <c r="S69" s="926"/>
      <c r="T69" s="926"/>
      <c r="U69" s="926"/>
      <c r="V69" s="2282"/>
      <c r="W69" s="900"/>
      <c r="X69" s="2325"/>
      <c r="Y69" s="927"/>
      <c r="Z69" s="926"/>
      <c r="AA69" s="926"/>
      <c r="AB69" s="899"/>
      <c r="AC69" s="899"/>
      <c r="AD69" s="899"/>
      <c r="AE69" s="899"/>
      <c r="AF69" s="899"/>
      <c r="AG69" s="899"/>
      <c r="AH69" s="899"/>
      <c r="AI69" s="899"/>
      <c r="AJ69" s="899"/>
      <c r="AK69" s="899"/>
      <c r="AL69" s="901"/>
      <c r="AM69" s="896"/>
      <c r="AN69" s="896"/>
      <c r="AO69" s="896"/>
      <c r="AP69" s="896"/>
      <c r="AQ69" s="902"/>
      <c r="AR69" s="1867"/>
      <c r="AS69" s="1867"/>
      <c r="AT69" s="1867"/>
      <c r="AU69" s="1867"/>
      <c r="AV69" s="1867"/>
      <c r="AW69" s="1867"/>
      <c r="AX69" s="1867"/>
      <c r="AY69" s="1867"/>
      <c r="AZ69" s="1867"/>
      <c r="BA69" s="1867"/>
      <c r="BB69" s="1867"/>
      <c r="BC69" s="1867"/>
      <c r="BD69" s="1867"/>
      <c r="BE69" s="1867"/>
      <c r="BF69" s="1867"/>
      <c r="BG69" s="1867"/>
      <c r="BH69" s="1867"/>
      <c r="BI69" s="1867"/>
      <c r="BJ69" s="1867"/>
      <c r="BK69" s="1867"/>
      <c r="BL69" s="1867"/>
      <c r="BM69" s="1867"/>
      <c r="BN69" s="1867"/>
      <c r="BO69" s="1867"/>
      <c r="BP69" s="1867"/>
      <c r="BQ69" s="1867"/>
    </row>
    <row r="70" spans="1:69" s="369" customFormat="1" ht="15" customHeight="1" x14ac:dyDescent="0.2">
      <c r="A70" s="3341"/>
      <c r="B70" s="3345"/>
      <c r="C70" s="3346"/>
      <c r="D70" s="3258"/>
      <c r="E70" s="3259"/>
      <c r="F70" s="3259"/>
      <c r="G70" s="904">
        <v>78</v>
      </c>
      <c r="H70" s="717" t="s">
        <v>1243</v>
      </c>
      <c r="I70" s="717"/>
      <c r="J70" s="905"/>
      <c r="K70" s="906"/>
      <c r="L70" s="907"/>
      <c r="M70" s="770"/>
      <c r="N70" s="774"/>
      <c r="O70" s="775"/>
      <c r="P70" s="719"/>
      <c r="Q70" s="1168"/>
      <c r="R70" s="908"/>
      <c r="S70" s="906"/>
      <c r="T70" s="906"/>
      <c r="U70" s="906"/>
      <c r="V70" s="2283"/>
      <c r="W70" s="718"/>
      <c r="X70" s="2326"/>
      <c r="Y70" s="908"/>
      <c r="Z70" s="906"/>
      <c r="AA70" s="906"/>
      <c r="AB70" s="722"/>
      <c r="AC70" s="722"/>
      <c r="AD70" s="722"/>
      <c r="AE70" s="722"/>
      <c r="AF70" s="722"/>
      <c r="AG70" s="722"/>
      <c r="AH70" s="722"/>
      <c r="AI70" s="722"/>
      <c r="AJ70" s="722"/>
      <c r="AK70" s="722"/>
      <c r="AL70" s="722"/>
      <c r="AM70" s="722"/>
      <c r="AN70" s="722"/>
      <c r="AO70" s="722"/>
      <c r="AP70" s="722"/>
      <c r="AQ70" s="928"/>
      <c r="AR70" s="1867"/>
      <c r="AS70" s="1867"/>
      <c r="AT70" s="1867"/>
      <c r="AU70" s="1867"/>
      <c r="AV70" s="1867"/>
      <c r="AW70" s="1867"/>
      <c r="AX70" s="1867"/>
      <c r="AY70" s="1867"/>
      <c r="AZ70" s="1867"/>
      <c r="BA70" s="1867"/>
      <c r="BB70" s="1867"/>
      <c r="BC70" s="1867"/>
      <c r="BD70" s="1867"/>
      <c r="BE70" s="1867"/>
      <c r="BF70" s="1867"/>
      <c r="BG70" s="1867"/>
      <c r="BH70" s="1867"/>
      <c r="BI70" s="1867"/>
      <c r="BJ70" s="1867"/>
      <c r="BK70" s="1867"/>
      <c r="BL70" s="1867"/>
      <c r="BM70" s="1867"/>
      <c r="BN70" s="1867"/>
      <c r="BO70" s="1867"/>
      <c r="BP70" s="1867"/>
      <c r="BQ70" s="1867"/>
    </row>
    <row r="71" spans="1:69" s="362" customFormat="1" ht="79.5" customHeight="1" x14ac:dyDescent="0.25">
      <c r="A71" s="3341"/>
      <c r="B71" s="3345"/>
      <c r="C71" s="3346"/>
      <c r="D71" s="3258"/>
      <c r="E71" s="3259"/>
      <c r="F71" s="3259"/>
      <c r="G71" s="1049"/>
      <c r="H71" s="929"/>
      <c r="I71" s="930"/>
      <c r="J71" s="3270">
        <v>226</v>
      </c>
      <c r="K71" s="3231" t="s">
        <v>1244</v>
      </c>
      <c r="L71" s="3231" t="s">
        <v>1245</v>
      </c>
      <c r="M71" s="3281">
        <v>12</v>
      </c>
      <c r="N71" s="3196" t="s">
        <v>1246</v>
      </c>
      <c r="O71" s="3283" t="s">
        <v>1247</v>
      </c>
      <c r="P71" s="3176" t="s">
        <v>1248</v>
      </c>
      <c r="Q71" s="3277">
        <f>SUM(V71:V83)/R71</f>
        <v>0.56367432150313157</v>
      </c>
      <c r="R71" s="3286">
        <f>SUM(V71:V100)</f>
        <v>479000000</v>
      </c>
      <c r="S71" s="3179" t="s">
        <v>1249</v>
      </c>
      <c r="T71" s="3195" t="s">
        <v>1250</v>
      </c>
      <c r="U71" s="1435" t="s">
        <v>1251</v>
      </c>
      <c r="V71" s="2284">
        <f>17000000+10000000-27000000</f>
        <v>0</v>
      </c>
      <c r="W71" s="1431">
        <v>20</v>
      </c>
      <c r="X71" s="2327" t="s">
        <v>1252</v>
      </c>
      <c r="Y71" s="3271">
        <v>1199</v>
      </c>
      <c r="Z71" s="3271">
        <v>1151</v>
      </c>
      <c r="AA71" s="3271">
        <v>715</v>
      </c>
      <c r="AB71" s="3271">
        <v>527</v>
      </c>
      <c r="AC71" s="3271">
        <v>301</v>
      </c>
      <c r="AD71" s="3271">
        <v>807</v>
      </c>
      <c r="AE71" s="3271"/>
      <c r="AF71" s="3271"/>
      <c r="AG71" s="3271"/>
      <c r="AH71" s="3271"/>
      <c r="AI71" s="3271"/>
      <c r="AJ71" s="3271"/>
      <c r="AK71" s="3271">
        <v>2350</v>
      </c>
      <c r="AL71" s="3271"/>
      <c r="AM71" s="3271"/>
      <c r="AN71" s="3168">
        <f>+Y71+Z71</f>
        <v>2350</v>
      </c>
      <c r="AO71" s="924">
        <v>43480</v>
      </c>
      <c r="AP71" s="924">
        <v>43646</v>
      </c>
      <c r="AQ71" s="3151" t="s">
        <v>1229</v>
      </c>
      <c r="AR71" s="1867"/>
      <c r="AS71" s="1867"/>
      <c r="AT71" s="1867"/>
      <c r="AU71" s="1867"/>
      <c r="AV71" s="1867"/>
      <c r="AW71" s="1867"/>
      <c r="AX71" s="1867"/>
      <c r="AY71" s="1867"/>
      <c r="AZ71" s="1867"/>
      <c r="BA71" s="1867"/>
      <c r="BB71" s="1867"/>
      <c r="BC71" s="1867"/>
      <c r="BD71" s="1867"/>
      <c r="BE71" s="1867"/>
      <c r="BF71" s="1867"/>
      <c r="BG71" s="1867"/>
      <c r="BH71" s="1867"/>
      <c r="BI71" s="1867"/>
      <c r="BJ71" s="1867"/>
      <c r="BK71" s="1867"/>
      <c r="BL71" s="1867"/>
      <c r="BM71" s="1867"/>
      <c r="BN71" s="1867"/>
      <c r="BO71" s="1867"/>
      <c r="BP71" s="1867"/>
      <c r="BQ71" s="1867"/>
    </row>
    <row r="72" spans="1:69" s="362" customFormat="1" ht="69.75" customHeight="1" x14ac:dyDescent="0.25">
      <c r="A72" s="3341"/>
      <c r="B72" s="3345"/>
      <c r="C72" s="3346"/>
      <c r="D72" s="3258"/>
      <c r="E72" s="3259"/>
      <c r="F72" s="3259"/>
      <c r="G72" s="949"/>
      <c r="H72" s="931"/>
      <c r="I72" s="932"/>
      <c r="J72" s="3270"/>
      <c r="K72" s="3231"/>
      <c r="L72" s="3231"/>
      <c r="M72" s="3281"/>
      <c r="N72" s="3196"/>
      <c r="O72" s="3283"/>
      <c r="P72" s="3176"/>
      <c r="Q72" s="3277"/>
      <c r="R72" s="3287"/>
      <c r="S72" s="3179"/>
      <c r="T72" s="3195"/>
      <c r="U72" s="1435" t="s">
        <v>1253</v>
      </c>
      <c r="V72" s="2285">
        <f>10000000+2500000+1000000-7000000</f>
        <v>6500000</v>
      </c>
      <c r="W72" s="1430">
        <v>20</v>
      </c>
      <c r="X72" s="2328" t="s">
        <v>61</v>
      </c>
      <c r="Y72" s="3291"/>
      <c r="Z72" s="3272"/>
      <c r="AA72" s="3272"/>
      <c r="AB72" s="3272"/>
      <c r="AC72" s="3272"/>
      <c r="AD72" s="3272"/>
      <c r="AE72" s="3272"/>
      <c r="AF72" s="3272"/>
      <c r="AG72" s="3272"/>
      <c r="AH72" s="3272"/>
      <c r="AI72" s="3272"/>
      <c r="AJ72" s="3272"/>
      <c r="AK72" s="3272"/>
      <c r="AL72" s="3272"/>
      <c r="AM72" s="3272"/>
      <c r="AN72" s="3169"/>
      <c r="AO72" s="933">
        <v>43480</v>
      </c>
      <c r="AP72" s="933">
        <v>43646</v>
      </c>
      <c r="AQ72" s="3201"/>
      <c r="AR72" s="1867"/>
      <c r="AS72" s="1867"/>
      <c r="AT72" s="1867"/>
      <c r="AU72" s="1867"/>
      <c r="AV72" s="1867"/>
      <c r="AW72" s="1867"/>
      <c r="AX72" s="1867"/>
      <c r="AY72" s="1867"/>
      <c r="AZ72" s="1867"/>
      <c r="BA72" s="1867"/>
      <c r="BB72" s="1867"/>
      <c r="BC72" s="1867"/>
      <c r="BD72" s="1867"/>
      <c r="BE72" s="1867"/>
      <c r="BF72" s="1867"/>
      <c r="BG72" s="1867"/>
      <c r="BH72" s="1867"/>
      <c r="BI72" s="1867"/>
      <c r="BJ72" s="1867"/>
      <c r="BK72" s="1867"/>
      <c r="BL72" s="1867"/>
      <c r="BM72" s="1867"/>
      <c r="BN72" s="1867"/>
      <c r="BO72" s="1867"/>
      <c r="BP72" s="1867"/>
      <c r="BQ72" s="1867"/>
    </row>
    <row r="73" spans="1:69" s="362" customFormat="1" ht="39" customHeight="1" x14ac:dyDescent="0.25">
      <c r="A73" s="3341"/>
      <c r="B73" s="3345"/>
      <c r="C73" s="3346"/>
      <c r="D73" s="3258"/>
      <c r="E73" s="3259"/>
      <c r="F73" s="3259"/>
      <c r="G73" s="949"/>
      <c r="H73" s="931"/>
      <c r="I73" s="932"/>
      <c r="J73" s="3270"/>
      <c r="K73" s="3231"/>
      <c r="L73" s="3231"/>
      <c r="M73" s="3281"/>
      <c r="N73" s="3196"/>
      <c r="O73" s="3283"/>
      <c r="P73" s="3176"/>
      <c r="Q73" s="3277"/>
      <c r="R73" s="3287"/>
      <c r="S73" s="3179"/>
      <c r="T73" s="3195"/>
      <c r="U73" s="1435" t="s">
        <v>1254</v>
      </c>
      <c r="V73" s="2285">
        <f>0+17500000-12500000</f>
        <v>5000000</v>
      </c>
      <c r="W73" s="1430">
        <v>20</v>
      </c>
      <c r="X73" s="2328" t="s">
        <v>61</v>
      </c>
      <c r="Y73" s="3291"/>
      <c r="Z73" s="3272"/>
      <c r="AA73" s="3272"/>
      <c r="AB73" s="3272"/>
      <c r="AC73" s="3272"/>
      <c r="AD73" s="3272"/>
      <c r="AE73" s="3272"/>
      <c r="AF73" s="3272"/>
      <c r="AG73" s="3272"/>
      <c r="AH73" s="3272"/>
      <c r="AI73" s="3272"/>
      <c r="AJ73" s="3272"/>
      <c r="AK73" s="3272"/>
      <c r="AL73" s="3272"/>
      <c r="AM73" s="3272"/>
      <c r="AN73" s="3169"/>
      <c r="AO73" s="933"/>
      <c r="AP73" s="933"/>
      <c r="AQ73" s="3201"/>
      <c r="AR73" s="1867"/>
      <c r="AS73" s="1867"/>
      <c r="AT73" s="1867"/>
      <c r="AU73" s="1867"/>
      <c r="AV73" s="1867"/>
      <c r="AW73" s="1867"/>
      <c r="AX73" s="1867"/>
      <c r="AY73" s="1867"/>
      <c r="AZ73" s="1867"/>
      <c r="BA73" s="1867"/>
      <c r="BB73" s="1867"/>
      <c r="BC73" s="1867"/>
      <c r="BD73" s="1867"/>
      <c r="BE73" s="1867"/>
      <c r="BF73" s="1867"/>
      <c r="BG73" s="1867"/>
      <c r="BH73" s="1867"/>
      <c r="BI73" s="1867"/>
      <c r="BJ73" s="1867"/>
      <c r="BK73" s="1867"/>
      <c r="BL73" s="1867"/>
      <c r="BM73" s="1867"/>
      <c r="BN73" s="1867"/>
      <c r="BO73" s="1867"/>
      <c r="BP73" s="1867"/>
      <c r="BQ73" s="1867"/>
    </row>
    <row r="74" spans="1:69" s="362" customFormat="1" ht="39" customHeight="1" x14ac:dyDescent="0.25">
      <c r="A74" s="3341"/>
      <c r="B74" s="3345"/>
      <c r="C74" s="3346"/>
      <c r="D74" s="3258"/>
      <c r="E74" s="3259"/>
      <c r="F74" s="3259"/>
      <c r="G74" s="949"/>
      <c r="H74" s="931"/>
      <c r="I74" s="932"/>
      <c r="J74" s="3270"/>
      <c r="K74" s="3231"/>
      <c r="L74" s="3231"/>
      <c r="M74" s="3281"/>
      <c r="N74" s="3196"/>
      <c r="O74" s="3283"/>
      <c r="P74" s="3176"/>
      <c r="Q74" s="3277"/>
      <c r="R74" s="3287"/>
      <c r="S74" s="3179"/>
      <c r="T74" s="3195"/>
      <c r="U74" s="3192" t="s">
        <v>1255</v>
      </c>
      <c r="V74" s="2285">
        <f>0+43000000+7000000</f>
        <v>50000000</v>
      </c>
      <c r="W74" s="1430">
        <v>20</v>
      </c>
      <c r="X74" s="2328" t="s">
        <v>61</v>
      </c>
      <c r="Y74" s="3291"/>
      <c r="Z74" s="3272"/>
      <c r="AA74" s="3272"/>
      <c r="AB74" s="3272"/>
      <c r="AC74" s="3272"/>
      <c r="AD74" s="3272"/>
      <c r="AE74" s="3272"/>
      <c r="AF74" s="3272"/>
      <c r="AG74" s="3272"/>
      <c r="AH74" s="3272"/>
      <c r="AI74" s="3272"/>
      <c r="AJ74" s="3272"/>
      <c r="AK74" s="3272"/>
      <c r="AL74" s="3272"/>
      <c r="AM74" s="3272"/>
      <c r="AN74" s="3169"/>
      <c r="AO74" s="933"/>
      <c r="AP74" s="933"/>
      <c r="AQ74" s="3201"/>
      <c r="AR74" s="1867"/>
      <c r="AS74" s="1867"/>
      <c r="AT74" s="1867"/>
      <c r="AU74" s="1867"/>
      <c r="AV74" s="1867"/>
      <c r="AW74" s="1867"/>
      <c r="AX74" s="1867"/>
      <c r="AY74" s="1867"/>
      <c r="AZ74" s="1867"/>
      <c r="BA74" s="1867"/>
      <c r="BB74" s="1867"/>
      <c r="BC74" s="1867"/>
      <c r="BD74" s="1867"/>
      <c r="BE74" s="1867"/>
      <c r="BF74" s="1867"/>
      <c r="BG74" s="1867"/>
      <c r="BH74" s="1867"/>
      <c r="BI74" s="1867"/>
      <c r="BJ74" s="1867"/>
      <c r="BK74" s="1867"/>
      <c r="BL74" s="1867"/>
      <c r="BM74" s="1867"/>
      <c r="BN74" s="1867"/>
      <c r="BO74" s="1867"/>
      <c r="BP74" s="1867"/>
      <c r="BQ74" s="1867"/>
    </row>
    <row r="75" spans="1:69" s="362" customFormat="1" ht="64.5" customHeight="1" x14ac:dyDescent="0.25">
      <c r="A75" s="3341"/>
      <c r="B75" s="3345"/>
      <c r="C75" s="3346"/>
      <c r="D75" s="3258"/>
      <c r="E75" s="3259"/>
      <c r="F75" s="3259"/>
      <c r="G75" s="949"/>
      <c r="H75" s="931"/>
      <c r="I75" s="932"/>
      <c r="J75" s="3270"/>
      <c r="K75" s="3231"/>
      <c r="L75" s="3231"/>
      <c r="M75" s="3281"/>
      <c r="N75" s="3196"/>
      <c r="O75" s="3283"/>
      <c r="P75" s="3176"/>
      <c r="Q75" s="3277"/>
      <c r="R75" s="3287"/>
      <c r="S75" s="3179"/>
      <c r="T75" s="3195"/>
      <c r="U75" s="3193"/>
      <c r="V75" s="2285">
        <v>20000000</v>
      </c>
      <c r="W75" s="1430">
        <v>88</v>
      </c>
      <c r="X75" s="2328" t="s">
        <v>503</v>
      </c>
      <c r="Y75" s="3291"/>
      <c r="Z75" s="3272"/>
      <c r="AA75" s="3272"/>
      <c r="AB75" s="3272"/>
      <c r="AC75" s="3272"/>
      <c r="AD75" s="3272"/>
      <c r="AE75" s="3272"/>
      <c r="AF75" s="3272"/>
      <c r="AG75" s="3272"/>
      <c r="AH75" s="3272"/>
      <c r="AI75" s="3272"/>
      <c r="AJ75" s="3272"/>
      <c r="AK75" s="3272"/>
      <c r="AL75" s="3272"/>
      <c r="AM75" s="3272"/>
      <c r="AN75" s="3169"/>
      <c r="AO75" s="933"/>
      <c r="AP75" s="933"/>
      <c r="AQ75" s="3201"/>
      <c r="AR75" s="1867"/>
      <c r="AS75" s="1867"/>
      <c r="AT75" s="1867"/>
      <c r="AU75" s="1867"/>
      <c r="AV75" s="1867"/>
      <c r="AW75" s="1867"/>
      <c r="AX75" s="1867"/>
      <c r="AY75" s="1867"/>
      <c r="AZ75" s="1867"/>
      <c r="BA75" s="1867"/>
      <c r="BB75" s="1867"/>
      <c r="BC75" s="1867"/>
      <c r="BD75" s="1867"/>
      <c r="BE75" s="1867"/>
      <c r="BF75" s="1867"/>
      <c r="BG75" s="1867"/>
      <c r="BH75" s="1867"/>
      <c r="BI75" s="1867"/>
      <c r="BJ75" s="1867"/>
      <c r="BK75" s="1867"/>
      <c r="BL75" s="1867"/>
      <c r="BM75" s="1867"/>
      <c r="BN75" s="1867"/>
      <c r="BO75" s="1867"/>
      <c r="BP75" s="1867"/>
      <c r="BQ75" s="1867"/>
    </row>
    <row r="76" spans="1:69" s="362" customFormat="1" ht="69.75" customHeight="1" x14ac:dyDescent="0.25">
      <c r="A76" s="3341"/>
      <c r="B76" s="3345"/>
      <c r="C76" s="3346"/>
      <c r="D76" s="3258"/>
      <c r="E76" s="3259"/>
      <c r="F76" s="3259"/>
      <c r="G76" s="949"/>
      <c r="H76" s="931"/>
      <c r="I76" s="932"/>
      <c r="J76" s="3270"/>
      <c r="K76" s="3231"/>
      <c r="L76" s="3231"/>
      <c r="M76" s="3281"/>
      <c r="N76" s="3196"/>
      <c r="O76" s="3283"/>
      <c r="P76" s="3176"/>
      <c r="Q76" s="3277"/>
      <c r="R76" s="3287"/>
      <c r="S76" s="3179"/>
      <c r="T76" s="3195"/>
      <c r="U76" s="1435" t="s">
        <v>1256</v>
      </c>
      <c r="V76" s="2285">
        <v>0</v>
      </c>
      <c r="W76" s="1430">
        <v>20</v>
      </c>
      <c r="X76" s="2328" t="s">
        <v>61</v>
      </c>
      <c r="Y76" s="3291"/>
      <c r="Z76" s="3272"/>
      <c r="AA76" s="3272"/>
      <c r="AB76" s="3272"/>
      <c r="AC76" s="3272"/>
      <c r="AD76" s="3272"/>
      <c r="AE76" s="3272"/>
      <c r="AF76" s="3272"/>
      <c r="AG76" s="3272"/>
      <c r="AH76" s="3272"/>
      <c r="AI76" s="3272"/>
      <c r="AJ76" s="3272"/>
      <c r="AK76" s="3272"/>
      <c r="AL76" s="3272"/>
      <c r="AM76" s="3272"/>
      <c r="AN76" s="3169"/>
      <c r="AO76" s="933">
        <v>43480</v>
      </c>
      <c r="AP76" s="933">
        <v>43646</v>
      </c>
      <c r="AQ76" s="3201"/>
      <c r="AR76" s="1867"/>
      <c r="AS76" s="1867"/>
      <c r="AT76" s="1867"/>
      <c r="AU76" s="1867"/>
      <c r="AV76" s="1867"/>
      <c r="AW76" s="1867"/>
      <c r="AX76" s="1867"/>
      <c r="AY76" s="1867"/>
      <c r="AZ76" s="1867"/>
      <c r="BA76" s="1867"/>
      <c r="BB76" s="1867"/>
      <c r="BC76" s="1867"/>
      <c r="BD76" s="1867"/>
      <c r="BE76" s="1867"/>
      <c r="BF76" s="1867"/>
      <c r="BG76" s="1867"/>
      <c r="BH76" s="1867"/>
      <c r="BI76" s="1867"/>
      <c r="BJ76" s="1867"/>
      <c r="BK76" s="1867"/>
      <c r="BL76" s="1867"/>
      <c r="BM76" s="1867"/>
      <c r="BN76" s="1867"/>
      <c r="BO76" s="1867"/>
      <c r="BP76" s="1867"/>
      <c r="BQ76" s="1867"/>
    </row>
    <row r="77" spans="1:69" s="362" customFormat="1" ht="108.75" customHeight="1" x14ac:dyDescent="0.25">
      <c r="A77" s="3341"/>
      <c r="B77" s="3345"/>
      <c r="C77" s="3346"/>
      <c r="D77" s="3258"/>
      <c r="E77" s="3259"/>
      <c r="F77" s="3259"/>
      <c r="G77" s="949"/>
      <c r="H77" s="931"/>
      <c r="I77" s="932"/>
      <c r="J77" s="3270"/>
      <c r="K77" s="3231"/>
      <c r="L77" s="3231"/>
      <c r="M77" s="3281"/>
      <c r="N77" s="3196"/>
      <c r="O77" s="3283"/>
      <c r="P77" s="3176"/>
      <c r="Q77" s="3277"/>
      <c r="R77" s="3287"/>
      <c r="S77" s="3179"/>
      <c r="T77" s="3195"/>
      <c r="U77" s="1435" t="s">
        <v>1257</v>
      </c>
      <c r="V77" s="2285">
        <f>16000000+2500000-9250000+6000000</f>
        <v>15250000</v>
      </c>
      <c r="W77" s="1430">
        <v>20</v>
      </c>
      <c r="X77" s="2328" t="s">
        <v>61</v>
      </c>
      <c r="Y77" s="3291"/>
      <c r="Z77" s="3272"/>
      <c r="AA77" s="3272"/>
      <c r="AB77" s="3272"/>
      <c r="AC77" s="3272"/>
      <c r="AD77" s="3272"/>
      <c r="AE77" s="3272"/>
      <c r="AF77" s="3272"/>
      <c r="AG77" s="3272"/>
      <c r="AH77" s="3272"/>
      <c r="AI77" s="3272"/>
      <c r="AJ77" s="3272"/>
      <c r="AK77" s="3272"/>
      <c r="AL77" s="3272"/>
      <c r="AM77" s="3272"/>
      <c r="AN77" s="3169"/>
      <c r="AO77" s="933">
        <v>43480</v>
      </c>
      <c r="AP77" s="933">
        <v>43646</v>
      </c>
      <c r="AQ77" s="3201"/>
      <c r="AR77" s="1867"/>
      <c r="AS77" s="1867"/>
      <c r="AT77" s="1867"/>
      <c r="AU77" s="1867"/>
      <c r="AV77" s="1867"/>
      <c r="AW77" s="1867"/>
      <c r="AX77" s="1867"/>
      <c r="AY77" s="1867"/>
      <c r="AZ77" s="1867"/>
      <c r="BA77" s="1867"/>
      <c r="BB77" s="1867"/>
      <c r="BC77" s="1867"/>
      <c r="BD77" s="1867"/>
      <c r="BE77" s="1867"/>
      <c r="BF77" s="1867"/>
      <c r="BG77" s="1867"/>
      <c r="BH77" s="1867"/>
      <c r="BI77" s="1867"/>
      <c r="BJ77" s="1867"/>
      <c r="BK77" s="1867"/>
      <c r="BL77" s="1867"/>
      <c r="BM77" s="1867"/>
      <c r="BN77" s="1867"/>
      <c r="BO77" s="1867"/>
      <c r="BP77" s="1867"/>
      <c r="BQ77" s="1867"/>
    </row>
    <row r="78" spans="1:69" s="362" customFormat="1" ht="65.25" customHeight="1" x14ac:dyDescent="0.25">
      <c r="A78" s="3341"/>
      <c r="B78" s="3345"/>
      <c r="C78" s="3346"/>
      <c r="D78" s="3258"/>
      <c r="E78" s="3259"/>
      <c r="F78" s="3259"/>
      <c r="G78" s="949"/>
      <c r="H78" s="931"/>
      <c r="I78" s="932"/>
      <c r="J78" s="3270"/>
      <c r="K78" s="3231"/>
      <c r="L78" s="3231"/>
      <c r="M78" s="3281"/>
      <c r="N78" s="3196"/>
      <c r="O78" s="3283"/>
      <c r="P78" s="3176"/>
      <c r="Q78" s="3277"/>
      <c r="R78" s="3287"/>
      <c r="S78" s="3179"/>
      <c r="T78" s="3195"/>
      <c r="U78" s="1435" t="s">
        <v>1258</v>
      </c>
      <c r="V78" s="2285">
        <f>+ 0+10000000</f>
        <v>10000000</v>
      </c>
      <c r="W78" s="1430">
        <v>20</v>
      </c>
      <c r="X78" s="2328" t="s">
        <v>61</v>
      </c>
      <c r="Y78" s="3291"/>
      <c r="Z78" s="3272"/>
      <c r="AA78" s="3272"/>
      <c r="AB78" s="3272"/>
      <c r="AC78" s="3272"/>
      <c r="AD78" s="3272"/>
      <c r="AE78" s="3272"/>
      <c r="AF78" s="3272"/>
      <c r="AG78" s="3272"/>
      <c r="AH78" s="3272"/>
      <c r="AI78" s="3272"/>
      <c r="AJ78" s="3272"/>
      <c r="AK78" s="3272"/>
      <c r="AL78" s="3272"/>
      <c r="AM78" s="3272"/>
      <c r="AN78" s="3169"/>
      <c r="AO78" s="933"/>
      <c r="AP78" s="933"/>
      <c r="AQ78" s="3201"/>
      <c r="AR78" s="1867"/>
      <c r="AS78" s="1867"/>
      <c r="AT78" s="1867"/>
      <c r="AU78" s="1867"/>
      <c r="AV78" s="1867"/>
      <c r="AW78" s="1867"/>
      <c r="AX78" s="1867"/>
      <c r="AY78" s="1867"/>
      <c r="AZ78" s="1867"/>
      <c r="BA78" s="1867"/>
      <c r="BB78" s="1867"/>
      <c r="BC78" s="1867"/>
      <c r="BD78" s="1867"/>
      <c r="BE78" s="1867"/>
      <c r="BF78" s="1867"/>
      <c r="BG78" s="1867"/>
      <c r="BH78" s="1867"/>
      <c r="BI78" s="1867"/>
      <c r="BJ78" s="1867"/>
      <c r="BK78" s="1867"/>
      <c r="BL78" s="1867"/>
      <c r="BM78" s="1867"/>
      <c r="BN78" s="1867"/>
      <c r="BO78" s="1867"/>
      <c r="BP78" s="1867"/>
      <c r="BQ78" s="1867"/>
    </row>
    <row r="79" spans="1:69" s="362" customFormat="1" ht="78" customHeight="1" x14ac:dyDescent="0.25">
      <c r="A79" s="3341"/>
      <c r="B79" s="3345"/>
      <c r="C79" s="3346"/>
      <c r="D79" s="3258"/>
      <c r="E79" s="3259"/>
      <c r="F79" s="3259"/>
      <c r="G79" s="949"/>
      <c r="H79" s="931"/>
      <c r="I79" s="932"/>
      <c r="J79" s="3270"/>
      <c r="K79" s="3231"/>
      <c r="L79" s="3231"/>
      <c r="M79" s="3281"/>
      <c r="N79" s="3196"/>
      <c r="O79" s="3283"/>
      <c r="P79" s="3176"/>
      <c r="Q79" s="3277"/>
      <c r="R79" s="3287"/>
      <c r="S79" s="3179"/>
      <c r="T79" s="3195"/>
      <c r="U79" s="1435" t="s">
        <v>1259</v>
      </c>
      <c r="V79" s="2285">
        <f>20000000+1250000-21250000</f>
        <v>0</v>
      </c>
      <c r="W79" s="1430">
        <v>20</v>
      </c>
      <c r="X79" s="2328" t="s">
        <v>61</v>
      </c>
      <c r="Y79" s="3291"/>
      <c r="Z79" s="3272"/>
      <c r="AA79" s="3272"/>
      <c r="AB79" s="3272"/>
      <c r="AC79" s="3272"/>
      <c r="AD79" s="3272"/>
      <c r="AE79" s="3272"/>
      <c r="AF79" s="3272"/>
      <c r="AG79" s="3272"/>
      <c r="AH79" s="3272"/>
      <c r="AI79" s="3272"/>
      <c r="AJ79" s="3272"/>
      <c r="AK79" s="3272"/>
      <c r="AL79" s="3272"/>
      <c r="AM79" s="3272"/>
      <c r="AN79" s="3169"/>
      <c r="AO79" s="933">
        <v>43480</v>
      </c>
      <c r="AP79" s="933">
        <v>43814</v>
      </c>
      <c r="AQ79" s="3201"/>
      <c r="AR79" s="1867"/>
      <c r="AS79" s="1867"/>
      <c r="AT79" s="1867"/>
      <c r="AU79" s="1867"/>
      <c r="AV79" s="1867"/>
      <c r="AW79" s="1867"/>
      <c r="AX79" s="1867"/>
      <c r="AY79" s="1867"/>
      <c r="AZ79" s="1867"/>
      <c r="BA79" s="1867"/>
      <c r="BB79" s="1867"/>
      <c r="BC79" s="1867"/>
      <c r="BD79" s="1867"/>
      <c r="BE79" s="1867"/>
      <c r="BF79" s="1867"/>
      <c r="BG79" s="1867"/>
      <c r="BH79" s="1867"/>
      <c r="BI79" s="1867"/>
      <c r="BJ79" s="1867"/>
      <c r="BK79" s="1867"/>
      <c r="BL79" s="1867"/>
      <c r="BM79" s="1867"/>
      <c r="BN79" s="1867"/>
      <c r="BO79" s="1867"/>
      <c r="BP79" s="1867"/>
      <c r="BQ79" s="1867"/>
    </row>
    <row r="80" spans="1:69" s="362" customFormat="1" ht="72.75" customHeight="1" x14ac:dyDescent="0.25">
      <c r="A80" s="3341"/>
      <c r="B80" s="3345"/>
      <c r="C80" s="3346"/>
      <c r="D80" s="3258"/>
      <c r="E80" s="3259"/>
      <c r="F80" s="3259"/>
      <c r="G80" s="949"/>
      <c r="H80" s="931"/>
      <c r="I80" s="932"/>
      <c r="J80" s="3270"/>
      <c r="K80" s="3231"/>
      <c r="L80" s="3231"/>
      <c r="M80" s="3281"/>
      <c r="N80" s="3196"/>
      <c r="O80" s="3283"/>
      <c r="P80" s="3176"/>
      <c r="Q80" s="3277"/>
      <c r="R80" s="3287"/>
      <c r="S80" s="3179"/>
      <c r="T80" s="3195"/>
      <c r="U80" s="1435" t="s">
        <v>1260</v>
      </c>
      <c r="V80" s="2285">
        <f>15000000+1250000-10000000</f>
        <v>6250000</v>
      </c>
      <c r="W80" s="1430">
        <v>20</v>
      </c>
      <c r="X80" s="2328" t="s">
        <v>61</v>
      </c>
      <c r="Y80" s="3291"/>
      <c r="Z80" s="3272"/>
      <c r="AA80" s="3272"/>
      <c r="AB80" s="3272"/>
      <c r="AC80" s="3272"/>
      <c r="AD80" s="3272"/>
      <c r="AE80" s="3272"/>
      <c r="AF80" s="3272"/>
      <c r="AG80" s="3272"/>
      <c r="AH80" s="3272"/>
      <c r="AI80" s="3272"/>
      <c r="AJ80" s="3272"/>
      <c r="AK80" s="3272"/>
      <c r="AL80" s="3272"/>
      <c r="AM80" s="3272"/>
      <c r="AN80" s="3169"/>
      <c r="AO80" s="933">
        <v>43480</v>
      </c>
      <c r="AP80" s="933">
        <v>43646</v>
      </c>
      <c r="AQ80" s="3201"/>
      <c r="AR80" s="1867"/>
      <c r="AS80" s="1867"/>
      <c r="AT80" s="1867"/>
      <c r="AU80" s="1867"/>
      <c r="AV80" s="1867"/>
      <c r="AW80" s="1867"/>
      <c r="AX80" s="1867"/>
      <c r="AY80" s="1867"/>
      <c r="AZ80" s="1867"/>
      <c r="BA80" s="1867"/>
      <c r="BB80" s="1867"/>
      <c r="BC80" s="1867"/>
      <c r="BD80" s="1867"/>
      <c r="BE80" s="1867"/>
      <c r="BF80" s="1867"/>
      <c r="BG80" s="1867"/>
      <c r="BH80" s="1867"/>
      <c r="BI80" s="1867"/>
      <c r="BJ80" s="1867"/>
      <c r="BK80" s="1867"/>
      <c r="BL80" s="1867"/>
      <c r="BM80" s="1867"/>
      <c r="BN80" s="1867"/>
      <c r="BO80" s="1867"/>
      <c r="BP80" s="1867"/>
      <c r="BQ80" s="1867"/>
    </row>
    <row r="81" spans="1:69" s="362" customFormat="1" ht="26.25" customHeight="1" x14ac:dyDescent="0.25">
      <c r="A81" s="3341"/>
      <c r="B81" s="3345"/>
      <c r="C81" s="3346"/>
      <c r="D81" s="3258"/>
      <c r="E81" s="3259"/>
      <c r="F81" s="3259"/>
      <c r="G81" s="949"/>
      <c r="H81" s="931"/>
      <c r="I81" s="932"/>
      <c r="J81" s="3270"/>
      <c r="K81" s="3231"/>
      <c r="L81" s="3231"/>
      <c r="M81" s="3281"/>
      <c r="N81" s="3196"/>
      <c r="O81" s="3283"/>
      <c r="P81" s="3176"/>
      <c r="Q81" s="3277"/>
      <c r="R81" s="3287"/>
      <c r="S81" s="3179"/>
      <c r="T81" s="3195"/>
      <c r="U81" s="3192" t="s">
        <v>1261</v>
      </c>
      <c r="V81" s="2285">
        <f>71000000+14500000+12500000</f>
        <v>98000000</v>
      </c>
      <c r="W81" s="1430">
        <v>20</v>
      </c>
      <c r="X81" s="2328" t="s">
        <v>61</v>
      </c>
      <c r="Y81" s="3291"/>
      <c r="Z81" s="3272"/>
      <c r="AA81" s="3272"/>
      <c r="AB81" s="3272"/>
      <c r="AC81" s="3272"/>
      <c r="AD81" s="3272"/>
      <c r="AE81" s="3272"/>
      <c r="AF81" s="3272"/>
      <c r="AG81" s="3272"/>
      <c r="AH81" s="3272"/>
      <c r="AI81" s="3272"/>
      <c r="AJ81" s="3272"/>
      <c r="AK81" s="3272"/>
      <c r="AL81" s="3272"/>
      <c r="AM81" s="3272"/>
      <c r="AN81" s="3169"/>
      <c r="AO81" s="924">
        <v>43597</v>
      </c>
      <c r="AP81" s="924">
        <v>43814</v>
      </c>
      <c r="AQ81" s="3201"/>
      <c r="AR81" s="1867"/>
      <c r="AS81" s="1867"/>
      <c r="AT81" s="1867"/>
      <c r="AU81" s="1867"/>
      <c r="AV81" s="1867"/>
      <c r="AW81" s="1867"/>
      <c r="AX81" s="1867"/>
      <c r="AY81" s="1867"/>
      <c r="AZ81" s="1867"/>
      <c r="BA81" s="1867"/>
      <c r="BB81" s="1867"/>
      <c r="BC81" s="1867"/>
      <c r="BD81" s="1867"/>
      <c r="BE81" s="1867"/>
      <c r="BF81" s="1867"/>
      <c r="BG81" s="1867"/>
      <c r="BH81" s="1867"/>
      <c r="BI81" s="1867"/>
      <c r="BJ81" s="1867"/>
      <c r="BK81" s="1867"/>
      <c r="BL81" s="1867"/>
      <c r="BM81" s="1867"/>
      <c r="BN81" s="1867"/>
      <c r="BO81" s="1867"/>
      <c r="BP81" s="1867"/>
      <c r="BQ81" s="1867"/>
    </row>
    <row r="82" spans="1:69" s="362" customFormat="1" ht="26.25" customHeight="1" x14ac:dyDescent="0.25">
      <c r="A82" s="3341"/>
      <c r="B82" s="3345"/>
      <c r="C82" s="3346"/>
      <c r="D82" s="3258"/>
      <c r="E82" s="3259"/>
      <c r="F82" s="3259"/>
      <c r="G82" s="949"/>
      <c r="H82" s="931"/>
      <c r="I82" s="932"/>
      <c r="J82" s="3270"/>
      <c r="K82" s="3231"/>
      <c r="L82" s="3231"/>
      <c r="M82" s="3281"/>
      <c r="N82" s="3196"/>
      <c r="O82" s="3283"/>
      <c r="P82" s="3176"/>
      <c r="Q82" s="3277"/>
      <c r="R82" s="3287"/>
      <c r="S82" s="3179"/>
      <c r="T82" s="3195"/>
      <c r="U82" s="3193"/>
      <c r="V82" s="2285">
        <f>0+50000000-20000000+20000000</f>
        <v>50000000</v>
      </c>
      <c r="W82" s="1430">
        <v>88</v>
      </c>
      <c r="X82" s="2328" t="s">
        <v>135</v>
      </c>
      <c r="Y82" s="3291"/>
      <c r="Z82" s="3272"/>
      <c r="AA82" s="3272"/>
      <c r="AB82" s="3272"/>
      <c r="AC82" s="3272"/>
      <c r="AD82" s="3272"/>
      <c r="AE82" s="3272"/>
      <c r="AF82" s="3272"/>
      <c r="AG82" s="3272"/>
      <c r="AH82" s="3272"/>
      <c r="AI82" s="3272"/>
      <c r="AJ82" s="3272"/>
      <c r="AK82" s="3272"/>
      <c r="AL82" s="3272"/>
      <c r="AM82" s="3272"/>
      <c r="AN82" s="3169"/>
      <c r="AO82" s="924"/>
      <c r="AP82" s="924"/>
      <c r="AQ82" s="3201"/>
      <c r="AR82" s="1867"/>
      <c r="AS82" s="1867"/>
      <c r="AT82" s="1867"/>
      <c r="AU82" s="1867"/>
      <c r="AV82" s="1867"/>
      <c r="AW82" s="1867"/>
      <c r="AX82" s="1867"/>
      <c r="AY82" s="1867"/>
      <c r="AZ82" s="1867"/>
      <c r="BA82" s="1867"/>
      <c r="BB82" s="1867"/>
      <c r="BC82" s="1867"/>
      <c r="BD82" s="1867"/>
      <c r="BE82" s="1867"/>
      <c r="BF82" s="1867"/>
      <c r="BG82" s="1867"/>
      <c r="BH82" s="1867"/>
      <c r="BI82" s="1867"/>
      <c r="BJ82" s="1867"/>
      <c r="BK82" s="1867"/>
      <c r="BL82" s="1867"/>
      <c r="BM82" s="1867"/>
      <c r="BN82" s="1867"/>
      <c r="BO82" s="1867"/>
      <c r="BP82" s="1867"/>
      <c r="BQ82" s="1867"/>
    </row>
    <row r="83" spans="1:69" s="362" customFormat="1" ht="33" customHeight="1" x14ac:dyDescent="0.25">
      <c r="A83" s="3341"/>
      <c r="B83" s="3345"/>
      <c r="C83" s="3346"/>
      <c r="D83" s="3258"/>
      <c r="E83" s="3259"/>
      <c r="F83" s="3259"/>
      <c r="G83" s="949"/>
      <c r="H83" s="931"/>
      <c r="I83" s="932"/>
      <c r="J83" s="3270"/>
      <c r="K83" s="3231"/>
      <c r="L83" s="3231"/>
      <c r="M83" s="3281"/>
      <c r="N83" s="3196"/>
      <c r="O83" s="3283"/>
      <c r="P83" s="3176"/>
      <c r="Q83" s="3277"/>
      <c r="R83" s="3287"/>
      <c r="S83" s="3179"/>
      <c r="T83" s="3195"/>
      <c r="U83" s="1435" t="s">
        <v>1262</v>
      </c>
      <c r="V83" s="2285">
        <f>15000000-6000000</f>
        <v>9000000</v>
      </c>
      <c r="W83" s="1430">
        <v>20</v>
      </c>
      <c r="X83" s="2328" t="s">
        <v>61</v>
      </c>
      <c r="Y83" s="3291"/>
      <c r="Z83" s="3272"/>
      <c r="AA83" s="3272"/>
      <c r="AB83" s="3272"/>
      <c r="AC83" s="3272"/>
      <c r="AD83" s="3272"/>
      <c r="AE83" s="3272"/>
      <c r="AF83" s="3272"/>
      <c r="AG83" s="3272"/>
      <c r="AH83" s="3272"/>
      <c r="AI83" s="3272"/>
      <c r="AJ83" s="3272"/>
      <c r="AK83" s="3272"/>
      <c r="AL83" s="3272"/>
      <c r="AM83" s="3272"/>
      <c r="AN83" s="3169"/>
      <c r="AO83" s="924">
        <v>43536</v>
      </c>
      <c r="AP83" s="924">
        <v>43756</v>
      </c>
      <c r="AQ83" s="3201"/>
      <c r="AR83" s="1867"/>
      <c r="AS83" s="1867"/>
      <c r="AT83" s="1867"/>
      <c r="AU83" s="1867"/>
      <c r="AV83" s="1867"/>
      <c r="AW83" s="1867"/>
      <c r="AX83" s="1867"/>
      <c r="AY83" s="1867"/>
      <c r="AZ83" s="1867"/>
      <c r="BA83" s="1867"/>
      <c r="BB83" s="1867"/>
      <c r="BC83" s="1867"/>
      <c r="BD83" s="1867"/>
      <c r="BE83" s="1867"/>
      <c r="BF83" s="1867"/>
      <c r="BG83" s="1867"/>
      <c r="BH83" s="1867"/>
      <c r="BI83" s="1867"/>
      <c r="BJ83" s="1867"/>
      <c r="BK83" s="1867"/>
      <c r="BL83" s="1867"/>
      <c r="BM83" s="1867"/>
      <c r="BN83" s="1867"/>
      <c r="BO83" s="1867"/>
      <c r="BP83" s="1867"/>
      <c r="BQ83" s="1867"/>
    </row>
    <row r="84" spans="1:69" s="362" customFormat="1" ht="60.75" customHeight="1" x14ac:dyDescent="0.25">
      <c r="A84" s="3341"/>
      <c r="B84" s="3345"/>
      <c r="C84" s="3346"/>
      <c r="D84" s="3258"/>
      <c r="E84" s="3259"/>
      <c r="F84" s="3259"/>
      <c r="G84" s="949"/>
      <c r="H84" s="931"/>
      <c r="I84" s="932"/>
      <c r="J84" s="3278">
        <v>227</v>
      </c>
      <c r="K84" s="3183" t="s">
        <v>1263</v>
      </c>
      <c r="L84" s="3231" t="s">
        <v>1264</v>
      </c>
      <c r="M84" s="3281">
        <v>12</v>
      </c>
      <c r="N84" s="3196"/>
      <c r="O84" s="3283"/>
      <c r="P84" s="3176"/>
      <c r="Q84" s="3277">
        <f>SUM(V84:V85)/R71</f>
        <v>8.3507306889352817E-2</v>
      </c>
      <c r="R84" s="3287"/>
      <c r="S84" s="3179"/>
      <c r="T84" s="3195"/>
      <c r="U84" s="1435" t="s">
        <v>1265</v>
      </c>
      <c r="V84" s="2286">
        <v>20000000</v>
      </c>
      <c r="W84" s="1430">
        <v>20</v>
      </c>
      <c r="X84" s="2328" t="s">
        <v>61</v>
      </c>
      <c r="Y84" s="3291"/>
      <c r="Z84" s="3272"/>
      <c r="AA84" s="3272"/>
      <c r="AB84" s="3272"/>
      <c r="AC84" s="3272"/>
      <c r="AD84" s="3272"/>
      <c r="AE84" s="3272"/>
      <c r="AF84" s="3272"/>
      <c r="AG84" s="3272"/>
      <c r="AH84" s="3272"/>
      <c r="AI84" s="3272"/>
      <c r="AJ84" s="3272"/>
      <c r="AK84" s="3272"/>
      <c r="AL84" s="3272"/>
      <c r="AM84" s="3272"/>
      <c r="AN84" s="3169"/>
      <c r="AO84" s="934">
        <v>43600</v>
      </c>
      <c r="AP84" s="934">
        <v>43819</v>
      </c>
      <c r="AQ84" s="3201"/>
      <c r="AR84" s="1867"/>
      <c r="AS84" s="1867"/>
      <c r="AT84" s="1867"/>
      <c r="AU84" s="1867"/>
      <c r="AV84" s="1867"/>
      <c r="AW84" s="1867"/>
      <c r="AX84" s="1867"/>
      <c r="AY84" s="1867"/>
      <c r="AZ84" s="1867"/>
      <c r="BA84" s="1867"/>
      <c r="BB84" s="1867"/>
      <c r="BC84" s="1867"/>
      <c r="BD84" s="1867"/>
      <c r="BE84" s="1867"/>
      <c r="BF84" s="1867"/>
      <c r="BG84" s="1867"/>
      <c r="BH84" s="1867"/>
      <c r="BI84" s="1867"/>
      <c r="BJ84" s="1867"/>
      <c r="BK84" s="1867"/>
      <c r="BL84" s="1867"/>
      <c r="BM84" s="1867"/>
      <c r="BN84" s="1867"/>
      <c r="BO84" s="1867"/>
      <c r="BP84" s="1867"/>
      <c r="BQ84" s="1867"/>
    </row>
    <row r="85" spans="1:69" s="362" customFormat="1" ht="69.75" customHeight="1" x14ac:dyDescent="0.25">
      <c r="A85" s="3341"/>
      <c r="B85" s="3345"/>
      <c r="C85" s="3346"/>
      <c r="D85" s="3258"/>
      <c r="E85" s="3259"/>
      <c r="F85" s="3259"/>
      <c r="G85" s="949"/>
      <c r="H85" s="931"/>
      <c r="I85" s="932"/>
      <c r="J85" s="3278"/>
      <c r="K85" s="3183"/>
      <c r="L85" s="3231"/>
      <c r="M85" s="3281"/>
      <c r="N85" s="3196"/>
      <c r="O85" s="3283"/>
      <c r="P85" s="3176"/>
      <c r="Q85" s="3277"/>
      <c r="R85" s="3287"/>
      <c r="S85" s="3179"/>
      <c r="T85" s="3195"/>
      <c r="U85" s="1435" t="s">
        <v>1266</v>
      </c>
      <c r="V85" s="2286">
        <v>20000000</v>
      </c>
      <c r="W85" s="1430">
        <v>20</v>
      </c>
      <c r="X85" s="2328" t="s">
        <v>61</v>
      </c>
      <c r="Y85" s="3291"/>
      <c r="Z85" s="3272"/>
      <c r="AA85" s="3272"/>
      <c r="AB85" s="3272"/>
      <c r="AC85" s="3272"/>
      <c r="AD85" s="3272"/>
      <c r="AE85" s="3272"/>
      <c r="AF85" s="3272"/>
      <c r="AG85" s="3272"/>
      <c r="AH85" s="3272"/>
      <c r="AI85" s="3272"/>
      <c r="AJ85" s="3272"/>
      <c r="AK85" s="3272"/>
      <c r="AL85" s="3272"/>
      <c r="AM85" s="3272"/>
      <c r="AN85" s="3169"/>
      <c r="AO85" s="934">
        <v>43539</v>
      </c>
      <c r="AP85" s="934">
        <v>43819</v>
      </c>
      <c r="AQ85" s="3201"/>
      <c r="AR85" s="1867"/>
      <c r="AS85" s="1867"/>
      <c r="AT85" s="1867"/>
      <c r="AU85" s="1867"/>
      <c r="AV85" s="1867"/>
      <c r="AW85" s="1867"/>
      <c r="AX85" s="1867"/>
      <c r="AY85" s="1867"/>
      <c r="AZ85" s="1867"/>
      <c r="BA85" s="1867"/>
      <c r="BB85" s="1867"/>
      <c r="BC85" s="1867"/>
      <c r="BD85" s="1867"/>
      <c r="BE85" s="1867"/>
      <c r="BF85" s="1867"/>
      <c r="BG85" s="1867"/>
      <c r="BH85" s="1867"/>
      <c r="BI85" s="1867"/>
      <c r="BJ85" s="1867"/>
      <c r="BK85" s="1867"/>
      <c r="BL85" s="1867"/>
      <c r="BM85" s="1867"/>
      <c r="BN85" s="1867"/>
      <c r="BO85" s="1867"/>
      <c r="BP85" s="1867"/>
      <c r="BQ85" s="1867"/>
    </row>
    <row r="86" spans="1:69" s="362" customFormat="1" ht="32.25" customHeight="1" x14ac:dyDescent="0.25">
      <c r="A86" s="3341"/>
      <c r="B86" s="3345"/>
      <c r="C86" s="3346"/>
      <c r="D86" s="3258"/>
      <c r="E86" s="3259"/>
      <c r="F86" s="3259"/>
      <c r="G86" s="949"/>
      <c r="H86" s="931"/>
      <c r="I86" s="932"/>
      <c r="J86" s="3278">
        <v>228</v>
      </c>
      <c r="K86" s="3231" t="s">
        <v>1267</v>
      </c>
      <c r="L86" s="3231" t="s">
        <v>1268</v>
      </c>
      <c r="M86" s="3281">
        <v>2</v>
      </c>
      <c r="N86" s="3196"/>
      <c r="O86" s="3283"/>
      <c r="P86" s="3176"/>
      <c r="Q86" s="3277">
        <f>SUM(V86:V93)/R71</f>
        <v>9.3945720250521919E-2</v>
      </c>
      <c r="R86" s="3287"/>
      <c r="S86" s="3179"/>
      <c r="T86" s="3195"/>
      <c r="U86" s="3192" t="s">
        <v>1269</v>
      </c>
      <c r="V86" s="2286">
        <v>7400000</v>
      </c>
      <c r="W86" s="1430">
        <v>20</v>
      </c>
      <c r="X86" s="2328" t="s">
        <v>61</v>
      </c>
      <c r="Y86" s="3291"/>
      <c r="Z86" s="3272"/>
      <c r="AA86" s="3272"/>
      <c r="AB86" s="3272"/>
      <c r="AC86" s="3272"/>
      <c r="AD86" s="3272"/>
      <c r="AE86" s="3272"/>
      <c r="AF86" s="3272"/>
      <c r="AG86" s="3272"/>
      <c r="AH86" s="3272"/>
      <c r="AI86" s="3272"/>
      <c r="AJ86" s="3272"/>
      <c r="AK86" s="3272"/>
      <c r="AL86" s="3272"/>
      <c r="AM86" s="3272"/>
      <c r="AN86" s="3169"/>
      <c r="AO86" s="934">
        <v>43480</v>
      </c>
      <c r="AP86" s="934">
        <v>43819</v>
      </c>
      <c r="AQ86" s="3201"/>
      <c r="AR86" s="1867"/>
      <c r="AS86" s="1867"/>
      <c r="AT86" s="1867"/>
      <c r="AU86" s="1867"/>
      <c r="AV86" s="1867"/>
      <c r="AW86" s="1867"/>
      <c r="AX86" s="1867"/>
      <c r="AY86" s="1867"/>
      <c r="AZ86" s="1867"/>
      <c r="BA86" s="1867"/>
      <c r="BB86" s="1867"/>
      <c r="BC86" s="1867"/>
      <c r="BD86" s="1867"/>
      <c r="BE86" s="1867"/>
      <c r="BF86" s="1867"/>
      <c r="BG86" s="1867"/>
      <c r="BH86" s="1867"/>
      <c r="BI86" s="1867"/>
      <c r="BJ86" s="1867"/>
      <c r="BK86" s="1867"/>
      <c r="BL86" s="1867"/>
      <c r="BM86" s="1867"/>
      <c r="BN86" s="1867"/>
      <c r="BO86" s="1867"/>
      <c r="BP86" s="1867"/>
      <c r="BQ86" s="1867"/>
    </row>
    <row r="87" spans="1:69" s="362" customFormat="1" ht="32.25" customHeight="1" x14ac:dyDescent="0.25">
      <c r="A87" s="3341"/>
      <c r="B87" s="3345"/>
      <c r="C87" s="3346"/>
      <c r="D87" s="3258"/>
      <c r="E87" s="3259"/>
      <c r="F87" s="3259"/>
      <c r="G87" s="949"/>
      <c r="H87" s="931"/>
      <c r="I87" s="932"/>
      <c r="J87" s="3278"/>
      <c r="K87" s="3231"/>
      <c r="L87" s="3231"/>
      <c r="M87" s="3281"/>
      <c r="N87" s="3196"/>
      <c r="O87" s="3283"/>
      <c r="P87" s="3176"/>
      <c r="Q87" s="3277"/>
      <c r="R87" s="3287"/>
      <c r="S87" s="3179"/>
      <c r="T87" s="3195"/>
      <c r="U87" s="3193"/>
      <c r="V87" s="2286">
        <f>0+2500000</f>
        <v>2500000</v>
      </c>
      <c r="W87" s="1430">
        <v>88</v>
      </c>
      <c r="X87" s="2328" t="s">
        <v>135</v>
      </c>
      <c r="Y87" s="3291"/>
      <c r="Z87" s="3272"/>
      <c r="AA87" s="3272"/>
      <c r="AB87" s="3272"/>
      <c r="AC87" s="3272"/>
      <c r="AD87" s="3272"/>
      <c r="AE87" s="3272"/>
      <c r="AF87" s="3272"/>
      <c r="AG87" s="3272"/>
      <c r="AH87" s="3272"/>
      <c r="AI87" s="3272"/>
      <c r="AJ87" s="3272"/>
      <c r="AK87" s="3272"/>
      <c r="AL87" s="3272"/>
      <c r="AM87" s="3272"/>
      <c r="AN87" s="3169"/>
      <c r="AO87" s="934"/>
      <c r="AP87" s="934"/>
      <c r="AQ87" s="3201"/>
      <c r="AR87" s="1867"/>
      <c r="AS87" s="1867"/>
      <c r="AT87" s="1867"/>
      <c r="AU87" s="1867"/>
      <c r="AV87" s="1867"/>
      <c r="AW87" s="1867"/>
      <c r="AX87" s="1867"/>
      <c r="AY87" s="1867"/>
      <c r="AZ87" s="1867"/>
      <c r="BA87" s="1867"/>
      <c r="BB87" s="1867"/>
      <c r="BC87" s="1867"/>
      <c r="BD87" s="1867"/>
      <c r="BE87" s="1867"/>
      <c r="BF87" s="1867"/>
      <c r="BG87" s="1867"/>
      <c r="BH87" s="1867"/>
      <c r="BI87" s="1867"/>
      <c r="BJ87" s="1867"/>
      <c r="BK87" s="1867"/>
      <c r="BL87" s="1867"/>
      <c r="BM87" s="1867"/>
      <c r="BN87" s="1867"/>
      <c r="BO87" s="1867"/>
      <c r="BP87" s="1867"/>
      <c r="BQ87" s="1867"/>
    </row>
    <row r="88" spans="1:69" s="362" customFormat="1" ht="39.75" customHeight="1" x14ac:dyDescent="0.25">
      <c r="A88" s="3341"/>
      <c r="B88" s="3345"/>
      <c r="C88" s="3346"/>
      <c r="D88" s="3258"/>
      <c r="E88" s="3259"/>
      <c r="F88" s="3259"/>
      <c r="G88" s="949"/>
      <c r="H88" s="931"/>
      <c r="I88" s="932"/>
      <c r="J88" s="3278"/>
      <c r="K88" s="3231"/>
      <c r="L88" s="3231"/>
      <c r="M88" s="3281"/>
      <c r="N88" s="3196"/>
      <c r="O88" s="3283"/>
      <c r="P88" s="3176"/>
      <c r="Q88" s="3277"/>
      <c r="R88" s="3287"/>
      <c r="S88" s="3179"/>
      <c r="T88" s="3195"/>
      <c r="U88" s="3192" t="s">
        <v>1270</v>
      </c>
      <c r="V88" s="2286">
        <f>11200000+5000000+2500000</f>
        <v>18700000</v>
      </c>
      <c r="W88" s="1430">
        <v>20</v>
      </c>
      <c r="X88" s="2328" t="s">
        <v>61</v>
      </c>
      <c r="Y88" s="3291"/>
      <c r="Z88" s="3272"/>
      <c r="AA88" s="3272"/>
      <c r="AB88" s="3272"/>
      <c r="AC88" s="3272"/>
      <c r="AD88" s="3272"/>
      <c r="AE88" s="3272"/>
      <c r="AF88" s="3272"/>
      <c r="AG88" s="3272"/>
      <c r="AH88" s="3272"/>
      <c r="AI88" s="3272"/>
      <c r="AJ88" s="3272"/>
      <c r="AK88" s="3272"/>
      <c r="AL88" s="3272"/>
      <c r="AM88" s="3272"/>
      <c r="AN88" s="3169"/>
      <c r="AO88" s="934">
        <v>43511</v>
      </c>
      <c r="AP88" s="934">
        <v>43819</v>
      </c>
      <c r="AQ88" s="3201"/>
      <c r="AR88" s="1867"/>
      <c r="AS88" s="1867"/>
      <c r="AT88" s="1867"/>
      <c r="AU88" s="1867"/>
      <c r="AV88" s="1867"/>
      <c r="AW88" s="1867"/>
      <c r="AX88" s="1867"/>
      <c r="AY88" s="1867"/>
      <c r="AZ88" s="1867"/>
      <c r="BA88" s="1867"/>
      <c r="BB88" s="1867"/>
      <c r="BC88" s="1867"/>
      <c r="BD88" s="1867"/>
      <c r="BE88" s="1867"/>
      <c r="BF88" s="1867"/>
      <c r="BG88" s="1867"/>
      <c r="BH88" s="1867"/>
      <c r="BI88" s="1867"/>
      <c r="BJ88" s="1867"/>
      <c r="BK88" s="1867"/>
      <c r="BL88" s="1867"/>
      <c r="BM88" s="1867"/>
      <c r="BN88" s="1867"/>
      <c r="BO88" s="1867"/>
      <c r="BP88" s="1867"/>
      <c r="BQ88" s="1867"/>
    </row>
    <row r="89" spans="1:69" s="362" customFormat="1" ht="39.75" customHeight="1" x14ac:dyDescent="0.25">
      <c r="A89" s="3341"/>
      <c r="B89" s="3345"/>
      <c r="C89" s="3346"/>
      <c r="D89" s="3258"/>
      <c r="E89" s="3259"/>
      <c r="F89" s="3259"/>
      <c r="G89" s="949"/>
      <c r="H89" s="931"/>
      <c r="I89" s="932"/>
      <c r="J89" s="3278"/>
      <c r="K89" s="3231"/>
      <c r="L89" s="3231"/>
      <c r="M89" s="3281"/>
      <c r="N89" s="3196"/>
      <c r="O89" s="3283"/>
      <c r="P89" s="3176"/>
      <c r="Q89" s="3277"/>
      <c r="R89" s="3287"/>
      <c r="S89" s="3179"/>
      <c r="T89" s="3195"/>
      <c r="U89" s="3193"/>
      <c r="V89" s="2286">
        <f>0+2500000</f>
        <v>2500000</v>
      </c>
      <c r="W89" s="1430">
        <v>88</v>
      </c>
      <c r="X89" s="2328" t="s">
        <v>135</v>
      </c>
      <c r="Y89" s="3291"/>
      <c r="Z89" s="3272"/>
      <c r="AA89" s="3272"/>
      <c r="AB89" s="3272"/>
      <c r="AC89" s="3272"/>
      <c r="AD89" s="3272"/>
      <c r="AE89" s="3272"/>
      <c r="AF89" s="3272"/>
      <c r="AG89" s="3272"/>
      <c r="AH89" s="3272"/>
      <c r="AI89" s="3272"/>
      <c r="AJ89" s="3272"/>
      <c r="AK89" s="3272"/>
      <c r="AL89" s="3272"/>
      <c r="AM89" s="3272"/>
      <c r="AN89" s="3169"/>
      <c r="AO89" s="934"/>
      <c r="AP89" s="934"/>
      <c r="AQ89" s="3201"/>
      <c r="AR89" s="1867"/>
      <c r="AS89" s="1867"/>
      <c r="AT89" s="1867"/>
      <c r="AU89" s="1867"/>
      <c r="AV89" s="1867"/>
      <c r="AW89" s="1867"/>
      <c r="AX89" s="1867"/>
      <c r="AY89" s="1867"/>
      <c r="AZ89" s="1867"/>
      <c r="BA89" s="1867"/>
      <c r="BB89" s="1867"/>
      <c r="BC89" s="1867"/>
      <c r="BD89" s="1867"/>
      <c r="BE89" s="1867"/>
      <c r="BF89" s="1867"/>
      <c r="BG89" s="1867"/>
      <c r="BH89" s="1867"/>
      <c r="BI89" s="1867"/>
      <c r="BJ89" s="1867"/>
      <c r="BK89" s="1867"/>
      <c r="BL89" s="1867"/>
      <c r="BM89" s="1867"/>
      <c r="BN89" s="1867"/>
      <c r="BO89" s="1867"/>
      <c r="BP89" s="1867"/>
      <c r="BQ89" s="1867"/>
    </row>
    <row r="90" spans="1:69" s="362" customFormat="1" ht="56.25" customHeight="1" x14ac:dyDescent="0.25">
      <c r="A90" s="3341"/>
      <c r="B90" s="3345"/>
      <c r="C90" s="3346"/>
      <c r="D90" s="3258"/>
      <c r="E90" s="3259"/>
      <c r="F90" s="3259"/>
      <c r="G90" s="949"/>
      <c r="H90" s="931"/>
      <c r="I90" s="932"/>
      <c r="J90" s="3278"/>
      <c r="K90" s="3231"/>
      <c r="L90" s="3231"/>
      <c r="M90" s="3281"/>
      <c r="N90" s="3196"/>
      <c r="O90" s="3283"/>
      <c r="P90" s="3176"/>
      <c r="Q90" s="3277"/>
      <c r="R90" s="3287"/>
      <c r="S90" s="3179"/>
      <c r="T90" s="3195"/>
      <c r="U90" s="1435" t="s">
        <v>1271</v>
      </c>
      <c r="V90" s="2286">
        <f>9500000-3500000</f>
        <v>6000000</v>
      </c>
      <c r="W90" s="1430">
        <v>20</v>
      </c>
      <c r="X90" s="2328" t="s">
        <v>61</v>
      </c>
      <c r="Y90" s="3291"/>
      <c r="Z90" s="3272"/>
      <c r="AA90" s="3272"/>
      <c r="AB90" s="3272"/>
      <c r="AC90" s="3272"/>
      <c r="AD90" s="3272"/>
      <c r="AE90" s="3272"/>
      <c r="AF90" s="3272"/>
      <c r="AG90" s="3272"/>
      <c r="AH90" s="3272"/>
      <c r="AI90" s="3272"/>
      <c r="AJ90" s="3272"/>
      <c r="AK90" s="3272"/>
      <c r="AL90" s="3272"/>
      <c r="AM90" s="3272"/>
      <c r="AN90" s="3169"/>
      <c r="AO90" s="934">
        <v>43480</v>
      </c>
      <c r="AP90" s="934">
        <v>43819</v>
      </c>
      <c r="AQ90" s="3201"/>
      <c r="AR90" s="1867"/>
      <c r="AS90" s="1867"/>
      <c r="AT90" s="1867"/>
      <c r="AU90" s="1867"/>
      <c r="AV90" s="1867"/>
      <c r="AW90" s="1867"/>
      <c r="AX90" s="1867"/>
      <c r="AY90" s="1867"/>
      <c r="AZ90" s="1867"/>
      <c r="BA90" s="1867"/>
      <c r="BB90" s="1867"/>
      <c r="BC90" s="1867"/>
      <c r="BD90" s="1867"/>
      <c r="BE90" s="1867"/>
      <c r="BF90" s="1867"/>
      <c r="BG90" s="1867"/>
      <c r="BH90" s="1867"/>
      <c r="BI90" s="1867"/>
      <c r="BJ90" s="1867"/>
      <c r="BK90" s="1867"/>
      <c r="BL90" s="1867"/>
      <c r="BM90" s="1867"/>
      <c r="BN90" s="1867"/>
      <c r="BO90" s="1867"/>
      <c r="BP90" s="1867"/>
      <c r="BQ90" s="1867"/>
    </row>
    <row r="91" spans="1:69" s="362" customFormat="1" ht="75" customHeight="1" x14ac:dyDescent="0.25">
      <c r="A91" s="3341"/>
      <c r="B91" s="3345"/>
      <c r="C91" s="3346"/>
      <c r="D91" s="3258"/>
      <c r="E91" s="3259"/>
      <c r="F91" s="3259"/>
      <c r="G91" s="949"/>
      <c r="H91" s="931"/>
      <c r="I91" s="932"/>
      <c r="J91" s="3278"/>
      <c r="K91" s="3231"/>
      <c r="L91" s="3231"/>
      <c r="M91" s="3281"/>
      <c r="N91" s="3196"/>
      <c r="O91" s="3283"/>
      <c r="P91" s="3176"/>
      <c r="Q91" s="3277"/>
      <c r="R91" s="3287"/>
      <c r="S91" s="3179"/>
      <c r="T91" s="3195"/>
      <c r="U91" s="1435" t="s">
        <v>1272</v>
      </c>
      <c r="V91" s="2286">
        <v>2500000</v>
      </c>
      <c r="W91" s="1430">
        <v>20</v>
      </c>
      <c r="X91" s="2328" t="s">
        <v>61</v>
      </c>
      <c r="Y91" s="3291"/>
      <c r="Z91" s="3272"/>
      <c r="AA91" s="3272"/>
      <c r="AB91" s="3272"/>
      <c r="AC91" s="3272"/>
      <c r="AD91" s="3272"/>
      <c r="AE91" s="3272"/>
      <c r="AF91" s="3272"/>
      <c r="AG91" s="3272"/>
      <c r="AH91" s="3272"/>
      <c r="AI91" s="3272"/>
      <c r="AJ91" s="3272"/>
      <c r="AK91" s="3272"/>
      <c r="AL91" s="3272"/>
      <c r="AM91" s="3272"/>
      <c r="AN91" s="3169"/>
      <c r="AO91" s="934">
        <v>43539</v>
      </c>
      <c r="AP91" s="934">
        <v>43819</v>
      </c>
      <c r="AQ91" s="3201"/>
      <c r="AR91" s="1867"/>
      <c r="AS91" s="1867"/>
      <c r="AT91" s="1867"/>
      <c r="AU91" s="1867"/>
      <c r="AV91" s="1867"/>
      <c r="AW91" s="1867"/>
      <c r="AX91" s="1867"/>
      <c r="AY91" s="1867"/>
      <c r="AZ91" s="1867"/>
      <c r="BA91" s="1867"/>
      <c r="BB91" s="1867"/>
      <c r="BC91" s="1867"/>
      <c r="BD91" s="1867"/>
      <c r="BE91" s="1867"/>
      <c r="BF91" s="1867"/>
      <c r="BG91" s="1867"/>
      <c r="BH91" s="1867"/>
      <c r="BI91" s="1867"/>
      <c r="BJ91" s="1867"/>
      <c r="BK91" s="1867"/>
      <c r="BL91" s="1867"/>
      <c r="BM91" s="1867"/>
      <c r="BN91" s="1867"/>
      <c r="BO91" s="1867"/>
      <c r="BP91" s="1867"/>
      <c r="BQ91" s="1867"/>
    </row>
    <row r="92" spans="1:69" s="362" customFormat="1" ht="81.75" customHeight="1" x14ac:dyDescent="0.25">
      <c r="A92" s="3341"/>
      <c r="B92" s="3345"/>
      <c r="C92" s="3346"/>
      <c r="D92" s="3258"/>
      <c r="E92" s="3259"/>
      <c r="F92" s="3259"/>
      <c r="G92" s="949"/>
      <c r="H92" s="931"/>
      <c r="I92" s="932"/>
      <c r="J92" s="3279"/>
      <c r="K92" s="3280"/>
      <c r="L92" s="3280"/>
      <c r="M92" s="3282"/>
      <c r="N92" s="3196"/>
      <c r="O92" s="3283"/>
      <c r="P92" s="3176"/>
      <c r="Q92" s="3277"/>
      <c r="R92" s="3287"/>
      <c r="S92" s="3179"/>
      <c r="T92" s="3195"/>
      <c r="U92" s="1435" t="s">
        <v>1273</v>
      </c>
      <c r="V92" s="2286">
        <v>2000000</v>
      </c>
      <c r="W92" s="1430">
        <v>20</v>
      </c>
      <c r="X92" s="2328" t="s">
        <v>61</v>
      </c>
      <c r="Y92" s="3291"/>
      <c r="Z92" s="3272"/>
      <c r="AA92" s="3272"/>
      <c r="AB92" s="3272"/>
      <c r="AC92" s="3272"/>
      <c r="AD92" s="3272"/>
      <c r="AE92" s="3272"/>
      <c r="AF92" s="3272"/>
      <c r="AG92" s="3272"/>
      <c r="AH92" s="3272"/>
      <c r="AI92" s="3272"/>
      <c r="AJ92" s="3272"/>
      <c r="AK92" s="3272"/>
      <c r="AL92" s="3272"/>
      <c r="AM92" s="3272"/>
      <c r="AN92" s="3169"/>
      <c r="AO92" s="934">
        <v>43539</v>
      </c>
      <c r="AP92" s="934">
        <v>43819</v>
      </c>
      <c r="AQ92" s="3201"/>
      <c r="AR92" s="1867"/>
      <c r="AS92" s="1867"/>
      <c r="AT92" s="1867"/>
      <c r="AU92" s="1867"/>
      <c r="AV92" s="1867"/>
      <c r="AW92" s="1867"/>
      <c r="AX92" s="1867"/>
      <c r="AY92" s="1867"/>
      <c r="AZ92" s="1867"/>
      <c r="BA92" s="1867"/>
      <c r="BB92" s="1867"/>
      <c r="BC92" s="1867"/>
      <c r="BD92" s="1867"/>
      <c r="BE92" s="1867"/>
      <c r="BF92" s="1867"/>
      <c r="BG92" s="1867"/>
      <c r="BH92" s="1867"/>
      <c r="BI92" s="1867"/>
      <c r="BJ92" s="1867"/>
      <c r="BK92" s="1867"/>
      <c r="BL92" s="1867"/>
      <c r="BM92" s="1867"/>
      <c r="BN92" s="1867"/>
      <c r="BO92" s="1867"/>
      <c r="BP92" s="1867"/>
      <c r="BQ92" s="1867"/>
    </row>
    <row r="93" spans="1:69" s="362" customFormat="1" ht="45.75" customHeight="1" x14ac:dyDescent="0.25">
      <c r="A93" s="3341"/>
      <c r="B93" s="3345"/>
      <c r="C93" s="3346"/>
      <c r="D93" s="3258"/>
      <c r="E93" s="3259"/>
      <c r="F93" s="3259"/>
      <c r="G93" s="949"/>
      <c r="H93" s="931"/>
      <c r="I93" s="932"/>
      <c r="J93" s="3279"/>
      <c r="K93" s="3280"/>
      <c r="L93" s="3280"/>
      <c r="M93" s="3282"/>
      <c r="N93" s="3196"/>
      <c r="O93" s="3283"/>
      <c r="P93" s="3176"/>
      <c r="Q93" s="3277"/>
      <c r="R93" s="3287"/>
      <c r="S93" s="3179"/>
      <c r="T93" s="3195"/>
      <c r="U93" s="1435" t="s">
        <v>1262</v>
      </c>
      <c r="V93" s="2286">
        <f>2400000+1000000</f>
        <v>3400000</v>
      </c>
      <c r="W93" s="1430">
        <v>20</v>
      </c>
      <c r="X93" s="2328" t="s">
        <v>61</v>
      </c>
      <c r="Y93" s="3291"/>
      <c r="Z93" s="3272"/>
      <c r="AA93" s="3272"/>
      <c r="AB93" s="3272"/>
      <c r="AC93" s="3272"/>
      <c r="AD93" s="3272"/>
      <c r="AE93" s="3272"/>
      <c r="AF93" s="3272"/>
      <c r="AG93" s="3272"/>
      <c r="AH93" s="3272"/>
      <c r="AI93" s="3272"/>
      <c r="AJ93" s="3272"/>
      <c r="AK93" s="3272"/>
      <c r="AL93" s="3272"/>
      <c r="AM93" s="3272"/>
      <c r="AN93" s="3169"/>
      <c r="AO93" s="934">
        <v>43539</v>
      </c>
      <c r="AP93" s="934">
        <v>43819</v>
      </c>
      <c r="AQ93" s="3201"/>
      <c r="AR93" s="1867"/>
      <c r="AS93" s="1867"/>
      <c r="AT93" s="1867"/>
      <c r="AU93" s="1867"/>
      <c r="AV93" s="1867"/>
      <c r="AW93" s="1867"/>
      <c r="AX93" s="1867"/>
      <c r="AY93" s="1867"/>
      <c r="AZ93" s="1867"/>
      <c r="BA93" s="1867"/>
      <c r="BB93" s="1867"/>
      <c r="BC93" s="1867"/>
      <c r="BD93" s="1867"/>
      <c r="BE93" s="1867"/>
      <c r="BF93" s="1867"/>
      <c r="BG93" s="1867"/>
      <c r="BH93" s="1867"/>
      <c r="BI93" s="1867"/>
      <c r="BJ93" s="1867"/>
      <c r="BK93" s="1867"/>
      <c r="BL93" s="1867"/>
      <c r="BM93" s="1867"/>
      <c r="BN93" s="1867"/>
      <c r="BO93" s="1867"/>
      <c r="BP93" s="1867"/>
      <c r="BQ93" s="1867"/>
    </row>
    <row r="94" spans="1:69" s="362" customFormat="1" ht="62.25" customHeight="1" x14ac:dyDescent="0.25">
      <c r="A94" s="3341"/>
      <c r="B94" s="3345"/>
      <c r="C94" s="3346"/>
      <c r="D94" s="3258"/>
      <c r="E94" s="3259"/>
      <c r="F94" s="3259"/>
      <c r="G94" s="949"/>
      <c r="H94" s="931"/>
      <c r="I94" s="932"/>
      <c r="J94" s="3278">
        <v>229</v>
      </c>
      <c r="K94" s="3183" t="s">
        <v>1274</v>
      </c>
      <c r="L94" s="3231" t="s">
        <v>1275</v>
      </c>
      <c r="M94" s="3281">
        <v>13</v>
      </c>
      <c r="N94" s="3196"/>
      <c r="O94" s="3283"/>
      <c r="P94" s="3176"/>
      <c r="Q94" s="3277">
        <f>SUM(V94:V96)/R71</f>
        <v>0.14613778705636743</v>
      </c>
      <c r="R94" s="3287"/>
      <c r="S94" s="3179"/>
      <c r="T94" s="3195"/>
      <c r="U94" s="3192" t="s">
        <v>1276</v>
      </c>
      <c r="V94" s="2286">
        <v>15400000</v>
      </c>
      <c r="W94" s="1430">
        <v>20</v>
      </c>
      <c r="X94" s="2328" t="s">
        <v>61</v>
      </c>
      <c r="Y94" s="3291"/>
      <c r="Z94" s="3272"/>
      <c r="AA94" s="3272"/>
      <c r="AB94" s="3272"/>
      <c r="AC94" s="3272"/>
      <c r="AD94" s="3272"/>
      <c r="AE94" s="3272"/>
      <c r="AF94" s="3272"/>
      <c r="AG94" s="3272"/>
      <c r="AH94" s="3272"/>
      <c r="AI94" s="3272"/>
      <c r="AJ94" s="3272"/>
      <c r="AK94" s="3272"/>
      <c r="AL94" s="3272"/>
      <c r="AM94" s="3272"/>
      <c r="AN94" s="3169"/>
      <c r="AO94" s="934">
        <v>43475</v>
      </c>
      <c r="AP94" s="934">
        <v>43646</v>
      </c>
      <c r="AQ94" s="3201"/>
      <c r="AR94" s="1867"/>
      <c r="AS94" s="1867"/>
      <c r="AT94" s="1867"/>
      <c r="AU94" s="1867"/>
      <c r="AV94" s="1867"/>
      <c r="AW94" s="1867"/>
      <c r="AX94" s="1867"/>
      <c r="AY94" s="1867"/>
      <c r="AZ94" s="1867"/>
      <c r="BA94" s="1867"/>
      <c r="BB94" s="1867"/>
      <c r="BC94" s="1867"/>
      <c r="BD94" s="1867"/>
      <c r="BE94" s="1867"/>
      <c r="BF94" s="1867"/>
      <c r="BG94" s="1867"/>
      <c r="BH94" s="1867"/>
      <c r="BI94" s="1867"/>
      <c r="BJ94" s="1867"/>
      <c r="BK94" s="1867"/>
      <c r="BL94" s="1867"/>
      <c r="BM94" s="1867"/>
      <c r="BN94" s="1867"/>
      <c r="BO94" s="1867"/>
      <c r="BP94" s="1867"/>
      <c r="BQ94" s="1867"/>
    </row>
    <row r="95" spans="1:69" s="362" customFormat="1" ht="43.5" customHeight="1" x14ac:dyDescent="0.25">
      <c r="A95" s="3341"/>
      <c r="B95" s="3345"/>
      <c r="C95" s="3346"/>
      <c r="D95" s="3258"/>
      <c r="E95" s="3259"/>
      <c r="F95" s="3259"/>
      <c r="G95" s="949"/>
      <c r="H95" s="931"/>
      <c r="I95" s="932"/>
      <c r="J95" s="3278"/>
      <c r="K95" s="3183"/>
      <c r="L95" s="3231"/>
      <c r="M95" s="3281"/>
      <c r="N95" s="3196"/>
      <c r="O95" s="3283"/>
      <c r="P95" s="3176"/>
      <c r="Q95" s="3277"/>
      <c r="R95" s="3287"/>
      <c r="S95" s="3179"/>
      <c r="T95" s="3195"/>
      <c r="U95" s="3193"/>
      <c r="V95" s="2286">
        <f>0+5000000</f>
        <v>5000000</v>
      </c>
      <c r="W95" s="1430">
        <v>88</v>
      </c>
      <c r="X95" s="2328" t="s">
        <v>135</v>
      </c>
      <c r="Y95" s="3291"/>
      <c r="Z95" s="3272"/>
      <c r="AA95" s="3272"/>
      <c r="AB95" s="3272"/>
      <c r="AC95" s="3272"/>
      <c r="AD95" s="3272"/>
      <c r="AE95" s="3272"/>
      <c r="AF95" s="3272"/>
      <c r="AG95" s="3272"/>
      <c r="AH95" s="3272"/>
      <c r="AI95" s="3272"/>
      <c r="AJ95" s="3272"/>
      <c r="AK95" s="3272"/>
      <c r="AL95" s="3272"/>
      <c r="AM95" s="3272"/>
      <c r="AN95" s="3169"/>
      <c r="AO95" s="934"/>
      <c r="AP95" s="934"/>
      <c r="AQ95" s="3201"/>
      <c r="AR95" s="1867"/>
      <c r="AS95" s="1867"/>
      <c r="AT95" s="1867"/>
      <c r="AU95" s="1867"/>
      <c r="AV95" s="1867"/>
      <c r="AW95" s="1867"/>
      <c r="AX95" s="1867"/>
      <c r="AY95" s="1867"/>
      <c r="AZ95" s="1867"/>
      <c r="BA95" s="1867"/>
      <c r="BB95" s="1867"/>
      <c r="BC95" s="1867"/>
      <c r="BD95" s="1867"/>
      <c r="BE95" s="1867"/>
      <c r="BF95" s="1867"/>
      <c r="BG95" s="1867"/>
      <c r="BH95" s="1867"/>
      <c r="BI95" s="1867"/>
      <c r="BJ95" s="1867"/>
      <c r="BK95" s="1867"/>
      <c r="BL95" s="1867"/>
      <c r="BM95" s="1867"/>
      <c r="BN95" s="1867"/>
      <c r="BO95" s="1867"/>
      <c r="BP95" s="1867"/>
      <c r="BQ95" s="1867"/>
    </row>
    <row r="96" spans="1:69" s="362" customFormat="1" ht="57" customHeight="1" x14ac:dyDescent="0.25">
      <c r="A96" s="3341"/>
      <c r="B96" s="3345"/>
      <c r="C96" s="3346"/>
      <c r="D96" s="3258"/>
      <c r="E96" s="3259"/>
      <c r="F96" s="3259"/>
      <c r="G96" s="949"/>
      <c r="H96" s="931"/>
      <c r="I96" s="932"/>
      <c r="J96" s="3278"/>
      <c r="K96" s="3183"/>
      <c r="L96" s="3231"/>
      <c r="M96" s="3281"/>
      <c r="N96" s="3196"/>
      <c r="O96" s="3283"/>
      <c r="P96" s="3176"/>
      <c r="Q96" s="3277"/>
      <c r="R96" s="3287"/>
      <c r="S96" s="3179"/>
      <c r="T96" s="3195"/>
      <c r="U96" s="1435" t="s">
        <v>1277</v>
      </c>
      <c r="V96" s="2286">
        <v>49600000</v>
      </c>
      <c r="W96" s="1430">
        <v>20</v>
      </c>
      <c r="X96" s="2328" t="s">
        <v>61</v>
      </c>
      <c r="Y96" s="3291"/>
      <c r="Z96" s="3272"/>
      <c r="AA96" s="3272"/>
      <c r="AB96" s="3272"/>
      <c r="AC96" s="3272"/>
      <c r="AD96" s="3272"/>
      <c r="AE96" s="3272"/>
      <c r="AF96" s="3272"/>
      <c r="AG96" s="3272"/>
      <c r="AH96" s="3272"/>
      <c r="AI96" s="3272"/>
      <c r="AJ96" s="3272"/>
      <c r="AK96" s="3272"/>
      <c r="AL96" s="3272"/>
      <c r="AM96" s="3272"/>
      <c r="AN96" s="3169"/>
      <c r="AO96" s="934">
        <v>43475</v>
      </c>
      <c r="AP96" s="934">
        <v>43646</v>
      </c>
      <c r="AQ96" s="3201"/>
      <c r="AR96" s="1867"/>
      <c r="AS96" s="1867"/>
      <c r="AT96" s="1867"/>
      <c r="AU96" s="1867"/>
      <c r="AV96" s="1867"/>
      <c r="AW96" s="1867"/>
      <c r="AX96" s="1867"/>
      <c r="AY96" s="1867"/>
      <c r="AZ96" s="1867"/>
      <c r="BA96" s="1867"/>
      <c r="BB96" s="1867"/>
      <c r="BC96" s="1867"/>
      <c r="BD96" s="1867"/>
      <c r="BE96" s="1867"/>
      <c r="BF96" s="1867"/>
      <c r="BG96" s="1867"/>
      <c r="BH96" s="1867"/>
      <c r="BI96" s="1867"/>
      <c r="BJ96" s="1867"/>
      <c r="BK96" s="1867"/>
      <c r="BL96" s="1867"/>
      <c r="BM96" s="1867"/>
      <c r="BN96" s="1867"/>
      <c r="BO96" s="1867"/>
      <c r="BP96" s="1867"/>
      <c r="BQ96" s="1867"/>
    </row>
    <row r="97" spans="1:69" s="362" customFormat="1" ht="69" customHeight="1" x14ac:dyDescent="0.25">
      <c r="A97" s="3341"/>
      <c r="B97" s="3345"/>
      <c r="C97" s="3346"/>
      <c r="D97" s="3258"/>
      <c r="E97" s="3259"/>
      <c r="F97" s="3259"/>
      <c r="G97" s="949"/>
      <c r="H97" s="931"/>
      <c r="I97" s="932"/>
      <c r="J97" s="3278">
        <v>230</v>
      </c>
      <c r="K97" s="3231" t="s">
        <v>1278</v>
      </c>
      <c r="L97" s="3231" t="s">
        <v>1279</v>
      </c>
      <c r="M97" s="3289">
        <v>1</v>
      </c>
      <c r="N97" s="3196"/>
      <c r="O97" s="3283"/>
      <c r="P97" s="3176"/>
      <c r="Q97" s="3277">
        <f>SUM(V97:V100)/R71</f>
        <v>0.11273486430062631</v>
      </c>
      <c r="R97" s="3287"/>
      <c r="S97" s="3179"/>
      <c r="T97" s="3195"/>
      <c r="U97" s="1435" t="s">
        <v>1280</v>
      </c>
      <c r="V97" s="2286">
        <f>27000000-10000000</f>
        <v>17000000</v>
      </c>
      <c r="W97" s="1430">
        <v>20</v>
      </c>
      <c r="X97" s="2328" t="s">
        <v>61</v>
      </c>
      <c r="Y97" s="3291"/>
      <c r="Z97" s="3272"/>
      <c r="AA97" s="3272"/>
      <c r="AB97" s="3272"/>
      <c r="AC97" s="3272"/>
      <c r="AD97" s="3272"/>
      <c r="AE97" s="3272"/>
      <c r="AF97" s="3272"/>
      <c r="AG97" s="3272"/>
      <c r="AH97" s="3272"/>
      <c r="AI97" s="3272"/>
      <c r="AJ97" s="3272"/>
      <c r="AK97" s="3272"/>
      <c r="AL97" s="3272"/>
      <c r="AM97" s="3272"/>
      <c r="AN97" s="3169"/>
      <c r="AO97" s="934">
        <v>43475</v>
      </c>
      <c r="AP97" s="934">
        <v>43646</v>
      </c>
      <c r="AQ97" s="3201"/>
      <c r="AR97" s="1867"/>
      <c r="AS97" s="1867"/>
      <c r="AT97" s="1867"/>
      <c r="AU97" s="1867"/>
      <c r="AV97" s="1867"/>
      <c r="AW97" s="1867"/>
      <c r="AX97" s="1867"/>
      <c r="AY97" s="1867"/>
      <c r="AZ97" s="1867"/>
      <c r="BA97" s="1867"/>
      <c r="BB97" s="1867"/>
      <c r="BC97" s="1867"/>
      <c r="BD97" s="1867"/>
      <c r="BE97" s="1867"/>
      <c r="BF97" s="1867"/>
      <c r="BG97" s="1867"/>
      <c r="BH97" s="1867"/>
      <c r="BI97" s="1867"/>
      <c r="BJ97" s="1867"/>
      <c r="BK97" s="1867"/>
      <c r="BL97" s="1867"/>
      <c r="BM97" s="1867"/>
      <c r="BN97" s="1867"/>
      <c r="BO97" s="1867"/>
      <c r="BP97" s="1867"/>
      <c r="BQ97" s="1867"/>
    </row>
    <row r="98" spans="1:69" s="362" customFormat="1" ht="51" customHeight="1" x14ac:dyDescent="0.25">
      <c r="A98" s="3341"/>
      <c r="B98" s="3345"/>
      <c r="C98" s="3346"/>
      <c r="D98" s="3258"/>
      <c r="E98" s="3259"/>
      <c r="F98" s="3259"/>
      <c r="G98" s="949"/>
      <c r="H98" s="931"/>
      <c r="I98" s="932"/>
      <c r="J98" s="3278"/>
      <c r="K98" s="3231"/>
      <c r="L98" s="3231"/>
      <c r="M98" s="3289"/>
      <c r="N98" s="3196"/>
      <c r="O98" s="3283"/>
      <c r="P98" s="3176"/>
      <c r="Q98" s="3277"/>
      <c r="R98" s="3287"/>
      <c r="S98" s="3179"/>
      <c r="T98" s="3195"/>
      <c r="U98" s="1435" t="s">
        <v>1281</v>
      </c>
      <c r="V98" s="2286">
        <f>0+10000000</f>
        <v>10000000</v>
      </c>
      <c r="W98" s="1430">
        <v>20</v>
      </c>
      <c r="X98" s="2328" t="s">
        <v>61</v>
      </c>
      <c r="Y98" s="3291"/>
      <c r="Z98" s="3272"/>
      <c r="AA98" s="3272"/>
      <c r="AB98" s="3272"/>
      <c r="AC98" s="3272"/>
      <c r="AD98" s="3272"/>
      <c r="AE98" s="3272"/>
      <c r="AF98" s="3272"/>
      <c r="AG98" s="3272"/>
      <c r="AH98" s="3272"/>
      <c r="AI98" s="3272"/>
      <c r="AJ98" s="3272"/>
      <c r="AK98" s="3272"/>
      <c r="AL98" s="3272"/>
      <c r="AM98" s="3272"/>
      <c r="AN98" s="3169"/>
      <c r="AO98" s="934"/>
      <c r="AP98" s="934"/>
      <c r="AQ98" s="3201"/>
      <c r="AR98" s="1867"/>
      <c r="AS98" s="1867"/>
      <c r="AT98" s="1867"/>
      <c r="AU98" s="1867"/>
      <c r="AV98" s="1867"/>
      <c r="AW98" s="1867"/>
      <c r="AX98" s="1867"/>
      <c r="AY98" s="1867"/>
      <c r="AZ98" s="1867"/>
      <c r="BA98" s="1867"/>
      <c r="BB98" s="1867"/>
      <c r="BC98" s="1867"/>
      <c r="BD98" s="1867"/>
      <c r="BE98" s="1867"/>
      <c r="BF98" s="1867"/>
      <c r="BG98" s="1867"/>
      <c r="BH98" s="1867"/>
      <c r="BI98" s="1867"/>
      <c r="BJ98" s="1867"/>
      <c r="BK98" s="1867"/>
      <c r="BL98" s="1867"/>
      <c r="BM98" s="1867"/>
      <c r="BN98" s="1867"/>
      <c r="BO98" s="1867"/>
      <c r="BP98" s="1867"/>
      <c r="BQ98" s="1867"/>
    </row>
    <row r="99" spans="1:69" s="362" customFormat="1" ht="45.75" customHeight="1" x14ac:dyDescent="0.25">
      <c r="A99" s="3341"/>
      <c r="B99" s="3345"/>
      <c r="C99" s="3346"/>
      <c r="D99" s="3258"/>
      <c r="E99" s="3259"/>
      <c r="F99" s="3259"/>
      <c r="G99" s="949"/>
      <c r="H99" s="931"/>
      <c r="I99" s="932"/>
      <c r="J99" s="3278"/>
      <c r="K99" s="3231"/>
      <c r="L99" s="3231"/>
      <c r="M99" s="3289"/>
      <c r="N99" s="3196"/>
      <c r="O99" s="3283"/>
      <c r="P99" s="3176"/>
      <c r="Q99" s="3277"/>
      <c r="R99" s="3287"/>
      <c r="S99" s="3179"/>
      <c r="T99" s="3195"/>
      <c r="U99" s="1435" t="s">
        <v>1282</v>
      </c>
      <c r="V99" s="2286">
        <v>22000000</v>
      </c>
      <c r="W99" s="1430">
        <v>20</v>
      </c>
      <c r="X99" s="2328" t="s">
        <v>61</v>
      </c>
      <c r="Y99" s="3291"/>
      <c r="Z99" s="3272"/>
      <c r="AA99" s="3272"/>
      <c r="AB99" s="3272"/>
      <c r="AC99" s="3272"/>
      <c r="AD99" s="3272"/>
      <c r="AE99" s="3272"/>
      <c r="AF99" s="3272"/>
      <c r="AG99" s="3272"/>
      <c r="AH99" s="3272"/>
      <c r="AI99" s="3272"/>
      <c r="AJ99" s="3272"/>
      <c r="AK99" s="3272"/>
      <c r="AL99" s="3272"/>
      <c r="AM99" s="3272"/>
      <c r="AN99" s="3169"/>
      <c r="AO99" s="934">
        <v>43475</v>
      </c>
      <c r="AP99" s="934">
        <v>43646</v>
      </c>
      <c r="AQ99" s="3201"/>
      <c r="AR99" s="1867"/>
      <c r="AS99" s="1867"/>
      <c r="AT99" s="1867"/>
      <c r="AU99" s="1867"/>
      <c r="AV99" s="1867"/>
      <c r="AW99" s="1867"/>
      <c r="AX99" s="1867"/>
      <c r="AY99" s="1867"/>
      <c r="AZ99" s="1867"/>
      <c r="BA99" s="1867"/>
      <c r="BB99" s="1867"/>
      <c r="BC99" s="1867"/>
      <c r="BD99" s="1867"/>
      <c r="BE99" s="1867"/>
      <c r="BF99" s="1867"/>
      <c r="BG99" s="1867"/>
      <c r="BH99" s="1867"/>
      <c r="BI99" s="1867"/>
      <c r="BJ99" s="1867"/>
      <c r="BK99" s="1867"/>
      <c r="BL99" s="1867"/>
      <c r="BM99" s="1867"/>
      <c r="BN99" s="1867"/>
      <c r="BO99" s="1867"/>
      <c r="BP99" s="1867"/>
      <c r="BQ99" s="1867"/>
    </row>
    <row r="100" spans="1:69" s="362" customFormat="1" ht="30.75" customHeight="1" x14ac:dyDescent="0.25">
      <c r="A100" s="3341"/>
      <c r="B100" s="3345"/>
      <c r="C100" s="3346"/>
      <c r="D100" s="3258"/>
      <c r="E100" s="3259"/>
      <c r="F100" s="3259"/>
      <c r="G100" s="950"/>
      <c r="H100" s="935"/>
      <c r="I100" s="936"/>
      <c r="J100" s="3278"/>
      <c r="K100" s="3231"/>
      <c r="L100" s="3231"/>
      <c r="M100" s="3289"/>
      <c r="N100" s="3293"/>
      <c r="O100" s="3284"/>
      <c r="P100" s="3285"/>
      <c r="Q100" s="3277"/>
      <c r="R100" s="3288"/>
      <c r="S100" s="3179"/>
      <c r="T100" s="3195"/>
      <c r="U100" s="1440" t="s">
        <v>1262</v>
      </c>
      <c r="V100" s="2286">
        <v>5000000</v>
      </c>
      <c r="W100" s="1430">
        <v>20</v>
      </c>
      <c r="X100" s="2328" t="s">
        <v>61</v>
      </c>
      <c r="Y100" s="3292"/>
      <c r="Z100" s="3290"/>
      <c r="AA100" s="3290"/>
      <c r="AB100" s="3290"/>
      <c r="AC100" s="3290"/>
      <c r="AD100" s="3290"/>
      <c r="AE100" s="3290"/>
      <c r="AF100" s="3290"/>
      <c r="AG100" s="3290"/>
      <c r="AH100" s="3290"/>
      <c r="AI100" s="3290"/>
      <c r="AJ100" s="3290"/>
      <c r="AK100" s="3290"/>
      <c r="AL100" s="3290"/>
      <c r="AM100" s="3290"/>
      <c r="AN100" s="3169"/>
      <c r="AO100" s="934">
        <v>43539</v>
      </c>
      <c r="AP100" s="934">
        <v>43819</v>
      </c>
      <c r="AQ100" s="3201"/>
      <c r="AR100" s="1867"/>
      <c r="AS100" s="1867"/>
      <c r="AT100" s="1867"/>
      <c r="AU100" s="1867"/>
      <c r="AV100" s="1867"/>
      <c r="AW100" s="1867"/>
      <c r="AX100" s="1867"/>
      <c r="AY100" s="1867"/>
      <c r="AZ100" s="1867"/>
      <c r="BA100" s="1867"/>
      <c r="BB100" s="1867"/>
      <c r="BC100" s="1867"/>
      <c r="BD100" s="1867"/>
      <c r="BE100" s="1867"/>
      <c r="BF100" s="1867"/>
      <c r="BG100" s="1867"/>
      <c r="BH100" s="1867"/>
      <c r="BI100" s="1867"/>
      <c r="BJ100" s="1867"/>
      <c r="BK100" s="1867"/>
      <c r="BL100" s="1867"/>
      <c r="BM100" s="1867"/>
      <c r="BN100" s="1867"/>
      <c r="BO100" s="1867"/>
      <c r="BP100" s="1867"/>
      <c r="BQ100" s="1867"/>
    </row>
    <row r="101" spans="1:69" s="369" customFormat="1" ht="15" customHeight="1" x14ac:dyDescent="0.2">
      <c r="A101" s="3341"/>
      <c r="B101" s="3345"/>
      <c r="C101" s="3346"/>
      <c r="D101" s="3258"/>
      <c r="E101" s="3259"/>
      <c r="F101" s="3259"/>
      <c r="G101" s="904">
        <v>79</v>
      </c>
      <c r="H101" s="717" t="s">
        <v>1283</v>
      </c>
      <c r="I101" s="717"/>
      <c r="J101" s="744"/>
      <c r="K101" s="921"/>
      <c r="L101" s="922"/>
      <c r="M101" s="779"/>
      <c r="N101" s="774"/>
      <c r="O101" s="937"/>
      <c r="P101" s="719"/>
      <c r="Q101" s="1169"/>
      <c r="R101" s="923"/>
      <c r="S101" s="921"/>
      <c r="T101" s="921"/>
      <c r="U101" s="921"/>
      <c r="V101" s="2287"/>
      <c r="W101" s="722"/>
      <c r="X101" s="2329"/>
      <c r="Y101" s="722"/>
      <c r="Z101" s="722"/>
      <c r="AA101" s="722"/>
      <c r="AB101" s="722"/>
      <c r="AC101" s="722"/>
      <c r="AD101" s="722"/>
      <c r="AE101" s="722"/>
      <c r="AF101" s="722"/>
      <c r="AG101" s="722"/>
      <c r="AH101" s="722"/>
      <c r="AI101" s="722"/>
      <c r="AJ101" s="722"/>
      <c r="AK101" s="722"/>
      <c r="AL101" s="722"/>
      <c r="AM101" s="722"/>
      <c r="AN101" s="722"/>
      <c r="AO101" s="722"/>
      <c r="AP101" s="722"/>
      <c r="AQ101" s="928"/>
      <c r="AR101" s="1867"/>
      <c r="AS101" s="1867"/>
      <c r="AT101" s="1867"/>
      <c r="AU101" s="1867"/>
      <c r="AV101" s="1867"/>
      <c r="AW101" s="1867"/>
      <c r="AX101" s="1867"/>
      <c r="AY101" s="1867"/>
      <c r="AZ101" s="1867"/>
      <c r="BA101" s="1867"/>
      <c r="BB101" s="1867"/>
      <c r="BC101" s="1867"/>
      <c r="BD101" s="1867"/>
      <c r="BE101" s="1867"/>
      <c r="BF101" s="1867"/>
      <c r="BG101" s="1867"/>
      <c r="BH101" s="1867"/>
      <c r="BI101" s="1867"/>
      <c r="BJ101" s="1867"/>
      <c r="BK101" s="1867"/>
      <c r="BL101" s="1867"/>
      <c r="BM101" s="1867"/>
      <c r="BN101" s="1867"/>
      <c r="BO101" s="1867"/>
      <c r="BP101" s="1867"/>
      <c r="BQ101" s="1867"/>
    </row>
    <row r="102" spans="1:69" s="362" customFormat="1" ht="57" customHeight="1" x14ac:dyDescent="0.2">
      <c r="A102" s="3341"/>
      <c r="B102" s="3345"/>
      <c r="C102" s="3346"/>
      <c r="D102" s="3258"/>
      <c r="E102" s="3259"/>
      <c r="F102" s="3259"/>
      <c r="G102" s="369"/>
      <c r="H102" s="913"/>
      <c r="I102" s="914"/>
      <c r="J102" s="3270">
        <v>231</v>
      </c>
      <c r="K102" s="3231" t="s">
        <v>1284</v>
      </c>
      <c r="L102" s="3231" t="s">
        <v>1285</v>
      </c>
      <c r="M102" s="3230">
        <v>1</v>
      </c>
      <c r="N102" s="3196" t="s">
        <v>1286</v>
      </c>
      <c r="O102" s="3275" t="s">
        <v>1287</v>
      </c>
      <c r="P102" s="3276" t="s">
        <v>1288</v>
      </c>
      <c r="Q102" s="3262">
        <f>SUM(V102:V103)/R102</f>
        <v>0.10344827586206896</v>
      </c>
      <c r="R102" s="3226">
        <f>SUM(V102:V111)</f>
        <v>58000000</v>
      </c>
      <c r="S102" s="3179" t="s">
        <v>1289</v>
      </c>
      <c r="T102" s="3179" t="s">
        <v>1290</v>
      </c>
      <c r="U102" s="1633" t="s">
        <v>1291</v>
      </c>
      <c r="V102" s="2288">
        <v>3000000</v>
      </c>
      <c r="W102" s="1635" t="s">
        <v>60</v>
      </c>
      <c r="X102" s="2330" t="s">
        <v>1252</v>
      </c>
      <c r="Y102" s="3273">
        <v>638</v>
      </c>
      <c r="Z102" s="3271">
        <v>612</v>
      </c>
      <c r="AA102" s="3271">
        <v>380</v>
      </c>
      <c r="AB102" s="3271">
        <v>280</v>
      </c>
      <c r="AC102" s="3271">
        <v>161</v>
      </c>
      <c r="AD102" s="3271">
        <v>429</v>
      </c>
      <c r="AE102" s="3271"/>
      <c r="AF102" s="3271"/>
      <c r="AG102" s="3271"/>
      <c r="AH102" s="3271"/>
      <c r="AI102" s="3271"/>
      <c r="AJ102" s="3271"/>
      <c r="AK102" s="3271"/>
      <c r="AL102" s="3271"/>
      <c r="AM102" s="3271"/>
      <c r="AN102" s="3168">
        <f>+Y102+Z102</f>
        <v>1250</v>
      </c>
      <c r="AO102" s="924">
        <v>43490</v>
      </c>
      <c r="AP102" s="924">
        <v>43600</v>
      </c>
      <c r="AQ102" s="3151" t="s">
        <v>1229</v>
      </c>
      <c r="AR102" s="1867"/>
      <c r="AS102" s="1867"/>
      <c r="AT102" s="1867"/>
      <c r="AU102" s="1867"/>
      <c r="AV102" s="1867"/>
      <c r="AW102" s="1867"/>
      <c r="AX102" s="1867"/>
      <c r="AY102" s="1867"/>
      <c r="AZ102" s="1867"/>
      <c r="BA102" s="1867"/>
      <c r="BB102" s="1867"/>
      <c r="BC102" s="1867"/>
      <c r="BD102" s="1867"/>
      <c r="BE102" s="1867"/>
      <c r="BF102" s="1867"/>
      <c r="BG102" s="1867"/>
      <c r="BH102" s="1867"/>
      <c r="BI102" s="1867"/>
      <c r="BJ102" s="1867"/>
      <c r="BK102" s="1867"/>
      <c r="BL102" s="1867"/>
      <c r="BM102" s="1867"/>
      <c r="BN102" s="1867"/>
      <c r="BO102" s="1867"/>
      <c r="BP102" s="1867"/>
      <c r="BQ102" s="1867"/>
    </row>
    <row r="103" spans="1:69" s="362" customFormat="1" ht="65.25" customHeight="1" x14ac:dyDescent="0.2">
      <c r="A103" s="3341"/>
      <c r="B103" s="3345"/>
      <c r="C103" s="3346"/>
      <c r="D103" s="3258"/>
      <c r="E103" s="3259"/>
      <c r="F103" s="3259"/>
      <c r="G103" s="369"/>
      <c r="H103" s="916"/>
      <c r="I103" s="917"/>
      <c r="J103" s="3270"/>
      <c r="K103" s="3231"/>
      <c r="L103" s="3231"/>
      <c r="M103" s="3230"/>
      <c r="N103" s="3184"/>
      <c r="O103" s="3160"/>
      <c r="P103" s="3176"/>
      <c r="Q103" s="3262"/>
      <c r="R103" s="3227"/>
      <c r="S103" s="3179"/>
      <c r="T103" s="3179"/>
      <c r="U103" s="1633" t="s">
        <v>1292</v>
      </c>
      <c r="V103" s="2288">
        <v>3000000</v>
      </c>
      <c r="W103" s="1636">
        <v>20</v>
      </c>
      <c r="X103" s="2330" t="s">
        <v>61</v>
      </c>
      <c r="Y103" s="3274"/>
      <c r="Z103" s="3272"/>
      <c r="AA103" s="3272"/>
      <c r="AB103" s="3272"/>
      <c r="AC103" s="3272"/>
      <c r="AD103" s="3272"/>
      <c r="AE103" s="3272"/>
      <c r="AF103" s="3272"/>
      <c r="AG103" s="3272"/>
      <c r="AH103" s="3272"/>
      <c r="AI103" s="3272"/>
      <c r="AJ103" s="3272"/>
      <c r="AK103" s="3272"/>
      <c r="AL103" s="3272"/>
      <c r="AM103" s="3272"/>
      <c r="AN103" s="3169"/>
      <c r="AO103" s="924">
        <v>43490</v>
      </c>
      <c r="AP103" s="924">
        <v>43600</v>
      </c>
      <c r="AQ103" s="3152"/>
      <c r="AR103" s="1867"/>
      <c r="AS103" s="1867"/>
      <c r="AT103" s="1867"/>
      <c r="AU103" s="1867"/>
      <c r="AV103" s="1867"/>
      <c r="AW103" s="1867"/>
      <c r="AX103" s="1867"/>
      <c r="AY103" s="1867"/>
      <c r="AZ103" s="1867"/>
      <c r="BA103" s="1867"/>
      <c r="BB103" s="1867"/>
      <c r="BC103" s="1867"/>
      <c r="BD103" s="1867"/>
      <c r="BE103" s="1867"/>
      <c r="BF103" s="1867"/>
      <c r="BG103" s="1867"/>
      <c r="BH103" s="1867"/>
      <c r="BI103" s="1867"/>
      <c r="BJ103" s="1867"/>
      <c r="BK103" s="1867"/>
      <c r="BL103" s="1867"/>
      <c r="BM103" s="1867"/>
      <c r="BN103" s="1867"/>
      <c r="BO103" s="1867"/>
      <c r="BP103" s="1867"/>
      <c r="BQ103" s="1867"/>
    </row>
    <row r="104" spans="1:69" s="362" customFormat="1" ht="21" customHeight="1" x14ac:dyDescent="0.2">
      <c r="A104" s="3341"/>
      <c r="B104" s="3345"/>
      <c r="C104" s="3346"/>
      <c r="D104" s="3258"/>
      <c r="E104" s="3259"/>
      <c r="F104" s="3259"/>
      <c r="G104" s="369"/>
      <c r="H104" s="916"/>
      <c r="I104" s="917"/>
      <c r="J104" s="3270">
        <v>232</v>
      </c>
      <c r="K104" s="3231" t="s">
        <v>1293</v>
      </c>
      <c r="L104" s="3231" t="s">
        <v>1294</v>
      </c>
      <c r="M104" s="3230">
        <v>12</v>
      </c>
      <c r="N104" s="3184"/>
      <c r="O104" s="3160"/>
      <c r="P104" s="3176"/>
      <c r="Q104" s="3262">
        <f>SUM(V104:V108)/R102</f>
        <v>0.7068965517241379</v>
      </c>
      <c r="R104" s="3227"/>
      <c r="S104" s="3179"/>
      <c r="T104" s="3179"/>
      <c r="U104" s="3268" t="s">
        <v>1295</v>
      </c>
      <c r="V104" s="2288">
        <f>4000000+1000000</f>
        <v>5000000</v>
      </c>
      <c r="W104" s="1636">
        <v>20</v>
      </c>
      <c r="X104" s="2330" t="s">
        <v>61</v>
      </c>
      <c r="Y104" s="3274"/>
      <c r="Z104" s="3272"/>
      <c r="AA104" s="3272"/>
      <c r="AB104" s="3272"/>
      <c r="AC104" s="3272"/>
      <c r="AD104" s="3272"/>
      <c r="AE104" s="3272"/>
      <c r="AF104" s="3272"/>
      <c r="AG104" s="3272"/>
      <c r="AH104" s="3272"/>
      <c r="AI104" s="3272"/>
      <c r="AJ104" s="3272"/>
      <c r="AK104" s="3272"/>
      <c r="AL104" s="3272"/>
      <c r="AM104" s="3272"/>
      <c r="AN104" s="3169"/>
      <c r="AO104" s="924">
        <v>43723</v>
      </c>
      <c r="AP104" s="924">
        <v>43743</v>
      </c>
      <c r="AQ104" s="3152"/>
      <c r="AR104" s="1867"/>
      <c r="AS104" s="1867"/>
      <c r="AT104" s="1867"/>
      <c r="AU104" s="1867"/>
      <c r="AV104" s="1867"/>
      <c r="AW104" s="1867"/>
      <c r="AX104" s="1867"/>
      <c r="AY104" s="1867"/>
      <c r="AZ104" s="1867"/>
      <c r="BA104" s="1867"/>
      <c r="BB104" s="1867"/>
      <c r="BC104" s="1867"/>
      <c r="BD104" s="1867"/>
      <c r="BE104" s="1867"/>
      <c r="BF104" s="1867"/>
      <c r="BG104" s="1867"/>
      <c r="BH104" s="1867"/>
      <c r="BI104" s="1867"/>
      <c r="BJ104" s="1867"/>
      <c r="BK104" s="1867"/>
      <c r="BL104" s="1867"/>
      <c r="BM104" s="1867"/>
      <c r="BN104" s="1867"/>
      <c r="BO104" s="1867"/>
      <c r="BP104" s="1867"/>
      <c r="BQ104" s="1867"/>
    </row>
    <row r="105" spans="1:69" s="362" customFormat="1" ht="21" customHeight="1" x14ac:dyDescent="0.2">
      <c r="A105" s="3341"/>
      <c r="B105" s="3345"/>
      <c r="C105" s="3346"/>
      <c r="D105" s="3258"/>
      <c r="E105" s="3259"/>
      <c r="F105" s="3259"/>
      <c r="G105" s="369"/>
      <c r="H105" s="916"/>
      <c r="I105" s="917"/>
      <c r="J105" s="3270"/>
      <c r="K105" s="3231"/>
      <c r="L105" s="3231"/>
      <c r="M105" s="3230"/>
      <c r="N105" s="3184"/>
      <c r="O105" s="3160"/>
      <c r="P105" s="3176"/>
      <c r="Q105" s="3262"/>
      <c r="R105" s="3227"/>
      <c r="S105" s="3179"/>
      <c r="T105" s="3179"/>
      <c r="U105" s="3269"/>
      <c r="V105" s="2288">
        <f>0+30000000</f>
        <v>30000000</v>
      </c>
      <c r="W105" s="1636">
        <v>88</v>
      </c>
      <c r="X105" s="2330" t="s">
        <v>135</v>
      </c>
      <c r="Y105" s="3274"/>
      <c r="Z105" s="3272"/>
      <c r="AA105" s="3272"/>
      <c r="AB105" s="3272"/>
      <c r="AC105" s="3272"/>
      <c r="AD105" s="3272"/>
      <c r="AE105" s="3272"/>
      <c r="AF105" s="3272"/>
      <c r="AG105" s="3272"/>
      <c r="AH105" s="3272"/>
      <c r="AI105" s="3272"/>
      <c r="AJ105" s="3272"/>
      <c r="AK105" s="3272"/>
      <c r="AL105" s="3272"/>
      <c r="AM105" s="3272"/>
      <c r="AN105" s="3169"/>
      <c r="AO105" s="924"/>
      <c r="AP105" s="924"/>
      <c r="AQ105" s="3152"/>
      <c r="AR105" s="1867"/>
      <c r="AS105" s="1867"/>
      <c r="AT105" s="1867"/>
      <c r="AU105" s="1867"/>
      <c r="AV105" s="1867"/>
      <c r="AW105" s="1867"/>
      <c r="AX105" s="1867"/>
      <c r="AY105" s="1867"/>
      <c r="AZ105" s="1867"/>
      <c r="BA105" s="1867"/>
      <c r="BB105" s="1867"/>
      <c r="BC105" s="1867"/>
      <c r="BD105" s="1867"/>
      <c r="BE105" s="1867"/>
      <c r="BF105" s="1867"/>
      <c r="BG105" s="1867"/>
      <c r="BH105" s="1867"/>
      <c r="BI105" s="1867"/>
      <c r="BJ105" s="1867"/>
      <c r="BK105" s="1867"/>
      <c r="BL105" s="1867"/>
      <c r="BM105" s="1867"/>
      <c r="BN105" s="1867"/>
      <c r="BO105" s="1867"/>
      <c r="BP105" s="1867"/>
      <c r="BQ105" s="1867"/>
    </row>
    <row r="106" spans="1:69" s="362" customFormat="1" ht="54.75" customHeight="1" x14ac:dyDescent="0.2">
      <c r="A106" s="3341"/>
      <c r="B106" s="3345"/>
      <c r="C106" s="3346"/>
      <c r="D106" s="3258"/>
      <c r="E106" s="3259"/>
      <c r="F106" s="3259"/>
      <c r="G106" s="369"/>
      <c r="H106" s="916"/>
      <c r="I106" s="917"/>
      <c r="J106" s="3270"/>
      <c r="K106" s="3231"/>
      <c r="L106" s="3231"/>
      <c r="M106" s="3230"/>
      <c r="N106" s="3184"/>
      <c r="O106" s="3160"/>
      <c r="P106" s="3176"/>
      <c r="Q106" s="3262"/>
      <c r="R106" s="3227"/>
      <c r="S106" s="3179"/>
      <c r="T106" s="3179"/>
      <c r="U106" s="1633" t="s">
        <v>1296</v>
      </c>
      <c r="V106" s="2288">
        <v>5000000</v>
      </c>
      <c r="W106" s="1636">
        <v>20</v>
      </c>
      <c r="X106" s="2330" t="s">
        <v>61</v>
      </c>
      <c r="Y106" s="3274"/>
      <c r="Z106" s="3272"/>
      <c r="AA106" s="3272"/>
      <c r="AB106" s="3272"/>
      <c r="AC106" s="3272"/>
      <c r="AD106" s="3272"/>
      <c r="AE106" s="3272"/>
      <c r="AF106" s="3272"/>
      <c r="AG106" s="3272"/>
      <c r="AH106" s="3272"/>
      <c r="AI106" s="3272"/>
      <c r="AJ106" s="3272"/>
      <c r="AK106" s="3272"/>
      <c r="AL106" s="3272"/>
      <c r="AM106" s="3272"/>
      <c r="AN106" s="3169"/>
      <c r="AO106" s="924">
        <v>43490</v>
      </c>
      <c r="AP106" s="924">
        <v>43600</v>
      </c>
      <c r="AQ106" s="3152"/>
      <c r="AR106" s="1867"/>
      <c r="AS106" s="1867"/>
      <c r="AT106" s="1867"/>
      <c r="AU106" s="1867"/>
      <c r="AV106" s="1867"/>
      <c r="AW106" s="1867"/>
      <c r="AX106" s="1867"/>
      <c r="AY106" s="1867"/>
      <c r="AZ106" s="1867"/>
      <c r="BA106" s="1867"/>
      <c r="BB106" s="1867"/>
      <c r="BC106" s="1867"/>
      <c r="BD106" s="1867"/>
      <c r="BE106" s="1867"/>
      <c r="BF106" s="1867"/>
      <c r="BG106" s="1867"/>
      <c r="BH106" s="1867"/>
      <c r="BI106" s="1867"/>
      <c r="BJ106" s="1867"/>
      <c r="BK106" s="1867"/>
      <c r="BL106" s="1867"/>
      <c r="BM106" s="1867"/>
      <c r="BN106" s="1867"/>
      <c r="BO106" s="1867"/>
      <c r="BP106" s="1867"/>
      <c r="BQ106" s="1867"/>
    </row>
    <row r="107" spans="1:69" s="362" customFormat="1" ht="28.5" customHeight="1" x14ac:dyDescent="0.2">
      <c r="A107" s="3341"/>
      <c r="B107" s="3345"/>
      <c r="C107" s="3346"/>
      <c r="D107" s="3258"/>
      <c r="E107" s="3259"/>
      <c r="F107" s="3259"/>
      <c r="G107" s="369"/>
      <c r="H107" s="916"/>
      <c r="I107" s="917"/>
      <c r="J107" s="3270"/>
      <c r="K107" s="3231"/>
      <c r="L107" s="3231"/>
      <c r="M107" s="3230"/>
      <c r="N107" s="3184"/>
      <c r="O107" s="3160"/>
      <c r="P107" s="3176"/>
      <c r="Q107" s="3262"/>
      <c r="R107" s="3227"/>
      <c r="S107" s="3179"/>
      <c r="T107" s="3179"/>
      <c r="U107" s="1633" t="s">
        <v>1297</v>
      </c>
      <c r="V107" s="2288">
        <f>1000000-1000000</f>
        <v>0</v>
      </c>
      <c r="W107" s="1636">
        <v>20</v>
      </c>
      <c r="X107" s="2330" t="s">
        <v>61</v>
      </c>
      <c r="Y107" s="3274"/>
      <c r="Z107" s="3272"/>
      <c r="AA107" s="3272"/>
      <c r="AB107" s="3272"/>
      <c r="AC107" s="3272"/>
      <c r="AD107" s="3272"/>
      <c r="AE107" s="3272"/>
      <c r="AF107" s="3272"/>
      <c r="AG107" s="3272"/>
      <c r="AH107" s="3272"/>
      <c r="AI107" s="3272"/>
      <c r="AJ107" s="3272"/>
      <c r="AK107" s="3272"/>
      <c r="AL107" s="3272"/>
      <c r="AM107" s="3272"/>
      <c r="AN107" s="3169"/>
      <c r="AO107" s="924">
        <v>43539</v>
      </c>
      <c r="AP107" s="924">
        <v>43819</v>
      </c>
      <c r="AQ107" s="3152"/>
      <c r="AR107" s="1867"/>
      <c r="AS107" s="1867"/>
      <c r="AT107" s="1867"/>
      <c r="AU107" s="1867"/>
      <c r="AV107" s="1867"/>
      <c r="AW107" s="1867"/>
      <c r="AX107" s="1867"/>
      <c r="AY107" s="1867"/>
      <c r="AZ107" s="1867"/>
      <c r="BA107" s="1867"/>
      <c r="BB107" s="1867"/>
      <c r="BC107" s="1867"/>
      <c r="BD107" s="1867"/>
      <c r="BE107" s="1867"/>
      <c r="BF107" s="1867"/>
      <c r="BG107" s="1867"/>
      <c r="BH107" s="1867"/>
      <c r="BI107" s="1867"/>
      <c r="BJ107" s="1867"/>
      <c r="BK107" s="1867"/>
      <c r="BL107" s="1867"/>
      <c r="BM107" s="1867"/>
      <c r="BN107" s="1867"/>
      <c r="BO107" s="1867"/>
      <c r="BP107" s="1867"/>
      <c r="BQ107" s="1867"/>
    </row>
    <row r="108" spans="1:69" s="362" customFormat="1" ht="41.25" customHeight="1" x14ac:dyDescent="0.2">
      <c r="A108" s="3341"/>
      <c r="B108" s="3345"/>
      <c r="C108" s="3346"/>
      <c r="D108" s="3258"/>
      <c r="E108" s="3259"/>
      <c r="F108" s="3259"/>
      <c r="G108" s="369"/>
      <c r="H108" s="916"/>
      <c r="I108" s="917"/>
      <c r="J108" s="3270"/>
      <c r="K108" s="3231"/>
      <c r="L108" s="3231"/>
      <c r="M108" s="3230"/>
      <c r="N108" s="3184"/>
      <c r="O108" s="3160"/>
      <c r="P108" s="3176"/>
      <c r="Q108" s="3262"/>
      <c r="R108" s="3227"/>
      <c r="S108" s="3179"/>
      <c r="T108" s="3179"/>
      <c r="U108" s="1634" t="s">
        <v>1262</v>
      </c>
      <c r="V108" s="2288">
        <v>1000000</v>
      </c>
      <c r="W108" s="1636">
        <v>20</v>
      </c>
      <c r="X108" s="2330" t="s">
        <v>61</v>
      </c>
      <c r="Y108" s="3274"/>
      <c r="Z108" s="3272"/>
      <c r="AA108" s="3272"/>
      <c r="AB108" s="3272"/>
      <c r="AC108" s="3272"/>
      <c r="AD108" s="3272"/>
      <c r="AE108" s="3272"/>
      <c r="AF108" s="3272"/>
      <c r="AG108" s="3272"/>
      <c r="AH108" s="3272"/>
      <c r="AI108" s="3272"/>
      <c r="AJ108" s="3272"/>
      <c r="AK108" s="3272"/>
      <c r="AL108" s="3272"/>
      <c r="AM108" s="3272"/>
      <c r="AN108" s="3169"/>
      <c r="AO108" s="924">
        <v>43539</v>
      </c>
      <c r="AP108" s="924">
        <v>43819</v>
      </c>
      <c r="AQ108" s="3152"/>
      <c r="AR108" s="1867"/>
      <c r="AS108" s="1867"/>
      <c r="AT108" s="1867"/>
      <c r="AU108" s="1867"/>
      <c r="AV108" s="1867"/>
      <c r="AW108" s="1867"/>
      <c r="AX108" s="1867"/>
      <c r="AY108" s="1867"/>
      <c r="AZ108" s="1867"/>
      <c r="BA108" s="1867"/>
      <c r="BB108" s="1867"/>
      <c r="BC108" s="1867"/>
      <c r="BD108" s="1867"/>
      <c r="BE108" s="1867"/>
      <c r="BF108" s="1867"/>
      <c r="BG108" s="1867"/>
      <c r="BH108" s="1867"/>
      <c r="BI108" s="1867"/>
      <c r="BJ108" s="1867"/>
      <c r="BK108" s="1867"/>
      <c r="BL108" s="1867"/>
      <c r="BM108" s="1867"/>
      <c r="BN108" s="1867"/>
      <c r="BO108" s="1867"/>
      <c r="BP108" s="1867"/>
      <c r="BQ108" s="1867"/>
    </row>
    <row r="109" spans="1:69" s="362" customFormat="1" ht="69" customHeight="1" x14ac:dyDescent="0.2">
      <c r="A109" s="3341"/>
      <c r="B109" s="3345"/>
      <c r="C109" s="3346"/>
      <c r="D109" s="3258"/>
      <c r="E109" s="3259"/>
      <c r="F109" s="3259"/>
      <c r="G109" s="369"/>
      <c r="H109" s="916"/>
      <c r="I109" s="917"/>
      <c r="J109" s="3270">
        <v>233</v>
      </c>
      <c r="K109" s="3231" t="s">
        <v>1298</v>
      </c>
      <c r="L109" s="3231" t="s">
        <v>1299</v>
      </c>
      <c r="M109" s="3230">
        <v>1</v>
      </c>
      <c r="N109" s="3184"/>
      <c r="O109" s="3160"/>
      <c r="P109" s="3176"/>
      <c r="Q109" s="3262">
        <f>SUM(V109:V111)/R102</f>
        <v>0.18965517241379309</v>
      </c>
      <c r="R109" s="3227"/>
      <c r="S109" s="3179"/>
      <c r="T109" s="3179"/>
      <c r="U109" s="1633" t="s">
        <v>1300</v>
      </c>
      <c r="V109" s="2288">
        <f>4000000+4000000</f>
        <v>8000000</v>
      </c>
      <c r="W109" s="1636">
        <v>20</v>
      </c>
      <c r="X109" s="2330" t="s">
        <v>61</v>
      </c>
      <c r="Y109" s="3274"/>
      <c r="Z109" s="3272"/>
      <c r="AA109" s="3272"/>
      <c r="AB109" s="3272"/>
      <c r="AC109" s="3272"/>
      <c r="AD109" s="3272"/>
      <c r="AE109" s="3272"/>
      <c r="AF109" s="3272"/>
      <c r="AG109" s="3272"/>
      <c r="AH109" s="3272"/>
      <c r="AI109" s="3272"/>
      <c r="AJ109" s="3272"/>
      <c r="AK109" s="3272"/>
      <c r="AL109" s="3272"/>
      <c r="AM109" s="3272"/>
      <c r="AN109" s="3169"/>
      <c r="AO109" s="924">
        <v>43490</v>
      </c>
      <c r="AP109" s="924">
        <v>43600</v>
      </c>
      <c r="AQ109" s="3152"/>
      <c r="AR109" s="1867"/>
      <c r="AS109" s="1867"/>
      <c r="AT109" s="1867"/>
      <c r="AU109" s="1867"/>
      <c r="AV109" s="1867"/>
      <c r="AW109" s="1867"/>
      <c r="AX109" s="1867"/>
      <c r="AY109" s="1867"/>
      <c r="AZ109" s="1867"/>
      <c r="BA109" s="1867"/>
      <c r="BB109" s="1867"/>
      <c r="BC109" s="1867"/>
      <c r="BD109" s="1867"/>
      <c r="BE109" s="1867"/>
      <c r="BF109" s="1867"/>
      <c r="BG109" s="1867"/>
      <c r="BH109" s="1867"/>
      <c r="BI109" s="1867"/>
      <c r="BJ109" s="1867"/>
      <c r="BK109" s="1867"/>
      <c r="BL109" s="1867"/>
      <c r="BM109" s="1867"/>
      <c r="BN109" s="1867"/>
      <c r="BO109" s="1867"/>
      <c r="BP109" s="1867"/>
      <c r="BQ109" s="1867"/>
    </row>
    <row r="110" spans="1:69" s="362" customFormat="1" ht="64.5" customHeight="1" x14ac:dyDescent="0.2">
      <c r="A110" s="3341"/>
      <c r="B110" s="3345"/>
      <c r="C110" s="3346"/>
      <c r="D110" s="3258"/>
      <c r="E110" s="3259"/>
      <c r="F110" s="3259"/>
      <c r="G110" s="369"/>
      <c r="H110" s="916"/>
      <c r="I110" s="917"/>
      <c r="J110" s="3270"/>
      <c r="K110" s="3231"/>
      <c r="L110" s="3231"/>
      <c r="M110" s="3230"/>
      <c r="N110" s="3184"/>
      <c r="O110" s="3160"/>
      <c r="P110" s="3176"/>
      <c r="Q110" s="3262"/>
      <c r="R110" s="3227"/>
      <c r="S110" s="3179"/>
      <c r="T110" s="3179"/>
      <c r="U110" s="1633" t="s">
        <v>1301</v>
      </c>
      <c r="V110" s="2288">
        <f>4000000-4000000</f>
        <v>0</v>
      </c>
      <c r="W110" s="1636">
        <v>20</v>
      </c>
      <c r="X110" s="2330" t="s">
        <v>61</v>
      </c>
      <c r="Y110" s="3274"/>
      <c r="Z110" s="3272"/>
      <c r="AA110" s="3272"/>
      <c r="AB110" s="3272"/>
      <c r="AC110" s="3272"/>
      <c r="AD110" s="3272"/>
      <c r="AE110" s="3272"/>
      <c r="AF110" s="3272"/>
      <c r="AG110" s="3272"/>
      <c r="AH110" s="3272"/>
      <c r="AI110" s="3272"/>
      <c r="AJ110" s="3272"/>
      <c r="AK110" s="3272"/>
      <c r="AL110" s="3272"/>
      <c r="AM110" s="3272"/>
      <c r="AN110" s="3169"/>
      <c r="AO110" s="924">
        <v>43490</v>
      </c>
      <c r="AP110" s="924">
        <v>43600</v>
      </c>
      <c r="AQ110" s="3152"/>
      <c r="AR110" s="1867"/>
      <c r="AS110" s="1867"/>
      <c r="AT110" s="1867"/>
      <c r="AU110" s="1867"/>
      <c r="AV110" s="1867"/>
      <c r="AW110" s="1867"/>
      <c r="AX110" s="1867"/>
      <c r="AY110" s="1867"/>
      <c r="AZ110" s="1867"/>
      <c r="BA110" s="1867"/>
      <c r="BB110" s="1867"/>
      <c r="BC110" s="1867"/>
      <c r="BD110" s="1867"/>
      <c r="BE110" s="1867"/>
      <c r="BF110" s="1867"/>
      <c r="BG110" s="1867"/>
      <c r="BH110" s="1867"/>
      <c r="BI110" s="1867"/>
      <c r="BJ110" s="1867"/>
      <c r="BK110" s="1867"/>
      <c r="BL110" s="1867"/>
      <c r="BM110" s="1867"/>
      <c r="BN110" s="1867"/>
      <c r="BO110" s="1867"/>
      <c r="BP110" s="1867"/>
      <c r="BQ110" s="1867"/>
    </row>
    <row r="111" spans="1:69" s="362" customFormat="1" ht="39.75" customHeight="1" x14ac:dyDescent="0.2">
      <c r="A111" s="3341"/>
      <c r="B111" s="3345"/>
      <c r="C111" s="3346"/>
      <c r="D111" s="3258"/>
      <c r="E111" s="3259"/>
      <c r="F111" s="3259"/>
      <c r="G111" s="369"/>
      <c r="H111" s="919"/>
      <c r="I111" s="920"/>
      <c r="J111" s="3270"/>
      <c r="K111" s="3231"/>
      <c r="L111" s="3231"/>
      <c r="M111" s="3230"/>
      <c r="N111" s="3184"/>
      <c r="O111" s="3160"/>
      <c r="P111" s="3176"/>
      <c r="Q111" s="3262"/>
      <c r="R111" s="3228"/>
      <c r="S111" s="3179"/>
      <c r="T111" s="3179"/>
      <c r="U111" s="1633" t="s">
        <v>1302</v>
      </c>
      <c r="V111" s="2288">
        <v>3000000</v>
      </c>
      <c r="W111" s="1636">
        <v>20</v>
      </c>
      <c r="X111" s="2330" t="s">
        <v>61</v>
      </c>
      <c r="Y111" s="3274"/>
      <c r="Z111" s="3272"/>
      <c r="AA111" s="3272"/>
      <c r="AB111" s="3272"/>
      <c r="AC111" s="3272"/>
      <c r="AD111" s="3272"/>
      <c r="AE111" s="3272"/>
      <c r="AF111" s="3272"/>
      <c r="AG111" s="3272"/>
      <c r="AH111" s="3272"/>
      <c r="AI111" s="3272"/>
      <c r="AJ111" s="3272"/>
      <c r="AK111" s="3272"/>
      <c r="AL111" s="3272"/>
      <c r="AM111" s="3272"/>
      <c r="AN111" s="3169"/>
      <c r="AO111" s="924">
        <v>43534</v>
      </c>
      <c r="AP111" s="934">
        <v>43753</v>
      </c>
      <c r="AQ111" s="3152"/>
      <c r="AR111" s="1867"/>
      <c r="AS111" s="1867"/>
      <c r="AT111" s="1867"/>
      <c r="AU111" s="1867"/>
      <c r="AV111" s="1867"/>
      <c r="AW111" s="1867"/>
      <c r="AX111" s="1867"/>
      <c r="AY111" s="1867"/>
      <c r="AZ111" s="1867"/>
      <c r="BA111" s="1867"/>
      <c r="BB111" s="1867"/>
      <c r="BC111" s="1867"/>
      <c r="BD111" s="1867"/>
      <c r="BE111" s="1867"/>
      <c r="BF111" s="1867"/>
      <c r="BG111" s="1867"/>
      <c r="BH111" s="1867"/>
      <c r="BI111" s="1867"/>
      <c r="BJ111" s="1867"/>
      <c r="BK111" s="1867"/>
      <c r="BL111" s="1867"/>
      <c r="BM111" s="1867"/>
      <c r="BN111" s="1867"/>
      <c r="BO111" s="1867"/>
      <c r="BP111" s="1867"/>
      <c r="BQ111" s="1867"/>
    </row>
    <row r="112" spans="1:69" s="369" customFormat="1" ht="15" customHeight="1" x14ac:dyDescent="0.2">
      <c r="A112" s="3341"/>
      <c r="B112" s="3345"/>
      <c r="C112" s="3346"/>
      <c r="D112" s="3258"/>
      <c r="E112" s="3259"/>
      <c r="F112" s="3259"/>
      <c r="G112" s="904">
        <v>80</v>
      </c>
      <c r="H112" s="717" t="s">
        <v>1303</v>
      </c>
      <c r="I112" s="717"/>
      <c r="J112" s="744"/>
      <c r="K112" s="921"/>
      <c r="L112" s="922"/>
      <c r="M112" s="779"/>
      <c r="N112" s="774"/>
      <c r="O112" s="775"/>
      <c r="P112" s="719"/>
      <c r="Q112" s="746"/>
      <c r="R112" s="923"/>
      <c r="S112" s="921"/>
      <c r="T112" s="921"/>
      <c r="U112" s="921"/>
      <c r="V112" s="2289"/>
      <c r="W112" s="2331"/>
      <c r="X112" s="921"/>
      <c r="Y112" s="717"/>
      <c r="Z112" s="717"/>
      <c r="AA112" s="717"/>
      <c r="AB112" s="717"/>
      <c r="AC112" s="717"/>
      <c r="AD112" s="717"/>
      <c r="AE112" s="717"/>
      <c r="AF112" s="717"/>
      <c r="AG112" s="717"/>
      <c r="AH112" s="717"/>
      <c r="AI112" s="717"/>
      <c r="AJ112" s="717"/>
      <c r="AK112" s="724"/>
      <c r="AL112" s="724"/>
      <c r="AM112" s="724"/>
      <c r="AN112" s="724"/>
      <c r="AO112" s="724"/>
      <c r="AP112" s="724"/>
      <c r="AQ112" s="939"/>
      <c r="AR112" s="1867"/>
      <c r="AS112" s="1867"/>
      <c r="AT112" s="1867"/>
      <c r="AU112" s="1867"/>
      <c r="AV112" s="1867"/>
      <c r="AW112" s="1867"/>
      <c r="AX112" s="1867"/>
      <c r="AY112" s="1867"/>
      <c r="AZ112" s="1867"/>
      <c r="BA112" s="1867"/>
      <c r="BB112" s="1867"/>
      <c r="BC112" s="1867"/>
      <c r="BD112" s="1867"/>
      <c r="BE112" s="1867"/>
      <c r="BF112" s="1867"/>
      <c r="BG112" s="1867"/>
      <c r="BH112" s="1867"/>
      <c r="BI112" s="1867"/>
      <c r="BJ112" s="1867"/>
      <c r="BK112" s="1867"/>
      <c r="BL112" s="1867"/>
      <c r="BM112" s="1867"/>
      <c r="BN112" s="1867"/>
      <c r="BO112" s="1867"/>
      <c r="BP112" s="1867"/>
      <c r="BQ112" s="1867"/>
    </row>
    <row r="113" spans="1:69" s="362" customFormat="1" ht="42.75" customHeight="1" x14ac:dyDescent="0.2">
      <c r="A113" s="3341"/>
      <c r="B113" s="3345"/>
      <c r="C113" s="3346"/>
      <c r="D113" s="3258"/>
      <c r="E113" s="3259"/>
      <c r="F113" s="3259"/>
      <c r="G113" s="369"/>
      <c r="H113" s="913"/>
      <c r="I113" s="914"/>
      <c r="J113" s="3230">
        <v>234</v>
      </c>
      <c r="K113" s="3231" t="s">
        <v>1304</v>
      </c>
      <c r="L113" s="3231" t="s">
        <v>1305</v>
      </c>
      <c r="M113" s="3182">
        <v>2</v>
      </c>
      <c r="N113" s="3196" t="s">
        <v>1306</v>
      </c>
      <c r="O113" s="3160" t="s">
        <v>1307</v>
      </c>
      <c r="P113" s="3176" t="s">
        <v>1308</v>
      </c>
      <c r="Q113" s="3262">
        <f>SUM(V113:V117)/R113</f>
        <v>0.22058823529411764</v>
      </c>
      <c r="R113" s="3263">
        <f>SUM(V113:V130)</f>
        <v>68000000</v>
      </c>
      <c r="S113" s="3179" t="s">
        <v>1309</v>
      </c>
      <c r="T113" s="3179" t="s">
        <v>1310</v>
      </c>
      <c r="U113" s="1400" t="s">
        <v>1311</v>
      </c>
      <c r="V113" s="2290">
        <f>5000000-5000000</f>
        <v>0</v>
      </c>
      <c r="W113" s="1401" t="s">
        <v>60</v>
      </c>
      <c r="X113" s="2332" t="s">
        <v>1252</v>
      </c>
      <c r="Y113" s="3168">
        <v>638</v>
      </c>
      <c r="Z113" s="3168">
        <v>612</v>
      </c>
      <c r="AA113" s="3168">
        <v>380</v>
      </c>
      <c r="AB113" s="3168">
        <v>280</v>
      </c>
      <c r="AC113" s="3168">
        <v>161</v>
      </c>
      <c r="AD113" s="3168">
        <v>429</v>
      </c>
      <c r="AE113" s="3168"/>
      <c r="AF113" s="3168"/>
      <c r="AG113" s="3168"/>
      <c r="AH113" s="3168"/>
      <c r="AI113" s="3168"/>
      <c r="AJ113" s="3168"/>
      <c r="AK113" s="3168"/>
      <c r="AL113" s="3168"/>
      <c r="AM113" s="3168"/>
      <c r="AN113" s="3168">
        <f>+Y113+Z113</f>
        <v>1250</v>
      </c>
      <c r="AO113" s="924">
        <v>43480</v>
      </c>
      <c r="AP113" s="924">
        <v>43600</v>
      </c>
      <c r="AQ113" s="3151" t="s">
        <v>1229</v>
      </c>
      <c r="AR113" s="1867"/>
      <c r="AS113" s="1867"/>
      <c r="AT113" s="1867"/>
      <c r="AU113" s="1867"/>
      <c r="AV113" s="1867"/>
      <c r="AW113" s="1867"/>
      <c r="AX113" s="1867"/>
      <c r="AY113" s="1867"/>
      <c r="AZ113" s="1867"/>
      <c r="BA113" s="1867"/>
      <c r="BB113" s="1867"/>
      <c r="BC113" s="1867"/>
      <c r="BD113" s="1867"/>
      <c r="BE113" s="1867"/>
      <c r="BF113" s="1867"/>
      <c r="BG113" s="1867"/>
      <c r="BH113" s="1867"/>
      <c r="BI113" s="1867"/>
      <c r="BJ113" s="1867"/>
      <c r="BK113" s="1867"/>
      <c r="BL113" s="1867"/>
      <c r="BM113" s="1867"/>
      <c r="BN113" s="1867"/>
      <c r="BO113" s="1867"/>
      <c r="BP113" s="1867"/>
      <c r="BQ113" s="1867"/>
    </row>
    <row r="114" spans="1:69" s="362" customFormat="1" ht="38.25" customHeight="1" x14ac:dyDescent="0.2">
      <c r="A114" s="3341"/>
      <c r="B114" s="3345"/>
      <c r="C114" s="3346"/>
      <c r="D114" s="3258"/>
      <c r="E114" s="3259"/>
      <c r="F114" s="3259"/>
      <c r="G114" s="369"/>
      <c r="H114" s="916"/>
      <c r="I114" s="917"/>
      <c r="J114" s="3230"/>
      <c r="K114" s="3231"/>
      <c r="L114" s="3231"/>
      <c r="M114" s="3182"/>
      <c r="N114" s="3184"/>
      <c r="O114" s="3160"/>
      <c r="P114" s="3176"/>
      <c r="Q114" s="3262"/>
      <c r="R114" s="3264"/>
      <c r="S114" s="3179"/>
      <c r="T114" s="3179"/>
      <c r="U114" s="3242" t="s">
        <v>1312</v>
      </c>
      <c r="V114" s="2291">
        <f>0+5000000</f>
        <v>5000000</v>
      </c>
      <c r="W114" s="1401" t="s">
        <v>60</v>
      </c>
      <c r="X114" s="2332" t="s">
        <v>1252</v>
      </c>
      <c r="Y114" s="3168"/>
      <c r="Z114" s="3168"/>
      <c r="AA114" s="3168"/>
      <c r="AB114" s="3168"/>
      <c r="AC114" s="3168"/>
      <c r="AD114" s="3168"/>
      <c r="AE114" s="3168"/>
      <c r="AF114" s="3168"/>
      <c r="AG114" s="3168"/>
      <c r="AH114" s="3168"/>
      <c r="AI114" s="3168"/>
      <c r="AJ114" s="3168"/>
      <c r="AK114" s="3168"/>
      <c r="AL114" s="3168"/>
      <c r="AM114" s="3168"/>
      <c r="AN114" s="3168"/>
      <c r="AO114" s="924"/>
      <c r="AP114" s="924"/>
      <c r="AQ114" s="3151"/>
      <c r="AR114" s="1867"/>
      <c r="AS114" s="1867"/>
      <c r="AT114" s="1867"/>
      <c r="AU114" s="1867"/>
      <c r="AV114" s="1867"/>
      <c r="AW114" s="1867"/>
      <c r="AX114" s="1867"/>
      <c r="AY114" s="1867"/>
      <c r="AZ114" s="1867"/>
      <c r="BA114" s="1867"/>
      <c r="BB114" s="1867"/>
      <c r="BC114" s="1867"/>
      <c r="BD114" s="1867"/>
      <c r="BE114" s="1867"/>
      <c r="BF114" s="1867"/>
      <c r="BG114" s="1867"/>
      <c r="BH114" s="1867"/>
      <c r="BI114" s="1867"/>
      <c r="BJ114" s="1867"/>
      <c r="BK114" s="1867"/>
      <c r="BL114" s="1867"/>
      <c r="BM114" s="1867"/>
      <c r="BN114" s="1867"/>
      <c r="BO114" s="1867"/>
      <c r="BP114" s="1867"/>
      <c r="BQ114" s="1867"/>
    </row>
    <row r="115" spans="1:69" s="362" customFormat="1" ht="38.25" customHeight="1" x14ac:dyDescent="0.2">
      <c r="A115" s="3341"/>
      <c r="B115" s="3345"/>
      <c r="C115" s="3346"/>
      <c r="D115" s="3258"/>
      <c r="E115" s="3259"/>
      <c r="F115" s="3259"/>
      <c r="G115" s="369"/>
      <c r="H115" s="916"/>
      <c r="I115" s="917"/>
      <c r="J115" s="3230"/>
      <c r="K115" s="3231"/>
      <c r="L115" s="3231"/>
      <c r="M115" s="3182"/>
      <c r="N115" s="3184"/>
      <c r="O115" s="3160"/>
      <c r="P115" s="3176"/>
      <c r="Q115" s="3262"/>
      <c r="R115" s="3264"/>
      <c r="S115" s="3179"/>
      <c r="T115" s="3179"/>
      <c r="U115" s="3243"/>
      <c r="V115" s="2291">
        <f>0+3000000</f>
        <v>3000000</v>
      </c>
      <c r="W115" s="1401">
        <v>88</v>
      </c>
      <c r="X115" s="2332" t="s">
        <v>1313</v>
      </c>
      <c r="Y115" s="3168"/>
      <c r="Z115" s="3168"/>
      <c r="AA115" s="3168"/>
      <c r="AB115" s="3168"/>
      <c r="AC115" s="3168"/>
      <c r="AD115" s="3168"/>
      <c r="AE115" s="3168"/>
      <c r="AF115" s="3168"/>
      <c r="AG115" s="3168"/>
      <c r="AH115" s="3168"/>
      <c r="AI115" s="3168"/>
      <c r="AJ115" s="3168"/>
      <c r="AK115" s="3168"/>
      <c r="AL115" s="3168"/>
      <c r="AM115" s="3168"/>
      <c r="AN115" s="3168"/>
      <c r="AO115" s="924"/>
      <c r="AP115" s="924"/>
      <c r="AQ115" s="3151"/>
      <c r="AR115" s="1867"/>
      <c r="AS115" s="1867"/>
      <c r="AT115" s="1867"/>
      <c r="AU115" s="1867"/>
      <c r="AV115" s="1867"/>
      <c r="AW115" s="1867"/>
      <c r="AX115" s="1867"/>
      <c r="AY115" s="1867"/>
      <c r="AZ115" s="1867"/>
      <c r="BA115" s="1867"/>
      <c r="BB115" s="1867"/>
      <c r="BC115" s="1867"/>
      <c r="BD115" s="1867"/>
      <c r="BE115" s="1867"/>
      <c r="BF115" s="1867"/>
      <c r="BG115" s="1867"/>
      <c r="BH115" s="1867"/>
      <c r="BI115" s="1867"/>
      <c r="BJ115" s="1867"/>
      <c r="BK115" s="1867"/>
      <c r="BL115" s="1867"/>
      <c r="BM115" s="1867"/>
      <c r="BN115" s="1867"/>
      <c r="BO115" s="1867"/>
      <c r="BP115" s="1867"/>
      <c r="BQ115" s="1867"/>
    </row>
    <row r="116" spans="1:69" s="362" customFormat="1" ht="38.25" customHeight="1" x14ac:dyDescent="0.2">
      <c r="A116" s="3341"/>
      <c r="B116" s="3345"/>
      <c r="C116" s="3346"/>
      <c r="D116" s="3258"/>
      <c r="E116" s="3259"/>
      <c r="F116" s="3259"/>
      <c r="G116" s="369"/>
      <c r="H116" s="916"/>
      <c r="I116" s="917"/>
      <c r="J116" s="3230"/>
      <c r="K116" s="3231"/>
      <c r="L116" s="3231"/>
      <c r="M116" s="3182"/>
      <c r="N116" s="3184"/>
      <c r="O116" s="3160"/>
      <c r="P116" s="3176"/>
      <c r="Q116" s="3262"/>
      <c r="R116" s="3264"/>
      <c r="S116" s="3179"/>
      <c r="T116" s="3179"/>
      <c r="U116" s="3249" t="s">
        <v>1314</v>
      </c>
      <c r="V116" s="2291">
        <v>5000000</v>
      </c>
      <c r="W116" s="1395">
        <v>20</v>
      </c>
      <c r="X116" s="2332" t="s">
        <v>61</v>
      </c>
      <c r="Y116" s="3168"/>
      <c r="Z116" s="3168"/>
      <c r="AA116" s="3168"/>
      <c r="AB116" s="3168"/>
      <c r="AC116" s="3168"/>
      <c r="AD116" s="3168"/>
      <c r="AE116" s="3168"/>
      <c r="AF116" s="3168"/>
      <c r="AG116" s="3168"/>
      <c r="AH116" s="3168"/>
      <c r="AI116" s="3168"/>
      <c r="AJ116" s="3168"/>
      <c r="AK116" s="3168"/>
      <c r="AL116" s="3168"/>
      <c r="AM116" s="3168"/>
      <c r="AN116" s="3168"/>
      <c r="AO116" s="924"/>
      <c r="AP116" s="924"/>
      <c r="AQ116" s="3151"/>
      <c r="AR116" s="1867"/>
      <c r="AS116" s="1867"/>
      <c r="AT116" s="1867"/>
      <c r="AU116" s="1867"/>
      <c r="AV116" s="1867"/>
      <c r="AW116" s="1867"/>
      <c r="AX116" s="1867"/>
      <c r="AY116" s="1867"/>
      <c r="AZ116" s="1867"/>
      <c r="BA116" s="1867"/>
      <c r="BB116" s="1867"/>
      <c r="BC116" s="1867"/>
      <c r="BD116" s="1867"/>
      <c r="BE116" s="1867"/>
      <c r="BF116" s="1867"/>
      <c r="BG116" s="1867"/>
      <c r="BH116" s="1867"/>
      <c r="BI116" s="1867"/>
      <c r="BJ116" s="1867"/>
      <c r="BK116" s="1867"/>
      <c r="BL116" s="1867"/>
      <c r="BM116" s="1867"/>
      <c r="BN116" s="1867"/>
      <c r="BO116" s="1867"/>
      <c r="BP116" s="1867"/>
      <c r="BQ116" s="1867"/>
    </row>
    <row r="117" spans="1:69" s="362" customFormat="1" ht="33" customHeight="1" x14ac:dyDescent="0.2">
      <c r="A117" s="3341"/>
      <c r="B117" s="3345"/>
      <c r="C117" s="3346"/>
      <c r="D117" s="3258"/>
      <c r="E117" s="3259"/>
      <c r="F117" s="3259"/>
      <c r="G117" s="369"/>
      <c r="H117" s="916"/>
      <c r="I117" s="917"/>
      <c r="J117" s="3230"/>
      <c r="K117" s="3231"/>
      <c r="L117" s="3231"/>
      <c r="M117" s="3182"/>
      <c r="N117" s="3184"/>
      <c r="O117" s="3160"/>
      <c r="P117" s="3176"/>
      <c r="Q117" s="3262"/>
      <c r="R117" s="3264"/>
      <c r="S117" s="3179"/>
      <c r="T117" s="3179"/>
      <c r="U117" s="3248"/>
      <c r="V117" s="2291">
        <f>0+2000000</f>
        <v>2000000</v>
      </c>
      <c r="W117" s="1401">
        <v>88</v>
      </c>
      <c r="X117" s="2332" t="s">
        <v>1313</v>
      </c>
      <c r="Y117" s="3169"/>
      <c r="Z117" s="3169"/>
      <c r="AA117" s="3169"/>
      <c r="AB117" s="3169"/>
      <c r="AC117" s="3169"/>
      <c r="AD117" s="3169"/>
      <c r="AE117" s="3169"/>
      <c r="AF117" s="3169"/>
      <c r="AG117" s="3169"/>
      <c r="AH117" s="3169"/>
      <c r="AI117" s="3169"/>
      <c r="AJ117" s="3169"/>
      <c r="AK117" s="3169"/>
      <c r="AL117" s="3169"/>
      <c r="AM117" s="3169"/>
      <c r="AN117" s="3169"/>
      <c r="AO117" s="924">
        <v>43480</v>
      </c>
      <c r="AP117" s="924">
        <v>43600</v>
      </c>
      <c r="AQ117" s="3152"/>
      <c r="AR117" s="1867"/>
      <c r="AS117" s="1867"/>
      <c r="AT117" s="1867"/>
      <c r="AU117" s="1867"/>
      <c r="AV117" s="1867"/>
      <c r="AW117" s="1867"/>
      <c r="AX117" s="1867"/>
      <c r="AY117" s="1867"/>
      <c r="AZ117" s="1867"/>
      <c r="BA117" s="1867"/>
      <c r="BB117" s="1867"/>
      <c r="BC117" s="1867"/>
      <c r="BD117" s="1867"/>
      <c r="BE117" s="1867"/>
      <c r="BF117" s="1867"/>
      <c r="BG117" s="1867"/>
      <c r="BH117" s="1867"/>
      <c r="BI117" s="1867"/>
      <c r="BJ117" s="1867"/>
      <c r="BK117" s="1867"/>
      <c r="BL117" s="1867"/>
      <c r="BM117" s="1867"/>
      <c r="BN117" s="1867"/>
      <c r="BO117" s="1867"/>
      <c r="BP117" s="1867"/>
      <c r="BQ117" s="1867"/>
    </row>
    <row r="118" spans="1:69" s="362" customFormat="1" ht="27" customHeight="1" x14ac:dyDescent="0.2">
      <c r="A118" s="3341"/>
      <c r="B118" s="3345"/>
      <c r="C118" s="3346"/>
      <c r="D118" s="3258"/>
      <c r="E118" s="3259"/>
      <c r="F118" s="3259"/>
      <c r="G118" s="369"/>
      <c r="H118" s="916"/>
      <c r="I118" s="917"/>
      <c r="J118" s="3230">
        <v>235</v>
      </c>
      <c r="K118" s="3231" t="s">
        <v>1315</v>
      </c>
      <c r="L118" s="3231" t="s">
        <v>1316</v>
      </c>
      <c r="M118" s="3182">
        <v>2</v>
      </c>
      <c r="N118" s="3184"/>
      <c r="O118" s="3160"/>
      <c r="P118" s="3176"/>
      <c r="Q118" s="3262">
        <f>SUM(V118:V130)/R113</f>
        <v>0.77941176470588236</v>
      </c>
      <c r="R118" s="3264"/>
      <c r="S118" s="3179"/>
      <c r="T118" s="3195"/>
      <c r="U118" s="2043" t="s">
        <v>1317</v>
      </c>
      <c r="V118" s="2291">
        <f>2000000-2000000</f>
        <v>0</v>
      </c>
      <c r="W118" s="1395">
        <v>20</v>
      </c>
      <c r="X118" s="2332" t="s">
        <v>61</v>
      </c>
      <c r="Y118" s="3169"/>
      <c r="Z118" s="3169"/>
      <c r="AA118" s="3169"/>
      <c r="AB118" s="3169"/>
      <c r="AC118" s="3169"/>
      <c r="AD118" s="3169"/>
      <c r="AE118" s="3169"/>
      <c r="AF118" s="3169"/>
      <c r="AG118" s="3169"/>
      <c r="AH118" s="3169"/>
      <c r="AI118" s="3169"/>
      <c r="AJ118" s="3169"/>
      <c r="AK118" s="3169"/>
      <c r="AL118" s="3169"/>
      <c r="AM118" s="3169"/>
      <c r="AN118" s="3169"/>
      <c r="AO118" s="924">
        <v>43475</v>
      </c>
      <c r="AP118" s="924">
        <v>43646</v>
      </c>
      <c r="AQ118" s="3152"/>
      <c r="AR118" s="1867"/>
      <c r="AS118" s="1867"/>
      <c r="AT118" s="1867"/>
      <c r="AU118" s="1867"/>
      <c r="AV118" s="1867"/>
      <c r="AW118" s="1867"/>
      <c r="AX118" s="1867"/>
      <c r="AY118" s="1867"/>
      <c r="AZ118" s="1867"/>
      <c r="BA118" s="1867"/>
      <c r="BB118" s="1867"/>
      <c r="BC118" s="1867"/>
      <c r="BD118" s="1867"/>
      <c r="BE118" s="1867"/>
      <c r="BF118" s="1867"/>
      <c r="BG118" s="1867"/>
      <c r="BH118" s="1867"/>
      <c r="BI118" s="1867"/>
      <c r="BJ118" s="1867"/>
      <c r="BK118" s="1867"/>
      <c r="BL118" s="1867"/>
      <c r="BM118" s="1867"/>
      <c r="BN118" s="1867"/>
      <c r="BO118" s="1867"/>
      <c r="BP118" s="1867"/>
      <c r="BQ118" s="1867"/>
    </row>
    <row r="119" spans="1:69" s="362" customFormat="1" ht="32.25" customHeight="1" x14ac:dyDescent="0.2">
      <c r="A119" s="3341"/>
      <c r="B119" s="3345"/>
      <c r="C119" s="3346"/>
      <c r="D119" s="3258"/>
      <c r="E119" s="3259"/>
      <c r="F119" s="3259"/>
      <c r="G119" s="369"/>
      <c r="H119" s="916"/>
      <c r="I119" s="917"/>
      <c r="J119" s="3230"/>
      <c r="K119" s="3231"/>
      <c r="L119" s="3231"/>
      <c r="M119" s="3182"/>
      <c r="N119" s="3184"/>
      <c r="O119" s="3160"/>
      <c r="P119" s="3176"/>
      <c r="Q119" s="3262"/>
      <c r="R119" s="3264"/>
      <c r="S119" s="3179"/>
      <c r="T119" s="3195"/>
      <c r="U119" s="3202" t="s">
        <v>1318</v>
      </c>
      <c r="V119" s="2291">
        <f>0+2000000</f>
        <v>2000000</v>
      </c>
      <c r="W119" s="1395">
        <v>20</v>
      </c>
      <c r="X119" s="2332" t="s">
        <v>61</v>
      </c>
      <c r="Y119" s="3169"/>
      <c r="Z119" s="3169"/>
      <c r="AA119" s="3169"/>
      <c r="AB119" s="3169"/>
      <c r="AC119" s="3169"/>
      <c r="AD119" s="3169"/>
      <c r="AE119" s="3169"/>
      <c r="AF119" s="3169"/>
      <c r="AG119" s="3169"/>
      <c r="AH119" s="3169"/>
      <c r="AI119" s="3169"/>
      <c r="AJ119" s="3169"/>
      <c r="AK119" s="3169"/>
      <c r="AL119" s="3169"/>
      <c r="AM119" s="3169"/>
      <c r="AN119" s="3169"/>
      <c r="AO119" s="924"/>
      <c r="AP119" s="924"/>
      <c r="AQ119" s="3152"/>
      <c r="AR119" s="1867"/>
      <c r="AS119" s="1867"/>
      <c r="AT119" s="1867"/>
      <c r="AU119" s="1867"/>
      <c r="AV119" s="1867"/>
      <c r="AW119" s="1867"/>
      <c r="AX119" s="1867"/>
      <c r="AY119" s="1867"/>
      <c r="AZ119" s="1867"/>
      <c r="BA119" s="1867"/>
      <c r="BB119" s="1867"/>
      <c r="BC119" s="1867"/>
      <c r="BD119" s="1867"/>
      <c r="BE119" s="1867"/>
      <c r="BF119" s="1867"/>
      <c r="BG119" s="1867"/>
      <c r="BH119" s="1867"/>
      <c r="BI119" s="1867"/>
      <c r="BJ119" s="1867"/>
      <c r="BK119" s="1867"/>
      <c r="BL119" s="1867"/>
      <c r="BM119" s="1867"/>
      <c r="BN119" s="1867"/>
      <c r="BO119" s="1867"/>
      <c r="BP119" s="1867"/>
      <c r="BQ119" s="1867"/>
    </row>
    <row r="120" spans="1:69" s="362" customFormat="1" ht="32.25" customHeight="1" x14ac:dyDescent="0.2">
      <c r="A120" s="3341"/>
      <c r="B120" s="3345"/>
      <c r="C120" s="3346"/>
      <c r="D120" s="3258"/>
      <c r="E120" s="3259"/>
      <c r="F120" s="3259"/>
      <c r="G120" s="369"/>
      <c r="H120" s="916"/>
      <c r="I120" s="917"/>
      <c r="J120" s="3230"/>
      <c r="K120" s="3231"/>
      <c r="L120" s="3231"/>
      <c r="M120" s="3182"/>
      <c r="N120" s="3184"/>
      <c r="O120" s="3160"/>
      <c r="P120" s="3176"/>
      <c r="Q120" s="3262"/>
      <c r="R120" s="3264"/>
      <c r="S120" s="3179"/>
      <c r="T120" s="3195"/>
      <c r="U120" s="3203"/>
      <c r="V120" s="2291">
        <v>400000</v>
      </c>
      <c r="W120" s="1395">
        <v>88</v>
      </c>
      <c r="X120" s="2333" t="s">
        <v>1313</v>
      </c>
      <c r="Y120" s="3169"/>
      <c r="Z120" s="3169"/>
      <c r="AA120" s="3169"/>
      <c r="AB120" s="3169"/>
      <c r="AC120" s="3169"/>
      <c r="AD120" s="3169"/>
      <c r="AE120" s="3169"/>
      <c r="AF120" s="3169"/>
      <c r="AG120" s="3169"/>
      <c r="AH120" s="3169"/>
      <c r="AI120" s="3169"/>
      <c r="AJ120" s="3169"/>
      <c r="AK120" s="3169"/>
      <c r="AL120" s="3169"/>
      <c r="AM120" s="3169"/>
      <c r="AN120" s="3169"/>
      <c r="AO120" s="924"/>
      <c r="AP120" s="924"/>
      <c r="AQ120" s="3152"/>
      <c r="AR120" s="3266"/>
      <c r="AS120" s="1867"/>
      <c r="AT120" s="1867"/>
      <c r="AU120" s="1867"/>
      <c r="AV120" s="1867"/>
      <c r="AW120" s="1867"/>
      <c r="AX120" s="1867"/>
      <c r="AY120" s="1867"/>
      <c r="AZ120" s="1867"/>
      <c r="BA120" s="1867"/>
      <c r="BB120" s="1867"/>
      <c r="BC120" s="1867"/>
      <c r="BD120" s="1867"/>
      <c r="BE120" s="1867"/>
      <c r="BF120" s="1867"/>
      <c r="BG120" s="1867"/>
      <c r="BH120" s="1867"/>
      <c r="BI120" s="1867"/>
      <c r="BJ120" s="1867"/>
      <c r="BK120" s="1867"/>
      <c r="BL120" s="1867"/>
      <c r="BM120" s="1867"/>
      <c r="BN120" s="1867"/>
      <c r="BO120" s="1867"/>
      <c r="BP120" s="1867"/>
      <c r="BQ120" s="1867"/>
    </row>
    <row r="121" spans="1:69" s="362" customFormat="1" ht="34.5" customHeight="1" x14ac:dyDescent="0.2">
      <c r="A121" s="3341"/>
      <c r="B121" s="3345"/>
      <c r="C121" s="3346"/>
      <c r="D121" s="3258"/>
      <c r="E121" s="3259"/>
      <c r="F121" s="3259"/>
      <c r="G121" s="369"/>
      <c r="H121" s="916"/>
      <c r="I121" s="917"/>
      <c r="J121" s="3230"/>
      <c r="K121" s="3231"/>
      <c r="L121" s="3231"/>
      <c r="M121" s="3182"/>
      <c r="N121" s="3184"/>
      <c r="O121" s="3160"/>
      <c r="P121" s="3176"/>
      <c r="Q121" s="3262"/>
      <c r="R121" s="3264"/>
      <c r="S121" s="3179"/>
      <c r="T121" s="3195"/>
      <c r="U121" s="2043" t="s">
        <v>1319</v>
      </c>
      <c r="V121" s="2291">
        <f>4000000+1000000</f>
        <v>5000000</v>
      </c>
      <c r="W121" s="1395">
        <v>20</v>
      </c>
      <c r="X121" s="2332" t="s">
        <v>61</v>
      </c>
      <c r="Y121" s="3169"/>
      <c r="Z121" s="3169"/>
      <c r="AA121" s="3169"/>
      <c r="AB121" s="3169"/>
      <c r="AC121" s="3169"/>
      <c r="AD121" s="3169"/>
      <c r="AE121" s="3169"/>
      <c r="AF121" s="3169"/>
      <c r="AG121" s="3169"/>
      <c r="AH121" s="3169"/>
      <c r="AI121" s="3169"/>
      <c r="AJ121" s="3169"/>
      <c r="AK121" s="3169"/>
      <c r="AL121" s="3169"/>
      <c r="AM121" s="3169"/>
      <c r="AN121" s="3169"/>
      <c r="AO121" s="924">
        <v>43475</v>
      </c>
      <c r="AP121" s="924">
        <v>43646</v>
      </c>
      <c r="AQ121" s="3152"/>
      <c r="AR121" s="3266"/>
      <c r="AS121" s="1867"/>
      <c r="AT121" s="1867"/>
      <c r="AU121" s="1867"/>
      <c r="AV121" s="1867"/>
      <c r="AW121" s="1867"/>
      <c r="AX121" s="1867"/>
      <c r="AY121" s="1867"/>
      <c r="AZ121" s="1867"/>
      <c r="BA121" s="1867"/>
      <c r="BB121" s="1867"/>
      <c r="BC121" s="1867"/>
      <c r="BD121" s="1867"/>
      <c r="BE121" s="1867"/>
      <c r="BF121" s="1867"/>
      <c r="BG121" s="1867"/>
      <c r="BH121" s="1867"/>
      <c r="BI121" s="1867"/>
      <c r="BJ121" s="1867"/>
      <c r="BK121" s="1867"/>
      <c r="BL121" s="1867"/>
      <c r="BM121" s="1867"/>
      <c r="BN121" s="1867"/>
      <c r="BO121" s="1867"/>
      <c r="BP121" s="1867"/>
      <c r="BQ121" s="1867"/>
    </row>
    <row r="122" spans="1:69" s="362" customFormat="1" ht="31.5" customHeight="1" x14ac:dyDescent="0.2">
      <c r="A122" s="3341"/>
      <c r="B122" s="3345"/>
      <c r="C122" s="3346"/>
      <c r="D122" s="3258"/>
      <c r="E122" s="3259"/>
      <c r="F122" s="3259"/>
      <c r="G122" s="369"/>
      <c r="H122" s="916"/>
      <c r="I122" s="917"/>
      <c r="J122" s="3230"/>
      <c r="K122" s="3231"/>
      <c r="L122" s="3231"/>
      <c r="M122" s="3182"/>
      <c r="N122" s="3184"/>
      <c r="O122" s="3160"/>
      <c r="P122" s="3176"/>
      <c r="Q122" s="3262"/>
      <c r="R122" s="3264"/>
      <c r="S122" s="3179"/>
      <c r="T122" s="3195"/>
      <c r="U122" s="3202" t="s">
        <v>1320</v>
      </c>
      <c r="V122" s="2291">
        <f>4000000</f>
        <v>4000000</v>
      </c>
      <c r="W122" s="1395">
        <v>20</v>
      </c>
      <c r="X122" s="2332" t="s">
        <v>61</v>
      </c>
      <c r="Y122" s="3169"/>
      <c r="Z122" s="3169"/>
      <c r="AA122" s="3169"/>
      <c r="AB122" s="3169"/>
      <c r="AC122" s="3169"/>
      <c r="AD122" s="3169"/>
      <c r="AE122" s="3169"/>
      <c r="AF122" s="3169"/>
      <c r="AG122" s="3169"/>
      <c r="AH122" s="3169"/>
      <c r="AI122" s="3169"/>
      <c r="AJ122" s="3169"/>
      <c r="AK122" s="3169"/>
      <c r="AL122" s="3169"/>
      <c r="AM122" s="3169"/>
      <c r="AN122" s="3169"/>
      <c r="AO122" s="924">
        <v>43480</v>
      </c>
      <c r="AP122" s="924">
        <v>43590</v>
      </c>
      <c r="AQ122" s="3152"/>
      <c r="AR122" s="3266"/>
      <c r="AS122" s="1867"/>
      <c r="AT122" s="1867"/>
      <c r="AU122" s="1867"/>
      <c r="AV122" s="1867"/>
      <c r="AW122" s="1867"/>
      <c r="AX122" s="1867"/>
      <c r="AY122" s="1867"/>
      <c r="AZ122" s="1867"/>
      <c r="BA122" s="1867"/>
      <c r="BB122" s="1867"/>
      <c r="BC122" s="1867"/>
      <c r="BD122" s="1867"/>
      <c r="BE122" s="1867"/>
      <c r="BF122" s="1867"/>
      <c r="BG122" s="1867"/>
      <c r="BH122" s="1867"/>
      <c r="BI122" s="1867"/>
      <c r="BJ122" s="1867"/>
      <c r="BK122" s="1867"/>
      <c r="BL122" s="1867"/>
      <c r="BM122" s="1867"/>
      <c r="BN122" s="1867"/>
      <c r="BO122" s="1867"/>
      <c r="BP122" s="1867"/>
      <c r="BQ122" s="1867"/>
    </row>
    <row r="123" spans="1:69" s="362" customFormat="1" ht="31.5" customHeight="1" x14ac:dyDescent="0.2">
      <c r="A123" s="3341"/>
      <c r="B123" s="3345"/>
      <c r="C123" s="3346"/>
      <c r="D123" s="3258"/>
      <c r="E123" s="3259"/>
      <c r="F123" s="3259"/>
      <c r="G123" s="369"/>
      <c r="H123" s="916"/>
      <c r="I123" s="917"/>
      <c r="J123" s="3230"/>
      <c r="K123" s="3231"/>
      <c r="L123" s="3231"/>
      <c r="M123" s="3182"/>
      <c r="N123" s="3184"/>
      <c r="O123" s="3160"/>
      <c r="P123" s="3176"/>
      <c r="Q123" s="3262"/>
      <c r="R123" s="3264"/>
      <c r="S123" s="3179"/>
      <c r="T123" s="3195"/>
      <c r="U123" s="3203"/>
      <c r="V123" s="2291">
        <f>0+9600000+7000000</f>
        <v>16600000</v>
      </c>
      <c r="W123" s="1395">
        <v>88</v>
      </c>
      <c r="X123" s="2333" t="s">
        <v>1313</v>
      </c>
      <c r="Y123" s="3169"/>
      <c r="Z123" s="3169"/>
      <c r="AA123" s="3169"/>
      <c r="AB123" s="3169"/>
      <c r="AC123" s="3169"/>
      <c r="AD123" s="3169"/>
      <c r="AE123" s="3169"/>
      <c r="AF123" s="3169"/>
      <c r="AG123" s="3169"/>
      <c r="AH123" s="3169"/>
      <c r="AI123" s="3169"/>
      <c r="AJ123" s="3169"/>
      <c r="AK123" s="3169"/>
      <c r="AL123" s="3169"/>
      <c r="AM123" s="3169"/>
      <c r="AN123" s="3169"/>
      <c r="AO123" s="924"/>
      <c r="AP123" s="924"/>
      <c r="AQ123" s="3152"/>
      <c r="AR123" s="3266"/>
      <c r="AS123" s="1867"/>
      <c r="AT123" s="1867"/>
      <c r="AU123" s="1867"/>
      <c r="AV123" s="1867"/>
      <c r="AW123" s="1867"/>
      <c r="AX123" s="1867"/>
      <c r="AY123" s="1867"/>
      <c r="AZ123" s="1867"/>
      <c r="BA123" s="1867"/>
      <c r="BB123" s="1867"/>
      <c r="BC123" s="1867"/>
      <c r="BD123" s="1867"/>
      <c r="BE123" s="1867"/>
      <c r="BF123" s="1867"/>
      <c r="BG123" s="1867"/>
      <c r="BH123" s="1867"/>
      <c r="BI123" s="1867"/>
      <c r="BJ123" s="1867"/>
      <c r="BK123" s="1867"/>
      <c r="BL123" s="1867"/>
      <c r="BM123" s="1867"/>
      <c r="BN123" s="1867"/>
      <c r="BO123" s="1867"/>
      <c r="BP123" s="1867"/>
      <c r="BQ123" s="1867"/>
    </row>
    <row r="124" spans="1:69" s="362" customFormat="1" ht="21.75" customHeight="1" x14ac:dyDescent="0.2">
      <c r="A124" s="3341"/>
      <c r="B124" s="3345"/>
      <c r="C124" s="3346"/>
      <c r="D124" s="3258"/>
      <c r="E124" s="3259"/>
      <c r="F124" s="3259"/>
      <c r="G124" s="369"/>
      <c r="H124" s="916"/>
      <c r="I124" s="917"/>
      <c r="J124" s="3230"/>
      <c r="K124" s="3231"/>
      <c r="L124" s="3231"/>
      <c r="M124" s="3182"/>
      <c r="N124" s="3184"/>
      <c r="O124" s="3160"/>
      <c r="P124" s="3176"/>
      <c r="Q124" s="3262"/>
      <c r="R124" s="3264"/>
      <c r="S124" s="3179"/>
      <c r="T124" s="3195"/>
      <c r="U124" s="2043" t="s">
        <v>1321</v>
      </c>
      <c r="V124" s="2292">
        <f>2000000-2000000</f>
        <v>0</v>
      </c>
      <c r="W124" s="1395">
        <v>20</v>
      </c>
      <c r="X124" s="2332" t="s">
        <v>61</v>
      </c>
      <c r="Y124" s="3169"/>
      <c r="Z124" s="3169"/>
      <c r="AA124" s="3169"/>
      <c r="AB124" s="3169"/>
      <c r="AC124" s="3169"/>
      <c r="AD124" s="3169"/>
      <c r="AE124" s="3169"/>
      <c r="AF124" s="3169"/>
      <c r="AG124" s="3169"/>
      <c r="AH124" s="3169"/>
      <c r="AI124" s="3169"/>
      <c r="AJ124" s="3169"/>
      <c r="AK124" s="3169"/>
      <c r="AL124" s="3169"/>
      <c r="AM124" s="3169"/>
      <c r="AN124" s="3169"/>
      <c r="AO124" s="924">
        <v>43475</v>
      </c>
      <c r="AP124" s="924">
        <v>43646</v>
      </c>
      <c r="AQ124" s="3152"/>
      <c r="AR124" s="3266"/>
      <c r="AS124" s="1867"/>
      <c r="AT124" s="1867"/>
      <c r="AU124" s="1867"/>
      <c r="AV124" s="1867"/>
      <c r="AW124" s="1867"/>
      <c r="AX124" s="1867"/>
      <c r="AY124" s="1867"/>
      <c r="AZ124" s="1867"/>
      <c r="BA124" s="1867"/>
      <c r="BB124" s="1867"/>
      <c r="BC124" s="1867"/>
      <c r="BD124" s="1867"/>
      <c r="BE124" s="1867"/>
      <c r="BF124" s="1867"/>
      <c r="BG124" s="1867"/>
      <c r="BH124" s="1867"/>
      <c r="BI124" s="1867"/>
      <c r="BJ124" s="1867"/>
      <c r="BK124" s="1867"/>
      <c r="BL124" s="1867"/>
      <c r="BM124" s="1867"/>
      <c r="BN124" s="1867"/>
      <c r="BO124" s="1867"/>
      <c r="BP124" s="1867"/>
      <c r="BQ124" s="1867"/>
    </row>
    <row r="125" spans="1:69" s="362" customFormat="1" ht="21.75" customHeight="1" x14ac:dyDescent="0.2">
      <c r="A125" s="3341"/>
      <c r="B125" s="3345"/>
      <c r="C125" s="3346"/>
      <c r="D125" s="3258"/>
      <c r="E125" s="3259"/>
      <c r="F125" s="3259"/>
      <c r="G125" s="369"/>
      <c r="H125" s="916"/>
      <c r="I125" s="917"/>
      <c r="J125" s="3230"/>
      <c r="K125" s="3231"/>
      <c r="L125" s="3231"/>
      <c r="M125" s="3182"/>
      <c r="N125" s="3184"/>
      <c r="O125" s="3160"/>
      <c r="P125" s="3176"/>
      <c r="Q125" s="3262"/>
      <c r="R125" s="3264"/>
      <c r="S125" s="3179"/>
      <c r="T125" s="3195"/>
      <c r="U125" s="1642" t="s">
        <v>1322</v>
      </c>
      <c r="V125" s="2288">
        <f>0+1000000</f>
        <v>1000000</v>
      </c>
      <c r="W125" s="1395">
        <v>20</v>
      </c>
      <c r="X125" s="2332" t="s">
        <v>61</v>
      </c>
      <c r="Y125" s="3169"/>
      <c r="Z125" s="3169"/>
      <c r="AA125" s="3169"/>
      <c r="AB125" s="3169"/>
      <c r="AC125" s="3169"/>
      <c r="AD125" s="3169"/>
      <c r="AE125" s="3169"/>
      <c r="AF125" s="3169"/>
      <c r="AG125" s="3169"/>
      <c r="AH125" s="3169"/>
      <c r="AI125" s="3169"/>
      <c r="AJ125" s="3169"/>
      <c r="AK125" s="3169"/>
      <c r="AL125" s="3169"/>
      <c r="AM125" s="3169"/>
      <c r="AN125" s="3169"/>
      <c r="AO125" s="924"/>
      <c r="AP125" s="924"/>
      <c r="AQ125" s="3152"/>
      <c r="AR125" s="3266"/>
      <c r="AS125" s="1867"/>
      <c r="AT125" s="1867"/>
      <c r="AU125" s="1867"/>
      <c r="AV125" s="1867"/>
      <c r="AW125" s="1867"/>
      <c r="AX125" s="1867"/>
      <c r="AY125" s="1867"/>
      <c r="AZ125" s="1867"/>
      <c r="BA125" s="1867"/>
      <c r="BB125" s="1867"/>
      <c r="BC125" s="1867"/>
      <c r="BD125" s="1867"/>
      <c r="BE125" s="1867"/>
      <c r="BF125" s="1867"/>
      <c r="BG125" s="1867"/>
      <c r="BH125" s="1867"/>
      <c r="BI125" s="1867"/>
      <c r="BJ125" s="1867"/>
      <c r="BK125" s="1867"/>
      <c r="BL125" s="1867"/>
      <c r="BM125" s="1867"/>
      <c r="BN125" s="1867"/>
      <c r="BO125" s="1867"/>
      <c r="BP125" s="1867"/>
      <c r="BQ125" s="1867"/>
    </row>
    <row r="126" spans="1:69" s="362" customFormat="1" ht="27.75" customHeight="1" x14ac:dyDescent="0.2">
      <c r="A126" s="3341"/>
      <c r="B126" s="3345"/>
      <c r="C126" s="3346"/>
      <c r="D126" s="3258"/>
      <c r="E126" s="3259"/>
      <c r="F126" s="3259"/>
      <c r="G126" s="369"/>
      <c r="H126" s="916"/>
      <c r="I126" s="917"/>
      <c r="J126" s="3230"/>
      <c r="K126" s="3231"/>
      <c r="L126" s="3231"/>
      <c r="M126" s="3182"/>
      <c r="N126" s="3184"/>
      <c r="O126" s="3160"/>
      <c r="P126" s="3176"/>
      <c r="Q126" s="3262"/>
      <c r="R126" s="3264"/>
      <c r="S126" s="3179"/>
      <c r="T126" s="3195"/>
      <c r="U126" s="1642" t="s">
        <v>1323</v>
      </c>
      <c r="V126" s="2288">
        <v>1000000</v>
      </c>
      <c r="W126" s="1404">
        <v>20</v>
      </c>
      <c r="X126" s="2332" t="s">
        <v>61</v>
      </c>
      <c r="Y126" s="3169"/>
      <c r="Z126" s="3169"/>
      <c r="AA126" s="3169"/>
      <c r="AB126" s="3169"/>
      <c r="AC126" s="3169"/>
      <c r="AD126" s="3169"/>
      <c r="AE126" s="3169"/>
      <c r="AF126" s="3169"/>
      <c r="AG126" s="3169"/>
      <c r="AH126" s="3169"/>
      <c r="AI126" s="3169"/>
      <c r="AJ126" s="3169"/>
      <c r="AK126" s="3169"/>
      <c r="AL126" s="3169"/>
      <c r="AM126" s="3169"/>
      <c r="AN126" s="3169"/>
      <c r="AO126" s="924">
        <v>43600</v>
      </c>
      <c r="AP126" s="924">
        <v>43636</v>
      </c>
      <c r="AQ126" s="3152"/>
      <c r="AR126" s="3266"/>
      <c r="AS126" s="1867"/>
      <c r="AT126" s="1867"/>
      <c r="AU126" s="1867"/>
      <c r="AV126" s="1867"/>
      <c r="AW126" s="1867"/>
      <c r="AX126" s="1867"/>
      <c r="AY126" s="1867"/>
      <c r="AZ126" s="1867"/>
      <c r="BA126" s="1867"/>
      <c r="BB126" s="1867"/>
      <c r="BC126" s="1867"/>
      <c r="BD126" s="1867"/>
      <c r="BE126" s="1867"/>
      <c r="BF126" s="1867"/>
      <c r="BG126" s="1867"/>
      <c r="BH126" s="1867"/>
      <c r="BI126" s="1867"/>
      <c r="BJ126" s="1867"/>
      <c r="BK126" s="1867"/>
      <c r="BL126" s="1867"/>
      <c r="BM126" s="1867"/>
      <c r="BN126" s="1867"/>
      <c r="BO126" s="1867"/>
      <c r="BP126" s="1867"/>
      <c r="BQ126" s="1867"/>
    </row>
    <row r="127" spans="1:69" s="362" customFormat="1" ht="23.25" customHeight="1" x14ac:dyDescent="0.2">
      <c r="A127" s="3341"/>
      <c r="B127" s="3345"/>
      <c r="C127" s="3346"/>
      <c r="D127" s="3258"/>
      <c r="E127" s="3259"/>
      <c r="F127" s="3259"/>
      <c r="G127" s="369"/>
      <c r="H127" s="916"/>
      <c r="I127" s="917"/>
      <c r="J127" s="3230"/>
      <c r="K127" s="3231"/>
      <c r="L127" s="3231"/>
      <c r="M127" s="3182"/>
      <c r="N127" s="3184"/>
      <c r="O127" s="3160"/>
      <c r="P127" s="3176"/>
      <c r="Q127" s="3262"/>
      <c r="R127" s="3264"/>
      <c r="S127" s="3179"/>
      <c r="T127" s="3195"/>
      <c r="U127" s="3267" t="s">
        <v>1324</v>
      </c>
      <c r="V127" s="2288">
        <v>2000000</v>
      </c>
      <c r="W127" s="1403">
        <v>20</v>
      </c>
      <c r="X127" s="2334" t="s">
        <v>61</v>
      </c>
      <c r="Y127" s="3169"/>
      <c r="Z127" s="3169"/>
      <c r="AA127" s="3169"/>
      <c r="AB127" s="3169"/>
      <c r="AC127" s="3169"/>
      <c r="AD127" s="3169"/>
      <c r="AE127" s="3169"/>
      <c r="AF127" s="3169"/>
      <c r="AG127" s="3169"/>
      <c r="AH127" s="3169"/>
      <c r="AI127" s="3169"/>
      <c r="AJ127" s="3169"/>
      <c r="AK127" s="3169"/>
      <c r="AL127" s="3169"/>
      <c r="AM127" s="3169"/>
      <c r="AN127" s="3169"/>
      <c r="AO127" s="924">
        <v>43542</v>
      </c>
      <c r="AP127" s="924">
        <v>43631</v>
      </c>
      <c r="AQ127" s="3152"/>
      <c r="AR127" s="3266"/>
      <c r="AS127" s="1867"/>
      <c r="AT127" s="1867"/>
      <c r="AU127" s="1867"/>
      <c r="AV127" s="1867"/>
      <c r="AW127" s="1867"/>
      <c r="AX127" s="1867"/>
      <c r="AY127" s="1867"/>
      <c r="AZ127" s="1867"/>
      <c r="BA127" s="1867"/>
      <c r="BB127" s="1867"/>
      <c r="BC127" s="1867"/>
      <c r="BD127" s="1867"/>
      <c r="BE127" s="1867"/>
      <c r="BF127" s="1867"/>
      <c r="BG127" s="1867"/>
      <c r="BH127" s="1867"/>
      <c r="BI127" s="1867"/>
      <c r="BJ127" s="1867"/>
      <c r="BK127" s="1867"/>
      <c r="BL127" s="1867"/>
      <c r="BM127" s="1867"/>
      <c r="BN127" s="1867"/>
      <c r="BO127" s="1867"/>
      <c r="BP127" s="1867"/>
      <c r="BQ127" s="1867"/>
    </row>
    <row r="128" spans="1:69" s="362" customFormat="1" ht="24.75" customHeight="1" x14ac:dyDescent="0.2">
      <c r="A128" s="3341"/>
      <c r="B128" s="3345"/>
      <c r="C128" s="3346"/>
      <c r="D128" s="3258"/>
      <c r="E128" s="3259"/>
      <c r="F128" s="3259"/>
      <c r="G128" s="369"/>
      <c r="H128" s="916"/>
      <c r="I128" s="917"/>
      <c r="J128" s="3230"/>
      <c r="K128" s="3231"/>
      <c r="L128" s="3231"/>
      <c r="M128" s="3182"/>
      <c r="N128" s="3184"/>
      <c r="O128" s="3160"/>
      <c r="P128" s="3176"/>
      <c r="Q128" s="3262"/>
      <c r="R128" s="3264"/>
      <c r="S128" s="3179"/>
      <c r="T128" s="3195"/>
      <c r="U128" s="3204"/>
      <c r="V128" s="2288">
        <f>8000000-8000000+10000000</f>
        <v>10000000</v>
      </c>
      <c r="W128" s="1396">
        <v>88</v>
      </c>
      <c r="X128" s="2335" t="s">
        <v>1313</v>
      </c>
      <c r="Y128" s="3169"/>
      <c r="Z128" s="3169"/>
      <c r="AA128" s="3169"/>
      <c r="AB128" s="3169"/>
      <c r="AC128" s="3169"/>
      <c r="AD128" s="3169"/>
      <c r="AE128" s="3169"/>
      <c r="AF128" s="3169"/>
      <c r="AG128" s="3169"/>
      <c r="AH128" s="3169"/>
      <c r="AI128" s="3169"/>
      <c r="AJ128" s="3169"/>
      <c r="AK128" s="3169"/>
      <c r="AL128" s="3169"/>
      <c r="AM128" s="3169"/>
      <c r="AN128" s="3169"/>
      <c r="AO128" s="924"/>
      <c r="AP128" s="924"/>
      <c r="AQ128" s="3152"/>
      <c r="AR128" s="3266"/>
      <c r="AS128" s="1867"/>
      <c r="AT128" s="1867"/>
      <c r="AU128" s="1867"/>
      <c r="AV128" s="1867"/>
      <c r="AW128" s="1867"/>
      <c r="AX128" s="1867"/>
      <c r="AY128" s="1867"/>
      <c r="AZ128" s="1867"/>
      <c r="BA128" s="1867"/>
      <c r="BB128" s="1867"/>
      <c r="BC128" s="1867"/>
      <c r="BD128" s="1867"/>
      <c r="BE128" s="1867"/>
      <c r="BF128" s="1867"/>
      <c r="BG128" s="1867"/>
      <c r="BH128" s="1867"/>
      <c r="BI128" s="1867"/>
      <c r="BJ128" s="1867"/>
      <c r="BK128" s="1867"/>
      <c r="BL128" s="1867"/>
      <c r="BM128" s="1867"/>
      <c r="BN128" s="1867"/>
      <c r="BO128" s="1867"/>
      <c r="BP128" s="1867"/>
      <c r="BQ128" s="1867"/>
    </row>
    <row r="129" spans="1:69" s="362" customFormat="1" ht="30" customHeight="1" x14ac:dyDescent="0.2">
      <c r="A129" s="3341"/>
      <c r="B129" s="3345"/>
      <c r="C129" s="3346"/>
      <c r="D129" s="3258"/>
      <c r="E129" s="3259"/>
      <c r="F129" s="3259"/>
      <c r="G129" s="369"/>
      <c r="H129" s="916"/>
      <c r="I129" s="917"/>
      <c r="J129" s="3230"/>
      <c r="K129" s="3231"/>
      <c r="L129" s="3231"/>
      <c r="M129" s="3182"/>
      <c r="N129" s="3184"/>
      <c r="O129" s="3160"/>
      <c r="P129" s="3176"/>
      <c r="Q129" s="3262"/>
      <c r="R129" s="3264"/>
      <c r="S129" s="3179"/>
      <c r="T129" s="3195"/>
      <c r="U129" s="3267" t="s">
        <v>1325</v>
      </c>
      <c r="V129" s="2288">
        <v>3000000</v>
      </c>
      <c r="W129" s="1397">
        <v>20</v>
      </c>
      <c r="X129" s="2336" t="s">
        <v>61</v>
      </c>
      <c r="Y129" s="3169"/>
      <c r="Z129" s="3169"/>
      <c r="AA129" s="3169"/>
      <c r="AB129" s="3169"/>
      <c r="AC129" s="3169"/>
      <c r="AD129" s="3169"/>
      <c r="AE129" s="3169"/>
      <c r="AF129" s="3169"/>
      <c r="AG129" s="3169"/>
      <c r="AH129" s="3169"/>
      <c r="AI129" s="3169"/>
      <c r="AJ129" s="3169"/>
      <c r="AK129" s="3169"/>
      <c r="AL129" s="3169"/>
      <c r="AM129" s="3169"/>
      <c r="AN129" s="3169"/>
      <c r="AO129" s="924"/>
      <c r="AP129" s="924"/>
      <c r="AQ129" s="3152"/>
      <c r="AR129" s="3266"/>
      <c r="AS129" s="1867"/>
      <c r="AT129" s="1867"/>
      <c r="AU129" s="1867"/>
      <c r="AV129" s="1867"/>
      <c r="AW129" s="1867"/>
      <c r="AX129" s="1867"/>
      <c r="AY129" s="1867"/>
      <c r="AZ129" s="1867"/>
      <c r="BA129" s="1867"/>
      <c r="BB129" s="1867"/>
      <c r="BC129" s="1867"/>
      <c r="BD129" s="1867"/>
      <c r="BE129" s="1867"/>
      <c r="BF129" s="1867"/>
      <c r="BG129" s="1867"/>
      <c r="BH129" s="1867"/>
      <c r="BI129" s="1867"/>
      <c r="BJ129" s="1867"/>
      <c r="BK129" s="1867"/>
      <c r="BL129" s="1867"/>
      <c r="BM129" s="1867"/>
      <c r="BN129" s="1867"/>
      <c r="BO129" s="1867"/>
      <c r="BP129" s="1867"/>
      <c r="BQ129" s="1867"/>
    </row>
    <row r="130" spans="1:69" s="362" customFormat="1" ht="25.5" customHeight="1" x14ac:dyDescent="0.2">
      <c r="A130" s="3341"/>
      <c r="B130" s="3345"/>
      <c r="C130" s="3346"/>
      <c r="D130" s="3258"/>
      <c r="E130" s="3259"/>
      <c r="F130" s="3259"/>
      <c r="G130" s="369"/>
      <c r="H130" s="919"/>
      <c r="I130" s="920"/>
      <c r="J130" s="3230"/>
      <c r="K130" s="3231"/>
      <c r="L130" s="3231"/>
      <c r="M130" s="3182"/>
      <c r="N130" s="3184"/>
      <c r="O130" s="3160"/>
      <c r="P130" s="3176"/>
      <c r="Q130" s="3262"/>
      <c r="R130" s="3265"/>
      <c r="S130" s="3179"/>
      <c r="T130" s="3195"/>
      <c r="U130" s="3204"/>
      <c r="V130" s="2288">
        <f>0+2000000-2000000+8000000</f>
        <v>8000000</v>
      </c>
      <c r="W130" s="1396">
        <v>88</v>
      </c>
      <c r="X130" s="2335" t="s">
        <v>1313</v>
      </c>
      <c r="Y130" s="3205"/>
      <c r="Z130" s="3169"/>
      <c r="AA130" s="3169"/>
      <c r="AB130" s="3169"/>
      <c r="AC130" s="3169"/>
      <c r="AD130" s="3169"/>
      <c r="AE130" s="3169"/>
      <c r="AF130" s="3169"/>
      <c r="AG130" s="3169"/>
      <c r="AH130" s="3169"/>
      <c r="AI130" s="3169"/>
      <c r="AJ130" s="3169"/>
      <c r="AK130" s="3169"/>
      <c r="AL130" s="3169"/>
      <c r="AM130" s="3169"/>
      <c r="AN130" s="3169"/>
      <c r="AO130" s="924">
        <v>43490</v>
      </c>
      <c r="AP130" s="924">
        <v>43600</v>
      </c>
      <c r="AQ130" s="3152"/>
      <c r="AR130" s="3266"/>
      <c r="AS130" s="1867"/>
      <c r="AT130" s="1867"/>
      <c r="AU130" s="1867"/>
      <c r="AV130" s="1867"/>
      <c r="AW130" s="1867"/>
      <c r="AX130" s="1867"/>
      <c r="AY130" s="1867"/>
      <c r="AZ130" s="1867"/>
      <c r="BA130" s="1867"/>
      <c r="BB130" s="1867"/>
      <c r="BC130" s="1867"/>
      <c r="BD130" s="1867"/>
      <c r="BE130" s="1867"/>
      <c r="BF130" s="1867"/>
      <c r="BG130" s="1867"/>
      <c r="BH130" s="1867"/>
      <c r="BI130" s="1867"/>
      <c r="BJ130" s="1867"/>
      <c r="BK130" s="1867"/>
      <c r="BL130" s="1867"/>
      <c r="BM130" s="1867"/>
      <c r="BN130" s="1867"/>
      <c r="BO130" s="1867"/>
      <c r="BP130" s="1867"/>
      <c r="BQ130" s="1867"/>
    </row>
    <row r="131" spans="1:69" s="369" customFormat="1" ht="15" customHeight="1" x14ac:dyDescent="0.2">
      <c r="A131" s="3341"/>
      <c r="B131" s="3345"/>
      <c r="C131" s="3346"/>
      <c r="D131" s="1693">
        <v>25</v>
      </c>
      <c r="E131" s="658" t="s">
        <v>1326</v>
      </c>
      <c r="F131" s="658"/>
      <c r="G131" s="893"/>
      <c r="H131" s="893"/>
      <c r="I131" s="893"/>
      <c r="J131" s="925"/>
      <c r="K131" s="926"/>
      <c r="L131" s="835"/>
      <c r="M131" s="834"/>
      <c r="N131" s="2313"/>
      <c r="O131" s="894"/>
      <c r="P131" s="896"/>
      <c r="Q131" s="1877"/>
      <c r="R131" s="927"/>
      <c r="S131" s="926"/>
      <c r="T131" s="926"/>
      <c r="U131" s="926"/>
      <c r="V131" s="2293"/>
      <c r="W131" s="900"/>
      <c r="X131" s="2337"/>
      <c r="Y131" s="893"/>
      <c r="Z131" s="893"/>
      <c r="AA131" s="893"/>
      <c r="AB131" s="893"/>
      <c r="AC131" s="893"/>
      <c r="AD131" s="893"/>
      <c r="AE131" s="893"/>
      <c r="AF131" s="893"/>
      <c r="AG131" s="893"/>
      <c r="AH131" s="893"/>
      <c r="AI131" s="893"/>
      <c r="AJ131" s="893"/>
      <c r="AK131" s="893"/>
      <c r="AL131" s="901"/>
      <c r="AM131" s="896"/>
      <c r="AN131" s="896"/>
      <c r="AO131" s="896"/>
      <c r="AP131" s="896"/>
      <c r="AQ131" s="902"/>
      <c r="AR131" s="1867"/>
      <c r="AS131" s="1867"/>
      <c r="AT131" s="1867"/>
      <c r="AU131" s="1867"/>
      <c r="AV131" s="1867"/>
      <c r="AW131" s="1867"/>
      <c r="AX131" s="1867"/>
      <c r="AY131" s="1867"/>
      <c r="AZ131" s="1867"/>
      <c r="BA131" s="1867"/>
      <c r="BB131" s="1867"/>
      <c r="BC131" s="1867"/>
      <c r="BD131" s="1867"/>
      <c r="BE131" s="1867"/>
      <c r="BF131" s="1867"/>
      <c r="BG131" s="1867"/>
      <c r="BH131" s="1867"/>
      <c r="BI131" s="1867"/>
      <c r="BJ131" s="1867"/>
      <c r="BK131" s="1867"/>
      <c r="BL131" s="1867"/>
      <c r="BM131" s="1867"/>
      <c r="BN131" s="1867"/>
      <c r="BO131" s="1867"/>
      <c r="BP131" s="1867"/>
      <c r="BQ131" s="1867"/>
    </row>
    <row r="132" spans="1:69" s="369" customFormat="1" ht="15" customHeight="1" x14ac:dyDescent="0.2">
      <c r="A132" s="3341"/>
      <c r="B132" s="3345"/>
      <c r="C132" s="3346"/>
      <c r="D132" s="3258"/>
      <c r="E132" s="3259"/>
      <c r="F132" s="3259"/>
      <c r="G132" s="904">
        <v>81</v>
      </c>
      <c r="H132" s="717" t="s">
        <v>1327</v>
      </c>
      <c r="I132" s="717"/>
      <c r="J132" s="905"/>
      <c r="K132" s="906"/>
      <c r="L132" s="907"/>
      <c r="M132" s="770"/>
      <c r="N132" s="774"/>
      <c r="O132" s="775"/>
      <c r="P132" s="719"/>
      <c r="Q132" s="1876"/>
      <c r="R132" s="908"/>
      <c r="S132" s="906"/>
      <c r="T132" s="906"/>
      <c r="U132" s="906"/>
      <c r="V132" s="2294"/>
      <c r="W132" s="722"/>
      <c r="X132" s="2329"/>
      <c r="Y132" s="722"/>
      <c r="Z132" s="722"/>
      <c r="AA132" s="722"/>
      <c r="AB132" s="722"/>
      <c r="AC132" s="722"/>
      <c r="AD132" s="722"/>
      <c r="AE132" s="722"/>
      <c r="AF132" s="722"/>
      <c r="AG132" s="722"/>
      <c r="AH132" s="722"/>
      <c r="AI132" s="722"/>
      <c r="AJ132" s="722"/>
      <c r="AK132" s="724"/>
      <c r="AL132" s="724"/>
      <c r="AM132" s="719"/>
      <c r="AN132" s="719"/>
      <c r="AO132" s="719"/>
      <c r="AP132" s="719"/>
      <c r="AQ132" s="725"/>
      <c r="AR132" s="1867"/>
      <c r="AS132" s="1867"/>
      <c r="AT132" s="1867"/>
      <c r="AU132" s="1867"/>
      <c r="AV132" s="1867"/>
      <c r="AW132" s="1867"/>
      <c r="AX132" s="1867"/>
      <c r="AY132" s="1867"/>
      <c r="AZ132" s="1867"/>
      <c r="BA132" s="1867"/>
      <c r="BB132" s="1867"/>
      <c r="BC132" s="1867"/>
      <c r="BD132" s="1867"/>
      <c r="BE132" s="1867"/>
      <c r="BF132" s="1867"/>
      <c r="BG132" s="1867"/>
      <c r="BH132" s="1867"/>
      <c r="BI132" s="1867"/>
      <c r="BJ132" s="1867"/>
      <c r="BK132" s="1867"/>
      <c r="BL132" s="1867"/>
      <c r="BM132" s="1867"/>
      <c r="BN132" s="1867"/>
      <c r="BO132" s="1867"/>
      <c r="BP132" s="1867"/>
      <c r="BQ132" s="1867"/>
    </row>
    <row r="133" spans="1:69" s="362" customFormat="1" ht="36.75" customHeight="1" x14ac:dyDescent="0.2">
      <c r="A133" s="3341"/>
      <c r="B133" s="3345"/>
      <c r="C133" s="3346"/>
      <c r="D133" s="3258"/>
      <c r="E133" s="3259"/>
      <c r="F133" s="3259"/>
      <c r="G133" s="369"/>
      <c r="H133" s="913"/>
      <c r="I133" s="914"/>
      <c r="J133" s="3194">
        <v>236</v>
      </c>
      <c r="K133" s="3216" t="s">
        <v>1328</v>
      </c>
      <c r="L133" s="3260" t="s">
        <v>1329</v>
      </c>
      <c r="M133" s="3194">
        <f>3+4</f>
        <v>7</v>
      </c>
      <c r="N133" s="2338"/>
      <c r="O133" s="3160" t="s">
        <v>1330</v>
      </c>
      <c r="P133" s="3176" t="s">
        <v>1331</v>
      </c>
      <c r="Q133" s="3225">
        <f>SUM(V133:V134)/R133</f>
        <v>0.17984899897336584</v>
      </c>
      <c r="R133" s="3239">
        <f>SUM(V133:V162)</f>
        <v>1055866861</v>
      </c>
      <c r="S133" s="3179" t="s">
        <v>1332</v>
      </c>
      <c r="T133" s="3179" t="s">
        <v>1333</v>
      </c>
      <c r="U133" s="3242" t="s">
        <v>1334</v>
      </c>
      <c r="V133" s="2277">
        <f>100000000+1850000</f>
        <v>101850000</v>
      </c>
      <c r="W133" s="1442" t="s">
        <v>60</v>
      </c>
      <c r="X133" s="2332" t="s">
        <v>1252</v>
      </c>
      <c r="Y133" s="3252">
        <v>9110</v>
      </c>
      <c r="Z133" s="3252">
        <v>8787</v>
      </c>
      <c r="AA133" s="3252">
        <v>4273</v>
      </c>
      <c r="AB133" s="3252">
        <v>3599</v>
      </c>
      <c r="AC133" s="3252">
        <v>7463</v>
      </c>
      <c r="AD133" s="3252">
        <v>2562</v>
      </c>
      <c r="AE133" s="3168"/>
      <c r="AF133" s="3168"/>
      <c r="AG133" s="3168"/>
      <c r="AH133" s="3168"/>
      <c r="AI133" s="3168"/>
      <c r="AJ133" s="3168"/>
      <c r="AK133" s="3168"/>
      <c r="AL133" s="3168"/>
      <c r="AM133" s="3168"/>
      <c r="AN133" s="3168">
        <v>17897</v>
      </c>
      <c r="AO133" s="924">
        <v>43490</v>
      </c>
      <c r="AP133" s="924">
        <v>43819</v>
      </c>
      <c r="AQ133" s="3151" t="s">
        <v>1229</v>
      </c>
      <c r="AR133" s="1867"/>
      <c r="AS133" s="1867"/>
      <c r="AT133" s="1867"/>
      <c r="AU133" s="1867"/>
      <c r="AV133" s="1867"/>
      <c r="AW133" s="1867"/>
      <c r="AX133" s="1867"/>
      <c r="AY133" s="1867"/>
      <c r="AZ133" s="1867"/>
      <c r="BA133" s="1867"/>
      <c r="BB133" s="1867"/>
      <c r="BC133" s="1867"/>
      <c r="BD133" s="1867"/>
      <c r="BE133" s="1867"/>
      <c r="BF133" s="1867"/>
      <c r="BG133" s="1867"/>
      <c r="BH133" s="1867"/>
      <c r="BI133" s="1867"/>
      <c r="BJ133" s="1867"/>
      <c r="BK133" s="1867"/>
      <c r="BL133" s="1867"/>
      <c r="BM133" s="1867"/>
      <c r="BN133" s="1867"/>
      <c r="BO133" s="1867"/>
      <c r="BP133" s="1867"/>
      <c r="BQ133" s="1867"/>
    </row>
    <row r="134" spans="1:69" s="362" customFormat="1" ht="48" customHeight="1" x14ac:dyDescent="0.2">
      <c r="A134" s="3341"/>
      <c r="B134" s="3345"/>
      <c r="C134" s="3346"/>
      <c r="D134" s="3258"/>
      <c r="E134" s="3259"/>
      <c r="F134" s="3259"/>
      <c r="G134" s="369"/>
      <c r="H134" s="916"/>
      <c r="I134" s="917"/>
      <c r="J134" s="3173"/>
      <c r="K134" s="3163"/>
      <c r="L134" s="3261"/>
      <c r="M134" s="3173"/>
      <c r="N134" s="2338"/>
      <c r="O134" s="3160"/>
      <c r="P134" s="3176"/>
      <c r="Q134" s="3225"/>
      <c r="R134" s="3240"/>
      <c r="S134" s="3179"/>
      <c r="T134" s="3179"/>
      <c r="U134" s="3243"/>
      <c r="V134" s="2279">
        <f>74499598+13547000</f>
        <v>88046598</v>
      </c>
      <c r="W134" s="1401">
        <v>88</v>
      </c>
      <c r="X134" s="2339" t="s">
        <v>942</v>
      </c>
      <c r="Y134" s="3253"/>
      <c r="Z134" s="3253"/>
      <c r="AA134" s="3253"/>
      <c r="AB134" s="3253"/>
      <c r="AC134" s="3253"/>
      <c r="AD134" s="3253"/>
      <c r="AE134" s="3168"/>
      <c r="AF134" s="3168"/>
      <c r="AG134" s="3168"/>
      <c r="AH134" s="3168"/>
      <c r="AI134" s="3168"/>
      <c r="AJ134" s="3168"/>
      <c r="AK134" s="3168"/>
      <c r="AL134" s="3168"/>
      <c r="AM134" s="3168"/>
      <c r="AN134" s="3168"/>
      <c r="AO134" s="924"/>
      <c r="AP134" s="924"/>
      <c r="AQ134" s="3151"/>
      <c r="AR134" s="1867"/>
      <c r="AS134" s="1867"/>
      <c r="AT134" s="1867"/>
      <c r="AU134" s="1867"/>
      <c r="AV134" s="1867"/>
      <c r="AW134" s="1867"/>
      <c r="AX134" s="1867"/>
      <c r="AY134" s="1867"/>
      <c r="AZ134" s="1867"/>
      <c r="BA134" s="1867"/>
      <c r="BB134" s="1867"/>
      <c r="BC134" s="1867"/>
      <c r="BD134" s="1867"/>
      <c r="BE134" s="1867"/>
      <c r="BF134" s="1867"/>
      <c r="BG134" s="1867"/>
      <c r="BH134" s="1867"/>
      <c r="BI134" s="1867"/>
      <c r="BJ134" s="1867"/>
      <c r="BK134" s="1867"/>
      <c r="BL134" s="1867"/>
      <c r="BM134" s="1867"/>
      <c r="BN134" s="1867"/>
      <c r="BO134" s="1867"/>
      <c r="BP134" s="1867"/>
      <c r="BQ134" s="1867"/>
    </row>
    <row r="135" spans="1:69" s="362" customFormat="1" ht="37.5" customHeight="1" x14ac:dyDescent="0.2">
      <c r="A135" s="3341"/>
      <c r="B135" s="3345"/>
      <c r="C135" s="3346"/>
      <c r="D135" s="3258"/>
      <c r="E135" s="3259"/>
      <c r="F135" s="3259"/>
      <c r="G135" s="369"/>
      <c r="H135" s="916"/>
      <c r="I135" s="917"/>
      <c r="J135" s="3230">
        <v>237</v>
      </c>
      <c r="K135" s="3231" t="s">
        <v>1335</v>
      </c>
      <c r="L135" s="3231" t="s">
        <v>1336</v>
      </c>
      <c r="M135" s="3230">
        <v>5</v>
      </c>
      <c r="N135" s="2338"/>
      <c r="O135" s="3160"/>
      <c r="P135" s="3176"/>
      <c r="Q135" s="3225">
        <f>SUM(V135:V136)/R133</f>
        <v>1.8941782092732996E-2</v>
      </c>
      <c r="R135" s="3240"/>
      <c r="S135" s="3179"/>
      <c r="T135" s="3179"/>
      <c r="U135" s="1443" t="s">
        <v>1337</v>
      </c>
      <c r="V135" s="2295">
        <v>10000000</v>
      </c>
      <c r="W135" s="1403">
        <v>20</v>
      </c>
      <c r="X135" s="2336" t="s">
        <v>61</v>
      </c>
      <c r="Y135" s="3254"/>
      <c r="Z135" s="3253"/>
      <c r="AA135" s="3253"/>
      <c r="AB135" s="3253"/>
      <c r="AC135" s="3253"/>
      <c r="AD135" s="3253"/>
      <c r="AE135" s="3169"/>
      <c r="AF135" s="3169"/>
      <c r="AG135" s="3169"/>
      <c r="AH135" s="3169"/>
      <c r="AI135" s="3169"/>
      <c r="AJ135" s="3169"/>
      <c r="AK135" s="3169"/>
      <c r="AL135" s="3169"/>
      <c r="AM135" s="3169"/>
      <c r="AN135" s="3169"/>
      <c r="AO135" s="924">
        <v>43480</v>
      </c>
      <c r="AP135" s="924">
        <v>43646</v>
      </c>
      <c r="AQ135" s="3251"/>
      <c r="AR135" s="1867"/>
      <c r="AS135" s="1867"/>
      <c r="AT135" s="1867"/>
      <c r="AU135" s="1867"/>
      <c r="AV135" s="1867"/>
      <c r="AW135" s="1867"/>
      <c r="AX135" s="1867"/>
      <c r="AY135" s="1867"/>
      <c r="AZ135" s="1867"/>
      <c r="BA135" s="1867"/>
      <c r="BB135" s="1867"/>
      <c r="BC135" s="1867"/>
      <c r="BD135" s="1867"/>
      <c r="BE135" s="1867"/>
      <c r="BF135" s="1867"/>
      <c r="BG135" s="1867"/>
      <c r="BH135" s="1867"/>
      <c r="BI135" s="1867"/>
      <c r="BJ135" s="1867"/>
      <c r="BK135" s="1867"/>
      <c r="BL135" s="1867"/>
      <c r="BM135" s="1867"/>
      <c r="BN135" s="1867"/>
      <c r="BO135" s="1867"/>
      <c r="BP135" s="1867"/>
      <c r="BQ135" s="1867"/>
    </row>
    <row r="136" spans="1:69" s="362" customFormat="1" ht="55.5" customHeight="1" x14ac:dyDescent="0.2">
      <c r="A136" s="3341"/>
      <c r="B136" s="3345"/>
      <c r="C136" s="3346"/>
      <c r="D136" s="3258"/>
      <c r="E136" s="3259"/>
      <c r="F136" s="3259"/>
      <c r="G136" s="369"/>
      <c r="H136" s="916"/>
      <c r="I136" s="917"/>
      <c r="J136" s="3230"/>
      <c r="K136" s="3231"/>
      <c r="L136" s="3231"/>
      <c r="M136" s="3230"/>
      <c r="N136" s="2338"/>
      <c r="O136" s="3160"/>
      <c r="P136" s="3176"/>
      <c r="Q136" s="3225"/>
      <c r="R136" s="3240"/>
      <c r="S136" s="3179"/>
      <c r="T136" s="3179"/>
      <c r="U136" s="1444" t="s">
        <v>1338</v>
      </c>
      <c r="V136" s="2296">
        <f>11850000-1850000</f>
        <v>10000000</v>
      </c>
      <c r="W136" s="1403">
        <v>20</v>
      </c>
      <c r="X136" s="2336" t="s">
        <v>61</v>
      </c>
      <c r="Y136" s="3254"/>
      <c r="Z136" s="3253"/>
      <c r="AA136" s="3253"/>
      <c r="AB136" s="3253"/>
      <c r="AC136" s="3253"/>
      <c r="AD136" s="3253"/>
      <c r="AE136" s="3169"/>
      <c r="AF136" s="3169"/>
      <c r="AG136" s="3169"/>
      <c r="AH136" s="3169"/>
      <c r="AI136" s="3169"/>
      <c r="AJ136" s="3169"/>
      <c r="AK136" s="3169"/>
      <c r="AL136" s="3169"/>
      <c r="AM136" s="3169"/>
      <c r="AN136" s="3169"/>
      <c r="AO136" s="924">
        <v>43485</v>
      </c>
      <c r="AP136" s="924">
        <v>43610</v>
      </c>
      <c r="AQ136" s="3251"/>
      <c r="AR136" s="1867"/>
      <c r="AS136" s="1867"/>
      <c r="AT136" s="1867"/>
      <c r="AU136" s="1867"/>
      <c r="AV136" s="1867"/>
      <c r="AW136" s="1867"/>
      <c r="AX136" s="1867"/>
      <c r="AY136" s="1867"/>
      <c r="AZ136" s="1867"/>
      <c r="BA136" s="1867"/>
      <c r="BB136" s="1867"/>
      <c r="BC136" s="1867"/>
      <c r="BD136" s="1867"/>
      <c r="BE136" s="1867"/>
      <c r="BF136" s="1867"/>
      <c r="BG136" s="1867"/>
      <c r="BH136" s="1867"/>
      <c r="BI136" s="1867"/>
      <c r="BJ136" s="1867"/>
      <c r="BK136" s="1867"/>
      <c r="BL136" s="1867"/>
      <c r="BM136" s="1867"/>
      <c r="BN136" s="1867"/>
      <c r="BO136" s="1867"/>
      <c r="BP136" s="1867"/>
      <c r="BQ136" s="1867"/>
    </row>
    <row r="137" spans="1:69" s="362" customFormat="1" ht="27.75" customHeight="1" x14ac:dyDescent="0.2">
      <c r="A137" s="3341"/>
      <c r="B137" s="3345"/>
      <c r="C137" s="3346"/>
      <c r="D137" s="3258"/>
      <c r="E137" s="3259"/>
      <c r="F137" s="3259"/>
      <c r="G137" s="369"/>
      <c r="H137" s="916"/>
      <c r="I137" s="917"/>
      <c r="J137" s="3220">
        <v>238</v>
      </c>
      <c r="K137" s="3221" t="s">
        <v>1339</v>
      </c>
      <c r="L137" s="3233" t="s">
        <v>1340</v>
      </c>
      <c r="M137" s="3220">
        <v>12</v>
      </c>
      <c r="N137" s="2338"/>
      <c r="O137" s="3160"/>
      <c r="P137" s="3176"/>
      <c r="Q137" s="3236">
        <f>SUM(V137:V147)/R133</f>
        <v>0.12220373492714438</v>
      </c>
      <c r="R137" s="3240"/>
      <c r="S137" s="3179"/>
      <c r="T137" s="3195"/>
      <c r="U137" s="3229" t="s">
        <v>1341</v>
      </c>
      <c r="V137" s="2280">
        <f>23000000-4559834</f>
        <v>18440166</v>
      </c>
      <c r="W137" s="1637">
        <v>20</v>
      </c>
      <c r="X137" s="2340" t="s">
        <v>61</v>
      </c>
      <c r="Y137" s="3253"/>
      <c r="Z137" s="3253"/>
      <c r="AA137" s="3253"/>
      <c r="AB137" s="3253"/>
      <c r="AC137" s="3253"/>
      <c r="AD137" s="3253"/>
      <c r="AE137" s="3169"/>
      <c r="AF137" s="3169"/>
      <c r="AG137" s="3169"/>
      <c r="AH137" s="3169"/>
      <c r="AI137" s="3169"/>
      <c r="AJ137" s="3169"/>
      <c r="AK137" s="3169"/>
      <c r="AL137" s="3169"/>
      <c r="AM137" s="3169"/>
      <c r="AN137" s="3169"/>
      <c r="AO137" s="924">
        <v>43480</v>
      </c>
      <c r="AP137" s="924">
        <v>43281</v>
      </c>
      <c r="AQ137" s="3251"/>
      <c r="AR137" s="1867"/>
      <c r="AS137" s="1867"/>
      <c r="AT137" s="1867"/>
      <c r="AU137" s="1867"/>
      <c r="AV137" s="1867"/>
      <c r="AW137" s="1867"/>
      <c r="AX137" s="1867"/>
      <c r="AY137" s="1867"/>
      <c r="AZ137" s="1867"/>
      <c r="BA137" s="1867"/>
      <c r="BB137" s="1867"/>
      <c r="BC137" s="1867"/>
      <c r="BD137" s="1867"/>
      <c r="BE137" s="1867"/>
      <c r="BF137" s="1867"/>
      <c r="BG137" s="1867"/>
      <c r="BH137" s="1867"/>
      <c r="BI137" s="1867"/>
      <c r="BJ137" s="1867"/>
      <c r="BK137" s="1867"/>
      <c r="BL137" s="1867"/>
      <c r="BM137" s="1867"/>
      <c r="BN137" s="1867"/>
      <c r="BO137" s="1867"/>
      <c r="BP137" s="1867"/>
      <c r="BQ137" s="1867"/>
    </row>
    <row r="138" spans="1:69" s="362" customFormat="1" ht="27.75" customHeight="1" x14ac:dyDescent="0.2">
      <c r="A138" s="3341"/>
      <c r="B138" s="3345"/>
      <c r="C138" s="3346"/>
      <c r="D138" s="3258"/>
      <c r="E138" s="3259"/>
      <c r="F138" s="3259"/>
      <c r="G138" s="369"/>
      <c r="H138" s="916"/>
      <c r="I138" s="917"/>
      <c r="J138" s="3170"/>
      <c r="K138" s="3232"/>
      <c r="L138" s="3234"/>
      <c r="M138" s="3170"/>
      <c r="N138" s="2338"/>
      <c r="O138" s="3160"/>
      <c r="P138" s="3176"/>
      <c r="Q138" s="3237"/>
      <c r="R138" s="3240"/>
      <c r="S138" s="3179"/>
      <c r="T138" s="3195"/>
      <c r="U138" s="3229"/>
      <c r="V138" s="2280">
        <f>0+20000000+11618000</f>
        <v>31618000</v>
      </c>
      <c r="W138" s="1638">
        <v>88</v>
      </c>
      <c r="X138" s="2339" t="s">
        <v>942</v>
      </c>
      <c r="Y138" s="3253"/>
      <c r="Z138" s="3253"/>
      <c r="AA138" s="3253"/>
      <c r="AB138" s="3253"/>
      <c r="AC138" s="3253"/>
      <c r="AD138" s="3253"/>
      <c r="AE138" s="3169"/>
      <c r="AF138" s="3169"/>
      <c r="AG138" s="3169"/>
      <c r="AH138" s="3169"/>
      <c r="AI138" s="3169"/>
      <c r="AJ138" s="3169"/>
      <c r="AK138" s="3169"/>
      <c r="AL138" s="3169"/>
      <c r="AM138" s="3169"/>
      <c r="AN138" s="3169"/>
      <c r="AO138" s="924"/>
      <c r="AP138" s="924"/>
      <c r="AQ138" s="3251"/>
      <c r="AR138" s="1867"/>
      <c r="AS138" s="1867"/>
      <c r="AT138" s="1867"/>
      <c r="AU138" s="1867"/>
      <c r="AV138" s="1867"/>
      <c r="AW138" s="1867"/>
      <c r="AX138" s="1867"/>
      <c r="AY138" s="1867"/>
      <c r="AZ138" s="1867"/>
      <c r="BA138" s="1867"/>
      <c r="BB138" s="1867"/>
      <c r="BC138" s="1867"/>
      <c r="BD138" s="1867"/>
      <c r="BE138" s="1867"/>
      <c r="BF138" s="1867"/>
      <c r="BG138" s="1867"/>
      <c r="BH138" s="1867"/>
      <c r="BI138" s="1867"/>
      <c r="BJ138" s="1867"/>
      <c r="BK138" s="1867"/>
      <c r="BL138" s="1867"/>
      <c r="BM138" s="1867"/>
      <c r="BN138" s="1867"/>
      <c r="BO138" s="1867"/>
      <c r="BP138" s="1867"/>
      <c r="BQ138" s="1867"/>
    </row>
    <row r="139" spans="1:69" s="362" customFormat="1" ht="28.5" customHeight="1" x14ac:dyDescent="0.2">
      <c r="A139" s="3341"/>
      <c r="B139" s="3345"/>
      <c r="C139" s="3346"/>
      <c r="D139" s="3258"/>
      <c r="E139" s="3259"/>
      <c r="F139" s="3259"/>
      <c r="G139" s="369"/>
      <c r="H139" s="916"/>
      <c r="I139" s="917"/>
      <c r="J139" s="3170"/>
      <c r="K139" s="3232"/>
      <c r="L139" s="3234"/>
      <c r="M139" s="3170"/>
      <c r="N139" s="2338"/>
      <c r="O139" s="3160"/>
      <c r="P139" s="3176"/>
      <c r="Q139" s="3237"/>
      <c r="R139" s="3240"/>
      <c r="S139" s="3179"/>
      <c r="T139" s="3195"/>
      <c r="U139" s="3229" t="s">
        <v>1342</v>
      </c>
      <c r="V139" s="2280">
        <f>15550000-15550000</f>
        <v>0</v>
      </c>
      <c r="W139" s="1639">
        <v>20</v>
      </c>
      <c r="X139" s="2333" t="s">
        <v>61</v>
      </c>
      <c r="Y139" s="3254"/>
      <c r="Z139" s="3253"/>
      <c r="AA139" s="3253"/>
      <c r="AB139" s="3253"/>
      <c r="AC139" s="3253"/>
      <c r="AD139" s="3253"/>
      <c r="AE139" s="3169"/>
      <c r="AF139" s="3169"/>
      <c r="AG139" s="3169"/>
      <c r="AH139" s="3169"/>
      <c r="AI139" s="3169"/>
      <c r="AJ139" s="3169"/>
      <c r="AK139" s="3169"/>
      <c r="AL139" s="3169"/>
      <c r="AM139" s="3169"/>
      <c r="AN139" s="3169"/>
      <c r="AO139" s="924"/>
      <c r="AP139" s="924"/>
      <c r="AQ139" s="3251"/>
      <c r="AR139" s="1867"/>
      <c r="AS139" s="1867"/>
      <c r="AT139" s="1867"/>
      <c r="AU139" s="1867"/>
      <c r="AV139" s="1867"/>
      <c r="AW139" s="1867"/>
      <c r="AX139" s="1867"/>
      <c r="AY139" s="1867"/>
      <c r="AZ139" s="1867"/>
      <c r="BA139" s="1867"/>
      <c r="BB139" s="1867"/>
      <c r="BC139" s="1867"/>
      <c r="BD139" s="1867"/>
      <c r="BE139" s="1867"/>
      <c r="BF139" s="1867"/>
      <c r="BG139" s="1867"/>
      <c r="BH139" s="1867"/>
      <c r="BI139" s="1867"/>
      <c r="BJ139" s="1867"/>
      <c r="BK139" s="1867"/>
      <c r="BL139" s="1867"/>
      <c r="BM139" s="1867"/>
      <c r="BN139" s="1867"/>
      <c r="BO139" s="1867"/>
      <c r="BP139" s="1867"/>
      <c r="BQ139" s="1867"/>
    </row>
    <row r="140" spans="1:69" s="362" customFormat="1" ht="28.5" customHeight="1" x14ac:dyDescent="0.2">
      <c r="A140" s="3341"/>
      <c r="B140" s="3345"/>
      <c r="C140" s="3346"/>
      <c r="D140" s="3258"/>
      <c r="E140" s="3259"/>
      <c r="F140" s="3259"/>
      <c r="G140" s="369"/>
      <c r="H140" s="916"/>
      <c r="I140" s="917"/>
      <c r="J140" s="3170"/>
      <c r="K140" s="3232"/>
      <c r="L140" s="3234"/>
      <c r="M140" s="3170"/>
      <c r="N140" s="2338"/>
      <c r="O140" s="3160"/>
      <c r="P140" s="3176"/>
      <c r="Q140" s="3237"/>
      <c r="R140" s="3240"/>
      <c r="S140" s="3179"/>
      <c r="T140" s="3195"/>
      <c r="U140" s="3229"/>
      <c r="V140" s="2280">
        <f>0+15000000</f>
        <v>15000000</v>
      </c>
      <c r="W140" s="1638">
        <v>88</v>
      </c>
      <c r="X140" s="2339" t="s">
        <v>942</v>
      </c>
      <c r="Y140" s="3254"/>
      <c r="Z140" s="3253"/>
      <c r="AA140" s="3253"/>
      <c r="AB140" s="3253"/>
      <c r="AC140" s="3253"/>
      <c r="AD140" s="3253"/>
      <c r="AE140" s="3169"/>
      <c r="AF140" s="3169"/>
      <c r="AG140" s="3169"/>
      <c r="AH140" s="3169"/>
      <c r="AI140" s="3169"/>
      <c r="AJ140" s="3169"/>
      <c r="AK140" s="3169"/>
      <c r="AL140" s="3169"/>
      <c r="AM140" s="3169"/>
      <c r="AN140" s="3169"/>
      <c r="AO140" s="924"/>
      <c r="AP140" s="924"/>
      <c r="AQ140" s="3251"/>
      <c r="AR140" s="1867"/>
      <c r="AS140" s="1867"/>
      <c r="AT140" s="1867"/>
      <c r="AU140" s="1867"/>
      <c r="AV140" s="1867"/>
      <c r="AW140" s="1867"/>
      <c r="AX140" s="1867"/>
      <c r="AY140" s="1867"/>
      <c r="AZ140" s="1867"/>
      <c r="BA140" s="1867"/>
      <c r="BB140" s="1867"/>
      <c r="BC140" s="1867"/>
      <c r="BD140" s="1867"/>
      <c r="BE140" s="1867"/>
      <c r="BF140" s="1867"/>
      <c r="BG140" s="1867"/>
      <c r="BH140" s="1867"/>
      <c r="BI140" s="1867"/>
      <c r="BJ140" s="1867"/>
      <c r="BK140" s="1867"/>
      <c r="BL140" s="1867"/>
      <c r="BM140" s="1867"/>
      <c r="BN140" s="1867"/>
      <c r="BO140" s="1867"/>
      <c r="BP140" s="1867"/>
      <c r="BQ140" s="1867"/>
    </row>
    <row r="141" spans="1:69" s="362" customFormat="1" ht="28.5" customHeight="1" x14ac:dyDescent="0.2">
      <c r="A141" s="3341"/>
      <c r="B141" s="3345"/>
      <c r="C141" s="3346"/>
      <c r="D141" s="3258"/>
      <c r="E141" s="3259"/>
      <c r="F141" s="3259"/>
      <c r="G141" s="369"/>
      <c r="H141" s="916"/>
      <c r="I141" s="917"/>
      <c r="J141" s="3170"/>
      <c r="K141" s="3232"/>
      <c r="L141" s="3234"/>
      <c r="M141" s="3170"/>
      <c r="N141" s="2338"/>
      <c r="O141" s="3160"/>
      <c r="P141" s="3176"/>
      <c r="Q141" s="3237"/>
      <c r="R141" s="3240"/>
      <c r="S141" s="3179"/>
      <c r="T141" s="3195"/>
      <c r="U141" s="3229" t="s">
        <v>1343</v>
      </c>
      <c r="V141" s="2280">
        <v>13000000</v>
      </c>
      <c r="W141" s="1639">
        <v>20</v>
      </c>
      <c r="X141" s="2333" t="s">
        <v>61</v>
      </c>
      <c r="Y141" s="3254"/>
      <c r="Z141" s="3253"/>
      <c r="AA141" s="3253"/>
      <c r="AB141" s="3253"/>
      <c r="AC141" s="3253"/>
      <c r="AD141" s="3253"/>
      <c r="AE141" s="3169"/>
      <c r="AF141" s="3169"/>
      <c r="AG141" s="3169"/>
      <c r="AH141" s="3169"/>
      <c r="AI141" s="3169"/>
      <c r="AJ141" s="3169"/>
      <c r="AK141" s="3169"/>
      <c r="AL141" s="3169"/>
      <c r="AM141" s="3169"/>
      <c r="AN141" s="3169"/>
      <c r="AO141" s="924"/>
      <c r="AP141" s="924"/>
      <c r="AQ141" s="3251"/>
      <c r="AR141" s="1867"/>
      <c r="AS141" s="1867"/>
      <c r="AT141" s="1867"/>
      <c r="AU141" s="1867"/>
      <c r="AV141" s="1867"/>
      <c r="AW141" s="1867"/>
      <c r="AX141" s="1867"/>
      <c r="AY141" s="1867"/>
      <c r="AZ141" s="1867"/>
      <c r="BA141" s="1867"/>
      <c r="BB141" s="1867"/>
      <c r="BC141" s="1867"/>
      <c r="BD141" s="1867"/>
      <c r="BE141" s="1867"/>
      <c r="BF141" s="1867"/>
      <c r="BG141" s="1867"/>
      <c r="BH141" s="1867"/>
      <c r="BI141" s="1867"/>
      <c r="BJ141" s="1867"/>
      <c r="BK141" s="1867"/>
      <c r="BL141" s="1867"/>
      <c r="BM141" s="1867"/>
      <c r="BN141" s="1867"/>
      <c r="BO141" s="1867"/>
      <c r="BP141" s="1867"/>
      <c r="BQ141" s="1867"/>
    </row>
    <row r="142" spans="1:69" s="362" customFormat="1" ht="28.5" customHeight="1" x14ac:dyDescent="0.2">
      <c r="A142" s="3341"/>
      <c r="B142" s="3345"/>
      <c r="C142" s="3346"/>
      <c r="D142" s="3258"/>
      <c r="E142" s="3259"/>
      <c r="F142" s="3259"/>
      <c r="G142" s="369"/>
      <c r="H142" s="916"/>
      <c r="I142" s="917"/>
      <c r="J142" s="3170"/>
      <c r="K142" s="3232"/>
      <c r="L142" s="3234"/>
      <c r="M142" s="3170"/>
      <c r="N142" s="2338"/>
      <c r="O142" s="3160"/>
      <c r="P142" s="3176"/>
      <c r="Q142" s="3237"/>
      <c r="R142" s="3240"/>
      <c r="S142" s="3179"/>
      <c r="T142" s="3195"/>
      <c r="U142" s="3229"/>
      <c r="V142" s="2280">
        <f>0+11000000</f>
        <v>11000000</v>
      </c>
      <c r="W142" s="1638">
        <v>88</v>
      </c>
      <c r="X142" s="2339" t="s">
        <v>942</v>
      </c>
      <c r="Y142" s="3254"/>
      <c r="Z142" s="3253"/>
      <c r="AA142" s="3253"/>
      <c r="AB142" s="3253"/>
      <c r="AC142" s="3253"/>
      <c r="AD142" s="3253"/>
      <c r="AE142" s="3169"/>
      <c r="AF142" s="3169"/>
      <c r="AG142" s="3169"/>
      <c r="AH142" s="3169"/>
      <c r="AI142" s="3169"/>
      <c r="AJ142" s="3169"/>
      <c r="AK142" s="3169"/>
      <c r="AL142" s="3169"/>
      <c r="AM142" s="3169"/>
      <c r="AN142" s="3169"/>
      <c r="AO142" s="924"/>
      <c r="AP142" s="924"/>
      <c r="AQ142" s="3251"/>
      <c r="AR142" s="1867"/>
      <c r="AS142" s="1867"/>
      <c r="AT142" s="1867"/>
      <c r="AU142" s="1867"/>
      <c r="AV142" s="1867"/>
      <c r="AW142" s="1867"/>
      <c r="AX142" s="1867"/>
      <c r="AY142" s="1867"/>
      <c r="AZ142" s="1867"/>
      <c r="BA142" s="1867"/>
      <c r="BB142" s="1867"/>
      <c r="BC142" s="1867"/>
      <c r="BD142" s="1867"/>
      <c r="BE142" s="1867"/>
      <c r="BF142" s="1867"/>
      <c r="BG142" s="1867"/>
      <c r="BH142" s="1867"/>
      <c r="BI142" s="1867"/>
      <c r="BJ142" s="1867"/>
      <c r="BK142" s="1867"/>
      <c r="BL142" s="1867"/>
      <c r="BM142" s="1867"/>
      <c r="BN142" s="1867"/>
      <c r="BO142" s="1867"/>
      <c r="BP142" s="1867"/>
      <c r="BQ142" s="1867"/>
    </row>
    <row r="143" spans="1:69" s="362" customFormat="1" ht="28.5" customHeight="1" x14ac:dyDescent="0.2">
      <c r="A143" s="3341"/>
      <c r="B143" s="3345"/>
      <c r="C143" s="3346"/>
      <c r="D143" s="3258"/>
      <c r="E143" s="3259"/>
      <c r="F143" s="3259"/>
      <c r="G143" s="369"/>
      <c r="H143" s="916"/>
      <c r="I143" s="917"/>
      <c r="J143" s="3170"/>
      <c r="K143" s="3232"/>
      <c r="L143" s="3234"/>
      <c r="M143" s="3170"/>
      <c r="N143" s="2338"/>
      <c r="O143" s="3160"/>
      <c r="P143" s="3176"/>
      <c r="Q143" s="3237"/>
      <c r="R143" s="3240"/>
      <c r="S143" s="3179"/>
      <c r="T143" s="3195"/>
      <c r="U143" s="3229" t="s">
        <v>1344</v>
      </c>
      <c r="V143" s="2280">
        <f>11000000-9535882</f>
        <v>1464118</v>
      </c>
      <c r="W143" s="1639">
        <v>20</v>
      </c>
      <c r="X143" s="2333" t="s">
        <v>61</v>
      </c>
      <c r="Y143" s="3254"/>
      <c r="Z143" s="3253"/>
      <c r="AA143" s="3253"/>
      <c r="AB143" s="3253"/>
      <c r="AC143" s="3253"/>
      <c r="AD143" s="3253"/>
      <c r="AE143" s="3169"/>
      <c r="AF143" s="3169"/>
      <c r="AG143" s="3169"/>
      <c r="AH143" s="3169"/>
      <c r="AI143" s="3169"/>
      <c r="AJ143" s="3169"/>
      <c r="AK143" s="3169"/>
      <c r="AL143" s="3169"/>
      <c r="AM143" s="3169"/>
      <c r="AN143" s="3169"/>
      <c r="AO143" s="924"/>
      <c r="AP143" s="924"/>
      <c r="AQ143" s="3251"/>
      <c r="AR143" s="1867"/>
      <c r="AS143" s="1867"/>
      <c r="AT143" s="1867"/>
      <c r="AU143" s="1867"/>
      <c r="AV143" s="1867"/>
      <c r="AW143" s="1867"/>
      <c r="AX143" s="1867"/>
      <c r="AY143" s="1867"/>
      <c r="AZ143" s="1867"/>
      <c r="BA143" s="1867"/>
      <c r="BB143" s="1867"/>
      <c r="BC143" s="1867"/>
      <c r="BD143" s="1867"/>
      <c r="BE143" s="1867"/>
      <c r="BF143" s="1867"/>
      <c r="BG143" s="1867"/>
      <c r="BH143" s="1867"/>
      <c r="BI143" s="1867"/>
      <c r="BJ143" s="1867"/>
      <c r="BK143" s="1867"/>
      <c r="BL143" s="1867"/>
      <c r="BM143" s="1867"/>
      <c r="BN143" s="1867"/>
      <c r="BO143" s="1867"/>
      <c r="BP143" s="1867"/>
      <c r="BQ143" s="1867"/>
    </row>
    <row r="144" spans="1:69" s="362" customFormat="1" ht="28.5" customHeight="1" x14ac:dyDescent="0.2">
      <c r="A144" s="3341"/>
      <c r="B144" s="3345"/>
      <c r="C144" s="3346"/>
      <c r="D144" s="3258"/>
      <c r="E144" s="3259"/>
      <c r="F144" s="3259"/>
      <c r="G144" s="369"/>
      <c r="H144" s="916"/>
      <c r="I144" s="917"/>
      <c r="J144" s="3170"/>
      <c r="K144" s="3232"/>
      <c r="L144" s="3234"/>
      <c r="M144" s="3170"/>
      <c r="N144" s="2338"/>
      <c r="O144" s="3160"/>
      <c r="P144" s="3176"/>
      <c r="Q144" s="3237"/>
      <c r="R144" s="3240"/>
      <c r="S144" s="3179"/>
      <c r="T144" s="3195"/>
      <c r="U144" s="3229"/>
      <c r="V144" s="2280">
        <f>0+2035882</f>
        <v>2035882</v>
      </c>
      <c r="W144" s="1638">
        <v>88</v>
      </c>
      <c r="X144" s="2339" t="s">
        <v>942</v>
      </c>
      <c r="Y144" s="3254"/>
      <c r="Z144" s="3253"/>
      <c r="AA144" s="3253"/>
      <c r="AB144" s="3253"/>
      <c r="AC144" s="3253"/>
      <c r="AD144" s="3253"/>
      <c r="AE144" s="3169"/>
      <c r="AF144" s="3169"/>
      <c r="AG144" s="3169"/>
      <c r="AH144" s="3169"/>
      <c r="AI144" s="3169"/>
      <c r="AJ144" s="3169"/>
      <c r="AK144" s="3169"/>
      <c r="AL144" s="3169"/>
      <c r="AM144" s="3169"/>
      <c r="AN144" s="3169"/>
      <c r="AO144" s="924"/>
      <c r="AP144" s="924"/>
      <c r="AQ144" s="3251"/>
      <c r="AR144" s="1867"/>
      <c r="AS144" s="1867"/>
      <c r="AT144" s="1867"/>
      <c r="AU144" s="1867"/>
      <c r="AV144" s="1867"/>
      <c r="AW144" s="1867"/>
      <c r="AX144" s="1867"/>
      <c r="AY144" s="1867"/>
      <c r="AZ144" s="1867"/>
      <c r="BA144" s="1867"/>
      <c r="BB144" s="1867"/>
      <c r="BC144" s="1867"/>
      <c r="BD144" s="1867"/>
      <c r="BE144" s="1867"/>
      <c r="BF144" s="1867"/>
      <c r="BG144" s="1867"/>
      <c r="BH144" s="1867"/>
      <c r="BI144" s="1867"/>
      <c r="BJ144" s="1867"/>
      <c r="BK144" s="1867"/>
      <c r="BL144" s="1867"/>
      <c r="BM144" s="1867"/>
      <c r="BN144" s="1867"/>
      <c r="BO144" s="1867"/>
      <c r="BP144" s="1867"/>
      <c r="BQ144" s="1867"/>
    </row>
    <row r="145" spans="1:69" s="362" customFormat="1" ht="28.5" customHeight="1" x14ac:dyDescent="0.2">
      <c r="A145" s="3341"/>
      <c r="B145" s="3345"/>
      <c r="C145" s="3346"/>
      <c r="D145" s="3258"/>
      <c r="E145" s="3259"/>
      <c r="F145" s="3259"/>
      <c r="G145" s="369"/>
      <c r="H145" s="916"/>
      <c r="I145" s="917"/>
      <c r="J145" s="3170"/>
      <c r="K145" s="3232"/>
      <c r="L145" s="3234"/>
      <c r="M145" s="3170"/>
      <c r="N145" s="2338"/>
      <c r="O145" s="3160"/>
      <c r="P145" s="3176"/>
      <c r="Q145" s="3237"/>
      <c r="R145" s="3240"/>
      <c r="S145" s="3179"/>
      <c r="T145" s="3195"/>
      <c r="U145" s="2335" t="s">
        <v>1345</v>
      </c>
      <c r="V145" s="2297">
        <f>0+22889708</f>
        <v>22889708</v>
      </c>
      <c r="W145" s="1638">
        <v>88</v>
      </c>
      <c r="X145" s="2339" t="s">
        <v>942</v>
      </c>
      <c r="Y145" s="3254"/>
      <c r="Z145" s="3253"/>
      <c r="AA145" s="3253"/>
      <c r="AB145" s="3253"/>
      <c r="AC145" s="3253"/>
      <c r="AD145" s="3253"/>
      <c r="AE145" s="3169"/>
      <c r="AF145" s="3169"/>
      <c r="AG145" s="3169"/>
      <c r="AH145" s="3169"/>
      <c r="AI145" s="3169"/>
      <c r="AJ145" s="3169"/>
      <c r="AK145" s="3169"/>
      <c r="AL145" s="3169"/>
      <c r="AM145" s="3169"/>
      <c r="AN145" s="3169"/>
      <c r="AO145" s="924"/>
      <c r="AP145" s="924"/>
      <c r="AQ145" s="3251"/>
      <c r="AR145" s="1867"/>
      <c r="AS145" s="1867"/>
      <c r="AT145" s="1867"/>
      <c r="AU145" s="1867"/>
      <c r="AV145" s="1867"/>
      <c r="AW145" s="1867"/>
      <c r="AX145" s="1867"/>
      <c r="AY145" s="1867"/>
      <c r="AZ145" s="1867"/>
      <c r="BA145" s="1867"/>
      <c r="BB145" s="1867"/>
      <c r="BC145" s="1867"/>
      <c r="BD145" s="1867"/>
      <c r="BE145" s="1867"/>
      <c r="BF145" s="1867"/>
      <c r="BG145" s="1867"/>
      <c r="BH145" s="1867"/>
      <c r="BI145" s="1867"/>
      <c r="BJ145" s="1867"/>
      <c r="BK145" s="1867"/>
      <c r="BL145" s="1867"/>
      <c r="BM145" s="1867"/>
      <c r="BN145" s="1867"/>
      <c r="BO145" s="1867"/>
      <c r="BP145" s="1867"/>
      <c r="BQ145" s="1867"/>
    </row>
    <row r="146" spans="1:69" s="362" customFormat="1" ht="28.5" customHeight="1" x14ac:dyDescent="0.2">
      <c r="A146" s="3341"/>
      <c r="B146" s="3345"/>
      <c r="C146" s="3346"/>
      <c r="D146" s="3258"/>
      <c r="E146" s="3259"/>
      <c r="F146" s="3259"/>
      <c r="G146" s="369"/>
      <c r="H146" s="916"/>
      <c r="I146" s="917"/>
      <c r="J146" s="3170"/>
      <c r="K146" s="3232"/>
      <c r="L146" s="3234"/>
      <c r="M146" s="3170"/>
      <c r="N146" s="2338"/>
      <c r="O146" s="3160"/>
      <c r="P146" s="3176"/>
      <c r="Q146" s="3237"/>
      <c r="R146" s="3240"/>
      <c r="S146" s="3179"/>
      <c r="T146" s="3195"/>
      <c r="U146" s="3229" t="s">
        <v>1346</v>
      </c>
      <c r="V146" s="2298">
        <v>10000000</v>
      </c>
      <c r="W146" s="1640">
        <v>20</v>
      </c>
      <c r="X146" s="2341" t="s">
        <v>61</v>
      </c>
      <c r="Y146" s="3254"/>
      <c r="Z146" s="3253"/>
      <c r="AA146" s="3253"/>
      <c r="AB146" s="3253"/>
      <c r="AC146" s="3253"/>
      <c r="AD146" s="3253"/>
      <c r="AE146" s="3169"/>
      <c r="AF146" s="3169"/>
      <c r="AG146" s="3169"/>
      <c r="AH146" s="3169"/>
      <c r="AI146" s="3169"/>
      <c r="AJ146" s="3169"/>
      <c r="AK146" s="3169"/>
      <c r="AL146" s="3169"/>
      <c r="AM146" s="3169"/>
      <c r="AN146" s="3169"/>
      <c r="AO146" s="924"/>
      <c r="AP146" s="924"/>
      <c r="AQ146" s="3251"/>
      <c r="AR146" s="1867"/>
      <c r="AS146" s="1867"/>
      <c r="AT146" s="1867"/>
      <c r="AU146" s="1867"/>
      <c r="AV146" s="1867"/>
      <c r="AW146" s="1867"/>
      <c r="AX146" s="1867"/>
      <c r="AY146" s="1867"/>
      <c r="AZ146" s="1867"/>
      <c r="BA146" s="1867"/>
      <c r="BB146" s="1867"/>
      <c r="BC146" s="1867"/>
      <c r="BD146" s="1867"/>
      <c r="BE146" s="1867"/>
      <c r="BF146" s="1867"/>
      <c r="BG146" s="1867"/>
      <c r="BH146" s="1867"/>
      <c r="BI146" s="1867"/>
      <c r="BJ146" s="1867"/>
      <c r="BK146" s="1867"/>
      <c r="BL146" s="1867"/>
      <c r="BM146" s="1867"/>
      <c r="BN146" s="1867"/>
      <c r="BO146" s="1867"/>
      <c r="BP146" s="1867"/>
      <c r="BQ146" s="1867"/>
    </row>
    <row r="147" spans="1:69" s="362" customFormat="1" ht="28.5" customHeight="1" x14ac:dyDescent="0.2">
      <c r="A147" s="3341"/>
      <c r="B147" s="3345"/>
      <c r="C147" s="3346"/>
      <c r="D147" s="3258"/>
      <c r="E147" s="3259"/>
      <c r="F147" s="3259"/>
      <c r="G147" s="369"/>
      <c r="H147" s="916"/>
      <c r="I147" s="917"/>
      <c r="J147" s="3171"/>
      <c r="K147" s="3222"/>
      <c r="L147" s="3235"/>
      <c r="M147" s="3171"/>
      <c r="N147" s="2338" t="s">
        <v>2547</v>
      </c>
      <c r="O147" s="3160"/>
      <c r="P147" s="3176"/>
      <c r="Q147" s="3238"/>
      <c r="R147" s="3240"/>
      <c r="S147" s="3179"/>
      <c r="T147" s="3195"/>
      <c r="U147" s="3229"/>
      <c r="V147" s="2298">
        <f>0+3583000</f>
        <v>3583000</v>
      </c>
      <c r="W147" s="2342">
        <v>88</v>
      </c>
      <c r="X147" s="2339" t="s">
        <v>942</v>
      </c>
      <c r="Y147" s="3254"/>
      <c r="Z147" s="3253"/>
      <c r="AA147" s="3253"/>
      <c r="AB147" s="3253"/>
      <c r="AC147" s="3253"/>
      <c r="AD147" s="3253"/>
      <c r="AE147" s="3169"/>
      <c r="AF147" s="3169"/>
      <c r="AG147" s="3169"/>
      <c r="AH147" s="3169"/>
      <c r="AI147" s="3169"/>
      <c r="AJ147" s="3169"/>
      <c r="AK147" s="3169"/>
      <c r="AL147" s="3169"/>
      <c r="AM147" s="3169"/>
      <c r="AN147" s="3169"/>
      <c r="AO147" s="924"/>
      <c r="AP147" s="924"/>
      <c r="AQ147" s="3251"/>
      <c r="AR147" s="1867"/>
      <c r="AS147" s="1867"/>
      <c r="AT147" s="1867"/>
      <c r="AU147" s="1867"/>
      <c r="AV147" s="1867"/>
      <c r="AW147" s="1867"/>
      <c r="AX147" s="1867"/>
      <c r="AY147" s="1867"/>
      <c r="AZ147" s="1867"/>
      <c r="BA147" s="1867"/>
      <c r="BB147" s="1867"/>
      <c r="BC147" s="1867"/>
      <c r="BD147" s="1867"/>
      <c r="BE147" s="1867"/>
      <c r="BF147" s="1867"/>
      <c r="BG147" s="1867"/>
      <c r="BH147" s="1867"/>
      <c r="BI147" s="1867"/>
      <c r="BJ147" s="1867"/>
      <c r="BK147" s="1867"/>
      <c r="BL147" s="1867"/>
      <c r="BM147" s="1867"/>
      <c r="BN147" s="1867"/>
      <c r="BO147" s="1867"/>
      <c r="BP147" s="1867"/>
      <c r="BQ147" s="1867"/>
    </row>
    <row r="148" spans="1:69" s="362" customFormat="1" ht="27" customHeight="1" x14ac:dyDescent="0.2">
      <c r="A148" s="3341"/>
      <c r="B148" s="3345"/>
      <c r="C148" s="3346"/>
      <c r="D148" s="3258"/>
      <c r="E148" s="3259"/>
      <c r="F148" s="3259"/>
      <c r="G148" s="369"/>
      <c r="H148" s="916"/>
      <c r="I148" s="917"/>
      <c r="J148" s="3220">
        <v>239</v>
      </c>
      <c r="K148" s="3221" t="s">
        <v>1347</v>
      </c>
      <c r="L148" s="3233" t="s">
        <v>1348</v>
      </c>
      <c r="M148" s="3256">
        <v>1.98</v>
      </c>
      <c r="N148" s="2338" t="s">
        <v>2548</v>
      </c>
      <c r="O148" s="3160"/>
      <c r="P148" s="3176"/>
      <c r="Q148" s="3236">
        <f>SUM(V148:V150)/R133</f>
        <v>0.25077523765564985</v>
      </c>
      <c r="R148" s="3240"/>
      <c r="S148" s="3179"/>
      <c r="T148" s="3195"/>
      <c r="U148" s="3229" t="s">
        <v>1349</v>
      </c>
      <c r="V148" s="2280">
        <v>74800000</v>
      </c>
      <c r="W148" s="1637">
        <v>20</v>
      </c>
      <c r="X148" s="2340" t="s">
        <v>61</v>
      </c>
      <c r="Y148" s="3253"/>
      <c r="Z148" s="3253"/>
      <c r="AA148" s="3253"/>
      <c r="AB148" s="3253"/>
      <c r="AC148" s="3253"/>
      <c r="AD148" s="3253"/>
      <c r="AE148" s="3169"/>
      <c r="AF148" s="3169"/>
      <c r="AG148" s="3169"/>
      <c r="AH148" s="3169"/>
      <c r="AI148" s="3169"/>
      <c r="AJ148" s="3169"/>
      <c r="AK148" s="3169"/>
      <c r="AL148" s="3169"/>
      <c r="AM148" s="3169"/>
      <c r="AN148" s="3169"/>
      <c r="AO148" s="915">
        <v>43600</v>
      </c>
      <c r="AP148" s="915">
        <v>43661</v>
      </c>
      <c r="AQ148" s="3251"/>
      <c r="AR148" s="1867"/>
      <c r="AS148" s="1867"/>
      <c r="AT148" s="1867"/>
      <c r="AU148" s="1867"/>
      <c r="AV148" s="1867"/>
      <c r="AW148" s="1867"/>
      <c r="AX148" s="1867"/>
      <c r="AY148" s="1867"/>
      <c r="AZ148" s="1867"/>
      <c r="BA148" s="1867"/>
      <c r="BB148" s="1867"/>
      <c r="BC148" s="1867"/>
      <c r="BD148" s="1867"/>
      <c r="BE148" s="1867"/>
      <c r="BF148" s="1867"/>
      <c r="BG148" s="1867"/>
      <c r="BH148" s="1867"/>
      <c r="BI148" s="1867"/>
      <c r="BJ148" s="1867"/>
      <c r="BK148" s="1867"/>
      <c r="BL148" s="1867"/>
      <c r="BM148" s="1867"/>
      <c r="BN148" s="1867"/>
      <c r="BO148" s="1867"/>
      <c r="BP148" s="1867"/>
      <c r="BQ148" s="1867"/>
    </row>
    <row r="149" spans="1:69" s="362" customFormat="1" ht="29.25" customHeight="1" x14ac:dyDescent="0.2">
      <c r="A149" s="3341"/>
      <c r="B149" s="3345"/>
      <c r="C149" s="3346"/>
      <c r="D149" s="3258"/>
      <c r="E149" s="3259"/>
      <c r="F149" s="3259"/>
      <c r="G149" s="369"/>
      <c r="H149" s="916"/>
      <c r="I149" s="917"/>
      <c r="J149" s="3170"/>
      <c r="K149" s="3232"/>
      <c r="L149" s="3234"/>
      <c r="M149" s="3257"/>
      <c r="N149" s="2338" t="s">
        <v>2549</v>
      </c>
      <c r="O149" s="3160"/>
      <c r="P149" s="3176"/>
      <c r="Q149" s="3237"/>
      <c r="R149" s="3240"/>
      <c r="S149" s="3179"/>
      <c r="T149" s="3195"/>
      <c r="U149" s="3229"/>
      <c r="V149" s="2280">
        <v>20000000</v>
      </c>
      <c r="W149" s="1639">
        <v>88</v>
      </c>
      <c r="X149" s="2333" t="s">
        <v>942</v>
      </c>
      <c r="Y149" s="3253"/>
      <c r="Z149" s="3253"/>
      <c r="AA149" s="3253"/>
      <c r="AB149" s="3253"/>
      <c r="AC149" s="3253"/>
      <c r="AD149" s="3253"/>
      <c r="AE149" s="3169"/>
      <c r="AF149" s="3169"/>
      <c r="AG149" s="3169"/>
      <c r="AH149" s="3169"/>
      <c r="AI149" s="3169"/>
      <c r="AJ149" s="3169"/>
      <c r="AK149" s="3169"/>
      <c r="AL149" s="3169"/>
      <c r="AM149" s="3169"/>
      <c r="AN149" s="3169"/>
      <c r="AO149" s="915"/>
      <c r="AP149" s="915"/>
      <c r="AQ149" s="3251"/>
      <c r="AR149" s="1867"/>
      <c r="AS149" s="1867"/>
      <c r="AT149" s="1867"/>
      <c r="AU149" s="1867"/>
      <c r="AV149" s="1867"/>
      <c r="AW149" s="1867"/>
      <c r="AX149" s="1867"/>
      <c r="AY149" s="1867"/>
      <c r="AZ149" s="1867"/>
      <c r="BA149" s="1867"/>
      <c r="BB149" s="1867"/>
      <c r="BC149" s="1867"/>
      <c r="BD149" s="1867"/>
      <c r="BE149" s="1867"/>
      <c r="BF149" s="1867"/>
      <c r="BG149" s="1867"/>
      <c r="BH149" s="1867"/>
      <c r="BI149" s="1867"/>
      <c r="BJ149" s="1867"/>
      <c r="BK149" s="1867"/>
      <c r="BL149" s="1867"/>
      <c r="BM149" s="1867"/>
      <c r="BN149" s="1867"/>
      <c r="BO149" s="1867"/>
      <c r="BP149" s="1867"/>
      <c r="BQ149" s="1867"/>
    </row>
    <row r="150" spans="1:69" s="362" customFormat="1" ht="69.75" customHeight="1" x14ac:dyDescent="0.2">
      <c r="A150" s="3341"/>
      <c r="B150" s="3345"/>
      <c r="C150" s="3346"/>
      <c r="D150" s="3258"/>
      <c r="E150" s="3259"/>
      <c r="F150" s="3259"/>
      <c r="G150" s="369"/>
      <c r="H150" s="916"/>
      <c r="I150" s="917"/>
      <c r="J150" s="3170"/>
      <c r="K150" s="3232"/>
      <c r="L150" s="3234"/>
      <c r="M150" s="3257"/>
      <c r="N150" s="2338"/>
      <c r="O150" s="3160"/>
      <c r="P150" s="3176"/>
      <c r="Q150" s="3237"/>
      <c r="R150" s="3240"/>
      <c r="S150" s="3179"/>
      <c r="T150" s="3195"/>
      <c r="U150" s="3229"/>
      <c r="V150" s="2280">
        <f>0+169985263</f>
        <v>169985263</v>
      </c>
      <c r="W150" s="1639">
        <v>163</v>
      </c>
      <c r="X150" s="1400" t="s">
        <v>1350</v>
      </c>
      <c r="Y150" s="3253"/>
      <c r="Z150" s="3253"/>
      <c r="AA150" s="3253"/>
      <c r="AB150" s="3253"/>
      <c r="AC150" s="3253"/>
      <c r="AD150" s="3253"/>
      <c r="AE150" s="3169"/>
      <c r="AF150" s="3169"/>
      <c r="AG150" s="3169"/>
      <c r="AH150" s="3169"/>
      <c r="AI150" s="3169"/>
      <c r="AJ150" s="3169"/>
      <c r="AK150" s="3169"/>
      <c r="AL150" s="3169"/>
      <c r="AM150" s="3169"/>
      <c r="AN150" s="3169"/>
      <c r="AO150" s="915"/>
      <c r="AP150" s="915"/>
      <c r="AQ150" s="3251"/>
      <c r="AR150" s="1867"/>
      <c r="AS150" s="1867"/>
      <c r="AT150" s="1867"/>
      <c r="AU150" s="1867"/>
      <c r="AV150" s="1867"/>
      <c r="AW150" s="1867"/>
      <c r="AX150" s="1867"/>
      <c r="AY150" s="1867"/>
      <c r="AZ150" s="1867"/>
      <c r="BA150" s="1867"/>
      <c r="BB150" s="1867"/>
      <c r="BC150" s="1867"/>
      <c r="BD150" s="1867"/>
      <c r="BE150" s="1867"/>
      <c r="BF150" s="1867"/>
      <c r="BG150" s="1867"/>
      <c r="BH150" s="1867"/>
      <c r="BI150" s="1867"/>
      <c r="BJ150" s="1867"/>
      <c r="BK150" s="1867"/>
      <c r="BL150" s="1867"/>
      <c r="BM150" s="1867"/>
      <c r="BN150" s="1867"/>
      <c r="BO150" s="1867"/>
      <c r="BP150" s="1867"/>
      <c r="BQ150" s="1867"/>
    </row>
    <row r="151" spans="1:69" s="362" customFormat="1" ht="30" customHeight="1" x14ac:dyDescent="0.2">
      <c r="A151" s="3341"/>
      <c r="B151" s="3345"/>
      <c r="C151" s="3346"/>
      <c r="D151" s="3258"/>
      <c r="E151" s="3259"/>
      <c r="F151" s="3259"/>
      <c r="G151" s="369"/>
      <c r="H151" s="916"/>
      <c r="I151" s="1631"/>
      <c r="J151" s="3244">
        <v>240</v>
      </c>
      <c r="K151" s="3245" t="s">
        <v>1351</v>
      </c>
      <c r="L151" s="3246" t="s">
        <v>1352</v>
      </c>
      <c r="M151" s="3230">
        <v>1</v>
      </c>
      <c r="N151" s="2338"/>
      <c r="O151" s="3160"/>
      <c r="P151" s="3176"/>
      <c r="Q151" s="3225">
        <f>SUM(V151:V162)/R133</f>
        <v>0.42823024635110696</v>
      </c>
      <c r="R151" s="3240"/>
      <c r="S151" s="3179"/>
      <c r="T151" s="3195"/>
      <c r="U151" s="1641" t="s">
        <v>1353</v>
      </c>
      <c r="V151" s="2299">
        <f>10000000-3180700</f>
        <v>6819300</v>
      </c>
      <c r="W151" s="1402">
        <v>20</v>
      </c>
      <c r="X151" s="2340" t="s">
        <v>61</v>
      </c>
      <c r="Y151" s="3253"/>
      <c r="Z151" s="3253"/>
      <c r="AA151" s="3253"/>
      <c r="AB151" s="3253"/>
      <c r="AC151" s="3253"/>
      <c r="AD151" s="3253"/>
      <c r="AE151" s="3169"/>
      <c r="AF151" s="3169"/>
      <c r="AG151" s="3169"/>
      <c r="AH151" s="3169"/>
      <c r="AI151" s="3169"/>
      <c r="AJ151" s="3169"/>
      <c r="AK151" s="3169"/>
      <c r="AL151" s="3169"/>
      <c r="AM151" s="3169"/>
      <c r="AN151" s="3169"/>
      <c r="AO151" s="915">
        <v>43534</v>
      </c>
      <c r="AP151" s="915">
        <v>43615</v>
      </c>
      <c r="AQ151" s="3251"/>
      <c r="AR151" s="1867"/>
      <c r="AS151" s="1867"/>
      <c r="AT151" s="1867"/>
      <c r="AU151" s="1867"/>
      <c r="AV151" s="1867"/>
      <c r="AW151" s="1867"/>
      <c r="AX151" s="1867"/>
      <c r="AY151" s="1867"/>
      <c r="AZ151" s="1867"/>
      <c r="BA151" s="1867"/>
      <c r="BB151" s="1867"/>
      <c r="BC151" s="1867"/>
      <c r="BD151" s="1867"/>
      <c r="BE151" s="1867"/>
      <c r="BF151" s="1867"/>
      <c r="BG151" s="1867"/>
      <c r="BH151" s="1867"/>
      <c r="BI151" s="1867"/>
      <c r="BJ151" s="1867"/>
      <c r="BK151" s="1867"/>
      <c r="BL151" s="1867"/>
      <c r="BM151" s="1867"/>
      <c r="BN151" s="1867"/>
      <c r="BO151" s="1867"/>
      <c r="BP151" s="1867"/>
      <c r="BQ151" s="1867"/>
    </row>
    <row r="152" spans="1:69" s="362" customFormat="1" ht="28.5" customHeight="1" x14ac:dyDescent="0.2">
      <c r="A152" s="3341"/>
      <c r="B152" s="3345"/>
      <c r="C152" s="3346"/>
      <c r="D152" s="3258"/>
      <c r="E152" s="3259"/>
      <c r="F152" s="3259"/>
      <c r="G152" s="369"/>
      <c r="H152" s="916"/>
      <c r="I152" s="1631"/>
      <c r="J152" s="3244"/>
      <c r="K152" s="3245"/>
      <c r="L152" s="3246"/>
      <c r="M152" s="3230"/>
      <c r="N152" s="2338"/>
      <c r="O152" s="3160"/>
      <c r="P152" s="3176"/>
      <c r="Q152" s="3225"/>
      <c r="R152" s="3240"/>
      <c r="S152" s="3179"/>
      <c r="T152" s="3195"/>
      <c r="U152" s="3229" t="s">
        <v>1354</v>
      </c>
      <c r="V152" s="2300">
        <f>45000000+24987918</f>
        <v>69987918</v>
      </c>
      <c r="W152" s="1395">
        <v>20</v>
      </c>
      <c r="X152" s="2333" t="s">
        <v>61</v>
      </c>
      <c r="Y152" s="3253"/>
      <c r="Z152" s="3253"/>
      <c r="AA152" s="3253"/>
      <c r="AB152" s="3253"/>
      <c r="AC152" s="3253"/>
      <c r="AD152" s="3253"/>
      <c r="AE152" s="3169"/>
      <c r="AF152" s="3169"/>
      <c r="AG152" s="3169"/>
      <c r="AH152" s="3169"/>
      <c r="AI152" s="3169"/>
      <c r="AJ152" s="3169"/>
      <c r="AK152" s="3169"/>
      <c r="AL152" s="3169"/>
      <c r="AM152" s="3169"/>
      <c r="AN152" s="3169"/>
      <c r="AO152" s="915">
        <v>43480</v>
      </c>
      <c r="AP152" s="915">
        <v>43646</v>
      </c>
      <c r="AQ152" s="3251"/>
      <c r="AR152" s="1867"/>
      <c r="AS152" s="1867"/>
      <c r="AT152" s="1867"/>
      <c r="AU152" s="1867"/>
      <c r="AV152" s="1867"/>
      <c r="AW152" s="1867"/>
      <c r="AX152" s="1867"/>
      <c r="AY152" s="1867"/>
      <c r="AZ152" s="1867"/>
      <c r="BA152" s="1867"/>
      <c r="BB152" s="1867"/>
      <c r="BC152" s="1867"/>
      <c r="BD152" s="1867"/>
      <c r="BE152" s="1867"/>
      <c r="BF152" s="1867"/>
      <c r="BG152" s="1867"/>
      <c r="BH152" s="1867"/>
      <c r="BI152" s="1867"/>
      <c r="BJ152" s="1867"/>
      <c r="BK152" s="1867"/>
      <c r="BL152" s="1867"/>
      <c r="BM152" s="1867"/>
      <c r="BN152" s="1867"/>
      <c r="BO152" s="1867"/>
      <c r="BP152" s="1867"/>
      <c r="BQ152" s="1867"/>
    </row>
    <row r="153" spans="1:69" s="362" customFormat="1" ht="18.75" customHeight="1" x14ac:dyDescent="0.2">
      <c r="A153" s="3341"/>
      <c r="B153" s="3345"/>
      <c r="C153" s="3346"/>
      <c r="D153" s="3258"/>
      <c r="E153" s="3259"/>
      <c r="F153" s="3259"/>
      <c r="G153" s="369"/>
      <c r="H153" s="916"/>
      <c r="I153" s="1631"/>
      <c r="J153" s="3244"/>
      <c r="K153" s="3245"/>
      <c r="L153" s="3246"/>
      <c r="M153" s="3230"/>
      <c r="N153" s="2338"/>
      <c r="O153" s="3160"/>
      <c r="P153" s="3176"/>
      <c r="Q153" s="3225"/>
      <c r="R153" s="3240"/>
      <c r="S153" s="3179"/>
      <c r="T153" s="3195"/>
      <c r="U153" s="3229"/>
      <c r="V153" s="2300">
        <f>0+42996000+7578277</f>
        <v>50574277</v>
      </c>
      <c r="W153" s="1395">
        <v>88</v>
      </c>
      <c r="X153" s="2333" t="s">
        <v>942</v>
      </c>
      <c r="Y153" s="3253"/>
      <c r="Z153" s="3253"/>
      <c r="AA153" s="3253"/>
      <c r="AB153" s="3253"/>
      <c r="AC153" s="3253"/>
      <c r="AD153" s="3253"/>
      <c r="AE153" s="3169"/>
      <c r="AF153" s="3169"/>
      <c r="AG153" s="3169"/>
      <c r="AH153" s="3169"/>
      <c r="AI153" s="3169"/>
      <c r="AJ153" s="3169"/>
      <c r="AK153" s="3169"/>
      <c r="AL153" s="3169"/>
      <c r="AM153" s="3169"/>
      <c r="AN153" s="3169"/>
      <c r="AO153" s="915"/>
      <c r="AP153" s="915"/>
      <c r="AQ153" s="3251"/>
      <c r="AR153" s="1867"/>
      <c r="AS153" s="1867"/>
      <c r="AT153" s="1867"/>
      <c r="AU153" s="1867"/>
      <c r="AV153" s="1867"/>
      <c r="AW153" s="1867"/>
      <c r="AX153" s="1867"/>
      <c r="AY153" s="1867"/>
      <c r="AZ153" s="1867"/>
      <c r="BA153" s="1867"/>
      <c r="BB153" s="1867"/>
      <c r="BC153" s="1867"/>
      <c r="BD153" s="1867"/>
      <c r="BE153" s="1867"/>
      <c r="BF153" s="1867"/>
      <c r="BG153" s="1867"/>
      <c r="BH153" s="1867"/>
      <c r="BI153" s="1867"/>
      <c r="BJ153" s="1867"/>
      <c r="BK153" s="1867"/>
      <c r="BL153" s="1867"/>
      <c r="BM153" s="1867"/>
      <c r="BN153" s="1867"/>
      <c r="BO153" s="1867"/>
      <c r="BP153" s="1867"/>
      <c r="BQ153" s="1867"/>
    </row>
    <row r="154" spans="1:69" s="362" customFormat="1" ht="28.5" customHeight="1" x14ac:dyDescent="0.2">
      <c r="A154" s="3341"/>
      <c r="B154" s="3345"/>
      <c r="C154" s="3346"/>
      <c r="D154" s="3258"/>
      <c r="E154" s="3259"/>
      <c r="F154" s="3259"/>
      <c r="G154" s="369"/>
      <c r="H154" s="916"/>
      <c r="I154" s="1631"/>
      <c r="J154" s="3244"/>
      <c r="K154" s="3245"/>
      <c r="L154" s="3246"/>
      <c r="M154" s="3230"/>
      <c r="N154" s="2338"/>
      <c r="O154" s="3160"/>
      <c r="P154" s="3176"/>
      <c r="Q154" s="3225"/>
      <c r="R154" s="3240"/>
      <c r="S154" s="3179"/>
      <c r="T154" s="3179"/>
      <c r="U154" s="3247" t="s">
        <v>1355</v>
      </c>
      <c r="V154" s="2277">
        <f>40000000-16030467</f>
        <v>23969533</v>
      </c>
      <c r="W154" s="1395">
        <v>20</v>
      </c>
      <c r="X154" s="2333" t="s">
        <v>61</v>
      </c>
      <c r="Y154" s="3253"/>
      <c r="Z154" s="3253"/>
      <c r="AA154" s="3253"/>
      <c r="AB154" s="3253"/>
      <c r="AC154" s="3253"/>
      <c r="AD154" s="3253"/>
      <c r="AE154" s="3169"/>
      <c r="AF154" s="3169"/>
      <c r="AG154" s="3169"/>
      <c r="AH154" s="3169"/>
      <c r="AI154" s="3169"/>
      <c r="AJ154" s="3169"/>
      <c r="AK154" s="3169"/>
      <c r="AL154" s="3169"/>
      <c r="AM154" s="3169"/>
      <c r="AN154" s="3169"/>
      <c r="AO154" s="915">
        <v>43480</v>
      </c>
      <c r="AP154" s="915">
        <v>43646</v>
      </c>
      <c r="AQ154" s="3251"/>
      <c r="AR154" s="1867"/>
      <c r="AS154" s="1867"/>
      <c r="AT154" s="1867"/>
      <c r="AU154" s="1867"/>
      <c r="AV154" s="1867"/>
      <c r="AW154" s="1867"/>
      <c r="AX154" s="1867"/>
      <c r="AY154" s="1867"/>
      <c r="AZ154" s="1867"/>
      <c r="BA154" s="1867"/>
      <c r="BB154" s="1867"/>
      <c r="BC154" s="1867"/>
      <c r="BD154" s="1867"/>
      <c r="BE154" s="1867"/>
      <c r="BF154" s="1867"/>
      <c r="BG154" s="1867"/>
      <c r="BH154" s="1867"/>
      <c r="BI154" s="1867"/>
      <c r="BJ154" s="1867"/>
      <c r="BK154" s="1867"/>
      <c r="BL154" s="1867"/>
      <c r="BM154" s="1867"/>
      <c r="BN154" s="1867"/>
      <c r="BO154" s="1867"/>
      <c r="BP154" s="1867"/>
      <c r="BQ154" s="1867"/>
    </row>
    <row r="155" spans="1:69" s="362" customFormat="1" ht="27.75" customHeight="1" x14ac:dyDescent="0.2">
      <c r="A155" s="3341"/>
      <c r="B155" s="3345"/>
      <c r="C155" s="3346"/>
      <c r="D155" s="3258"/>
      <c r="E155" s="3259"/>
      <c r="F155" s="3259"/>
      <c r="G155" s="369"/>
      <c r="H155" s="916"/>
      <c r="I155" s="1631"/>
      <c r="J155" s="3244"/>
      <c r="K155" s="3245"/>
      <c r="L155" s="3246"/>
      <c r="M155" s="3230"/>
      <c r="N155" s="2338"/>
      <c r="O155" s="3160"/>
      <c r="P155" s="3176"/>
      <c r="Q155" s="3225"/>
      <c r="R155" s="3240"/>
      <c r="S155" s="3179"/>
      <c r="T155" s="3179"/>
      <c r="U155" s="3243"/>
      <c r="V155" s="2277">
        <f>16788000+5596000</f>
        <v>22384000</v>
      </c>
      <c r="W155" s="1395">
        <v>88</v>
      </c>
      <c r="X155" s="2333" t="s">
        <v>942</v>
      </c>
      <c r="Y155" s="3253"/>
      <c r="Z155" s="3253"/>
      <c r="AA155" s="3253"/>
      <c r="AB155" s="3253"/>
      <c r="AC155" s="3253"/>
      <c r="AD155" s="3253"/>
      <c r="AE155" s="3169"/>
      <c r="AF155" s="3169"/>
      <c r="AG155" s="3169"/>
      <c r="AH155" s="3169"/>
      <c r="AI155" s="3169"/>
      <c r="AJ155" s="3169"/>
      <c r="AK155" s="3169"/>
      <c r="AL155" s="3169"/>
      <c r="AM155" s="3169"/>
      <c r="AN155" s="3169"/>
      <c r="AO155" s="915"/>
      <c r="AP155" s="915"/>
      <c r="AQ155" s="3251"/>
      <c r="AR155" s="1867"/>
      <c r="AS155" s="1867"/>
      <c r="AT155" s="1867"/>
      <c r="AU155" s="1867"/>
      <c r="AV155" s="1867"/>
      <c r="AW155" s="1867"/>
      <c r="AX155" s="1867"/>
      <c r="AY155" s="1867"/>
      <c r="AZ155" s="1867"/>
      <c r="BA155" s="1867"/>
      <c r="BB155" s="1867"/>
      <c r="BC155" s="1867"/>
      <c r="BD155" s="1867"/>
      <c r="BE155" s="1867"/>
      <c r="BF155" s="1867"/>
      <c r="BG155" s="1867"/>
      <c r="BH155" s="1867"/>
      <c r="BI155" s="1867"/>
      <c r="BJ155" s="1867"/>
      <c r="BK155" s="1867"/>
      <c r="BL155" s="1867"/>
      <c r="BM155" s="1867"/>
      <c r="BN155" s="1867"/>
      <c r="BO155" s="1867"/>
      <c r="BP155" s="1867"/>
      <c r="BQ155" s="1867"/>
    </row>
    <row r="156" spans="1:69" s="362" customFormat="1" ht="27.75" customHeight="1" x14ac:dyDescent="0.2">
      <c r="A156" s="3341"/>
      <c r="B156" s="3345"/>
      <c r="C156" s="3346"/>
      <c r="D156" s="3258"/>
      <c r="E156" s="3259"/>
      <c r="F156" s="3259"/>
      <c r="G156" s="369"/>
      <c r="H156" s="916"/>
      <c r="I156" s="1631"/>
      <c r="J156" s="3244"/>
      <c r="K156" s="3245"/>
      <c r="L156" s="3246"/>
      <c r="M156" s="3230"/>
      <c r="N156" s="2338"/>
      <c r="O156" s="3160"/>
      <c r="P156" s="3176"/>
      <c r="Q156" s="3225"/>
      <c r="R156" s="3240"/>
      <c r="S156" s="3179"/>
      <c r="T156" s="3179"/>
      <c r="U156" s="3242" t="s">
        <v>1356</v>
      </c>
      <c r="V156" s="2279">
        <v>53000000</v>
      </c>
      <c r="W156" s="1404">
        <v>20</v>
      </c>
      <c r="X156" s="2339" t="s">
        <v>61</v>
      </c>
      <c r="Y156" s="3253"/>
      <c r="Z156" s="3253"/>
      <c r="AA156" s="3253"/>
      <c r="AB156" s="3253"/>
      <c r="AC156" s="3253"/>
      <c r="AD156" s="3253"/>
      <c r="AE156" s="3169"/>
      <c r="AF156" s="3169"/>
      <c r="AG156" s="3169"/>
      <c r="AH156" s="3169"/>
      <c r="AI156" s="3169"/>
      <c r="AJ156" s="3169"/>
      <c r="AK156" s="3169"/>
      <c r="AL156" s="3169"/>
      <c r="AM156" s="3169"/>
      <c r="AN156" s="3169"/>
      <c r="AO156" s="915"/>
      <c r="AP156" s="915"/>
      <c r="AQ156" s="3251"/>
      <c r="AR156" s="1867"/>
      <c r="AS156" s="1867"/>
      <c r="AT156" s="1867"/>
      <c r="AU156" s="1867"/>
      <c r="AV156" s="1867"/>
      <c r="AW156" s="1867"/>
      <c r="AX156" s="1867"/>
      <c r="AY156" s="1867"/>
      <c r="AZ156" s="1867"/>
      <c r="BA156" s="1867"/>
      <c r="BB156" s="1867"/>
      <c r="BC156" s="1867"/>
      <c r="BD156" s="1867"/>
      <c r="BE156" s="1867"/>
      <c r="BF156" s="1867"/>
      <c r="BG156" s="1867"/>
      <c r="BH156" s="1867"/>
      <c r="BI156" s="1867"/>
      <c r="BJ156" s="1867"/>
      <c r="BK156" s="1867"/>
      <c r="BL156" s="1867"/>
      <c r="BM156" s="1867"/>
      <c r="BN156" s="1867"/>
      <c r="BO156" s="1867"/>
      <c r="BP156" s="1867"/>
      <c r="BQ156" s="1867"/>
    </row>
    <row r="157" spans="1:69" s="362" customFormat="1" ht="27.75" customHeight="1" x14ac:dyDescent="0.2">
      <c r="A157" s="3341"/>
      <c r="B157" s="3345"/>
      <c r="C157" s="3346"/>
      <c r="D157" s="3258"/>
      <c r="E157" s="3259"/>
      <c r="F157" s="3259"/>
      <c r="G157" s="369"/>
      <c r="H157" s="916"/>
      <c r="I157" s="1631"/>
      <c r="J157" s="3244"/>
      <c r="K157" s="3245"/>
      <c r="L157" s="3246"/>
      <c r="M157" s="3230"/>
      <c r="N157" s="2338"/>
      <c r="O157" s="3160"/>
      <c r="P157" s="3176"/>
      <c r="Q157" s="3225"/>
      <c r="R157" s="3240"/>
      <c r="S157" s="3179"/>
      <c r="T157" s="3179"/>
      <c r="U157" s="3248"/>
      <c r="V157" s="2280">
        <f>0+1428533</f>
        <v>1428533</v>
      </c>
      <c r="W157" s="1395">
        <v>88</v>
      </c>
      <c r="X157" s="2333" t="s">
        <v>942</v>
      </c>
      <c r="Y157" s="3254"/>
      <c r="Z157" s="3253"/>
      <c r="AA157" s="3253"/>
      <c r="AB157" s="3253"/>
      <c r="AC157" s="3253"/>
      <c r="AD157" s="3253"/>
      <c r="AE157" s="3169"/>
      <c r="AF157" s="3169"/>
      <c r="AG157" s="3169"/>
      <c r="AH157" s="3169"/>
      <c r="AI157" s="3169"/>
      <c r="AJ157" s="3169"/>
      <c r="AK157" s="3169"/>
      <c r="AL157" s="3169"/>
      <c r="AM157" s="3169"/>
      <c r="AN157" s="3169"/>
      <c r="AO157" s="915">
        <v>43480</v>
      </c>
      <c r="AP157" s="915">
        <v>43799</v>
      </c>
      <c r="AQ157" s="3251"/>
      <c r="AR157" s="1867"/>
      <c r="AS157" s="1867"/>
      <c r="AT157" s="1867"/>
      <c r="AU157" s="1867"/>
      <c r="AV157" s="1867"/>
      <c r="AW157" s="1867"/>
      <c r="AX157" s="1867"/>
      <c r="AY157" s="1867"/>
      <c r="AZ157" s="1867"/>
      <c r="BA157" s="1867"/>
      <c r="BB157" s="1867"/>
      <c r="BC157" s="1867"/>
      <c r="BD157" s="1867"/>
      <c r="BE157" s="1867"/>
      <c r="BF157" s="1867"/>
      <c r="BG157" s="1867"/>
      <c r="BH157" s="1867"/>
      <c r="BI157" s="1867"/>
      <c r="BJ157" s="1867"/>
      <c r="BK157" s="1867"/>
      <c r="BL157" s="1867"/>
      <c r="BM157" s="1867"/>
      <c r="BN157" s="1867"/>
      <c r="BO157" s="1867"/>
      <c r="BP157" s="1867"/>
      <c r="BQ157" s="1867"/>
    </row>
    <row r="158" spans="1:69" s="362" customFormat="1" ht="30" customHeight="1" x14ac:dyDescent="0.2">
      <c r="A158" s="3341"/>
      <c r="B158" s="3345"/>
      <c r="C158" s="3346"/>
      <c r="D158" s="3258"/>
      <c r="E158" s="3259"/>
      <c r="F158" s="3259"/>
      <c r="G158" s="369"/>
      <c r="H158" s="916"/>
      <c r="I158" s="1631"/>
      <c r="J158" s="3244"/>
      <c r="K158" s="3245"/>
      <c r="L158" s="3246"/>
      <c r="M158" s="3230"/>
      <c r="N158" s="2338"/>
      <c r="O158" s="3160"/>
      <c r="P158" s="3176"/>
      <c r="Q158" s="3225"/>
      <c r="R158" s="3240"/>
      <c r="S158" s="3179"/>
      <c r="T158" s="3179"/>
      <c r="U158" s="3249" t="s">
        <v>1357</v>
      </c>
      <c r="V158" s="2280">
        <f>50000000+11788000</f>
        <v>61788000</v>
      </c>
      <c r="W158" s="1402">
        <v>20</v>
      </c>
      <c r="X158" s="2340" t="s">
        <v>61</v>
      </c>
      <c r="Y158" s="3253"/>
      <c r="Z158" s="3253"/>
      <c r="AA158" s="3253"/>
      <c r="AB158" s="3253"/>
      <c r="AC158" s="3253"/>
      <c r="AD158" s="3253"/>
      <c r="AE158" s="3169"/>
      <c r="AF158" s="3169"/>
      <c r="AG158" s="3169"/>
      <c r="AH158" s="3169"/>
      <c r="AI158" s="3169"/>
      <c r="AJ158" s="3169"/>
      <c r="AK158" s="3169"/>
      <c r="AL158" s="3169"/>
      <c r="AM158" s="3169"/>
      <c r="AN158" s="3169"/>
      <c r="AO158" s="915">
        <v>43480</v>
      </c>
      <c r="AP158" s="915">
        <v>43799</v>
      </c>
      <c r="AQ158" s="3251"/>
      <c r="AR158" s="1867"/>
      <c r="AS158" s="1867"/>
      <c r="AT158" s="1867"/>
      <c r="AU158" s="1867"/>
      <c r="AV158" s="1867"/>
      <c r="AW158" s="1867"/>
      <c r="AX158" s="1867"/>
      <c r="AY158" s="1867"/>
      <c r="AZ158" s="1867"/>
      <c r="BA158" s="1867"/>
      <c r="BB158" s="1867"/>
      <c r="BC158" s="1867"/>
      <c r="BD158" s="1867"/>
      <c r="BE158" s="1867"/>
      <c r="BF158" s="1867"/>
      <c r="BG158" s="1867"/>
      <c r="BH158" s="1867"/>
      <c r="BI158" s="1867"/>
      <c r="BJ158" s="1867"/>
      <c r="BK158" s="1867"/>
      <c r="BL158" s="1867"/>
      <c r="BM158" s="1867"/>
      <c r="BN158" s="1867"/>
      <c r="BO158" s="1867"/>
      <c r="BP158" s="1867"/>
      <c r="BQ158" s="1867"/>
    </row>
    <row r="159" spans="1:69" s="362" customFormat="1" ht="30" customHeight="1" x14ac:dyDescent="0.2">
      <c r="A159" s="3341"/>
      <c r="B159" s="3345"/>
      <c r="C159" s="3346"/>
      <c r="D159" s="3258"/>
      <c r="E159" s="3259"/>
      <c r="F159" s="3259"/>
      <c r="G159" s="369"/>
      <c r="H159" s="916"/>
      <c r="I159" s="1631"/>
      <c r="J159" s="3244"/>
      <c r="K159" s="3245"/>
      <c r="L159" s="3246"/>
      <c r="M159" s="3230"/>
      <c r="N159" s="2338"/>
      <c r="O159" s="3160"/>
      <c r="P159" s="3176"/>
      <c r="Q159" s="3225"/>
      <c r="R159" s="3240"/>
      <c r="S159" s="3179"/>
      <c r="T159" s="3179"/>
      <c r="U159" s="3250"/>
      <c r="V159" s="2280">
        <f>36822000+9531600</f>
        <v>46353600</v>
      </c>
      <c r="W159" s="1395">
        <v>88</v>
      </c>
      <c r="X159" s="2333" t="s">
        <v>942</v>
      </c>
      <c r="Y159" s="3253"/>
      <c r="Z159" s="3253"/>
      <c r="AA159" s="3253"/>
      <c r="AB159" s="3253"/>
      <c r="AC159" s="3253"/>
      <c r="AD159" s="3253"/>
      <c r="AE159" s="3169"/>
      <c r="AF159" s="3169"/>
      <c r="AG159" s="3169"/>
      <c r="AH159" s="3169"/>
      <c r="AI159" s="3169"/>
      <c r="AJ159" s="3169"/>
      <c r="AK159" s="3169"/>
      <c r="AL159" s="3169"/>
      <c r="AM159" s="3169"/>
      <c r="AN159" s="3169"/>
      <c r="AO159" s="915"/>
      <c r="AP159" s="915"/>
      <c r="AQ159" s="3251"/>
      <c r="AR159" s="1867"/>
      <c r="AS159" s="1867"/>
      <c r="AT159" s="1867"/>
      <c r="AU159" s="1867"/>
      <c r="AV159" s="1867"/>
      <c r="AW159" s="1867"/>
      <c r="AX159" s="1867"/>
      <c r="AY159" s="1867"/>
      <c r="AZ159" s="1867"/>
      <c r="BA159" s="1867"/>
      <c r="BB159" s="1867"/>
      <c r="BC159" s="1867"/>
      <c r="BD159" s="1867"/>
      <c r="BE159" s="1867"/>
      <c r="BF159" s="1867"/>
      <c r="BG159" s="1867"/>
      <c r="BH159" s="1867"/>
      <c r="BI159" s="1867"/>
      <c r="BJ159" s="1867"/>
      <c r="BK159" s="1867"/>
      <c r="BL159" s="1867"/>
      <c r="BM159" s="1867"/>
      <c r="BN159" s="1867"/>
      <c r="BO159" s="1867"/>
      <c r="BP159" s="1867"/>
      <c r="BQ159" s="1867"/>
    </row>
    <row r="160" spans="1:69" s="362" customFormat="1" ht="40.5" customHeight="1" x14ac:dyDescent="0.2">
      <c r="A160" s="3341"/>
      <c r="B160" s="3345"/>
      <c r="C160" s="3346"/>
      <c r="D160" s="3258"/>
      <c r="E160" s="3259"/>
      <c r="F160" s="3259"/>
      <c r="G160" s="369"/>
      <c r="H160" s="916"/>
      <c r="I160" s="1631"/>
      <c r="J160" s="3244"/>
      <c r="K160" s="3245"/>
      <c r="L160" s="3246"/>
      <c r="M160" s="3230"/>
      <c r="N160" s="2338"/>
      <c r="O160" s="3160"/>
      <c r="P160" s="3176"/>
      <c r="Q160" s="3225"/>
      <c r="R160" s="3240"/>
      <c r="S160" s="3179"/>
      <c r="T160" s="3195"/>
      <c r="U160" s="3229" t="s">
        <v>1358</v>
      </c>
      <c r="V160" s="2299">
        <f>35500000+16181882</f>
        <v>51681882</v>
      </c>
      <c r="W160" s="1395">
        <v>20</v>
      </c>
      <c r="X160" s="2333" t="s">
        <v>61</v>
      </c>
      <c r="Y160" s="3253"/>
      <c r="Z160" s="3253"/>
      <c r="AA160" s="3253"/>
      <c r="AB160" s="3253"/>
      <c r="AC160" s="3253"/>
      <c r="AD160" s="3253"/>
      <c r="AE160" s="3169"/>
      <c r="AF160" s="3169"/>
      <c r="AG160" s="3169"/>
      <c r="AH160" s="3169"/>
      <c r="AI160" s="3169"/>
      <c r="AJ160" s="3169"/>
      <c r="AK160" s="3169"/>
      <c r="AL160" s="3169"/>
      <c r="AM160" s="3169"/>
      <c r="AN160" s="3169"/>
      <c r="AO160" s="915">
        <v>43480</v>
      </c>
      <c r="AP160" s="915">
        <v>43799</v>
      </c>
      <c r="AQ160" s="3251"/>
      <c r="AR160" s="1867"/>
      <c r="AS160" s="1867"/>
      <c r="AT160" s="1867"/>
      <c r="AU160" s="1867"/>
      <c r="AV160" s="1867"/>
      <c r="AW160" s="1867"/>
      <c r="AX160" s="1867"/>
      <c r="AY160" s="1867"/>
      <c r="AZ160" s="1867"/>
      <c r="BA160" s="1867"/>
      <c r="BB160" s="1867"/>
      <c r="BC160" s="1867"/>
      <c r="BD160" s="1867"/>
      <c r="BE160" s="1867"/>
      <c r="BF160" s="1867"/>
      <c r="BG160" s="1867"/>
      <c r="BH160" s="1867"/>
      <c r="BI160" s="1867"/>
      <c r="BJ160" s="1867"/>
      <c r="BK160" s="1867"/>
      <c r="BL160" s="1867"/>
      <c r="BM160" s="1867"/>
      <c r="BN160" s="1867"/>
      <c r="BO160" s="1867"/>
      <c r="BP160" s="1867"/>
      <c r="BQ160" s="1867"/>
    </row>
    <row r="161" spans="1:69" s="362" customFormat="1" ht="40.5" customHeight="1" x14ac:dyDescent="0.2">
      <c r="A161" s="3341"/>
      <c r="B161" s="3345"/>
      <c r="C161" s="3346"/>
      <c r="D161" s="3258"/>
      <c r="E161" s="3259"/>
      <c r="F161" s="3259"/>
      <c r="G161" s="369"/>
      <c r="H161" s="916"/>
      <c r="I161" s="1631"/>
      <c r="J161" s="3244"/>
      <c r="K161" s="3245"/>
      <c r="L161" s="3246"/>
      <c r="M161" s="3230"/>
      <c r="N161" s="2338"/>
      <c r="O161" s="3160"/>
      <c r="P161" s="3176"/>
      <c r="Q161" s="3225"/>
      <c r="R161" s="3240"/>
      <c r="S161" s="3179"/>
      <c r="T161" s="3195"/>
      <c r="U161" s="3229"/>
      <c r="V161" s="2300">
        <f>42076000+11192000</f>
        <v>53268000</v>
      </c>
      <c r="W161" s="1395">
        <v>88</v>
      </c>
      <c r="X161" s="2333" t="s">
        <v>942</v>
      </c>
      <c r="Y161" s="3253"/>
      <c r="Z161" s="3253"/>
      <c r="AA161" s="3253"/>
      <c r="AB161" s="3253"/>
      <c r="AC161" s="3253"/>
      <c r="AD161" s="3253"/>
      <c r="AE161" s="3169"/>
      <c r="AF161" s="3169"/>
      <c r="AG161" s="3169"/>
      <c r="AH161" s="3169"/>
      <c r="AI161" s="3169"/>
      <c r="AJ161" s="3169"/>
      <c r="AK161" s="3169"/>
      <c r="AL161" s="3169"/>
      <c r="AM161" s="3169"/>
      <c r="AN161" s="3169"/>
      <c r="AO161" s="915"/>
      <c r="AP161" s="915"/>
      <c r="AQ161" s="3251"/>
      <c r="AR161" s="1867"/>
      <c r="AS161" s="1867"/>
      <c r="AT161" s="1867"/>
      <c r="AU161" s="1867"/>
      <c r="AV161" s="1867"/>
      <c r="AW161" s="1867"/>
      <c r="AX161" s="1867"/>
      <c r="AY161" s="1867"/>
      <c r="AZ161" s="1867"/>
      <c r="BA161" s="1867"/>
      <c r="BB161" s="1867"/>
      <c r="BC161" s="1867"/>
      <c r="BD161" s="1867"/>
      <c r="BE161" s="1867"/>
      <c r="BF161" s="1867"/>
      <c r="BG161" s="1867"/>
      <c r="BH161" s="1867"/>
      <c r="BI161" s="1867"/>
      <c r="BJ161" s="1867"/>
      <c r="BK161" s="1867"/>
      <c r="BL161" s="1867"/>
      <c r="BM161" s="1867"/>
      <c r="BN161" s="1867"/>
      <c r="BO161" s="1867"/>
      <c r="BP161" s="1867"/>
      <c r="BQ161" s="1867"/>
    </row>
    <row r="162" spans="1:69" s="362" customFormat="1" ht="23.25" customHeight="1" x14ac:dyDescent="0.2">
      <c r="A162" s="3341"/>
      <c r="B162" s="3345"/>
      <c r="C162" s="3346"/>
      <c r="D162" s="3258"/>
      <c r="E162" s="3259"/>
      <c r="F162" s="3259"/>
      <c r="G162" s="369"/>
      <c r="H162" s="919"/>
      <c r="I162" s="1632"/>
      <c r="J162" s="3244"/>
      <c r="K162" s="3245"/>
      <c r="L162" s="3246"/>
      <c r="M162" s="3230"/>
      <c r="N162" s="2338"/>
      <c r="O162" s="3160"/>
      <c r="P162" s="3176"/>
      <c r="Q162" s="3225"/>
      <c r="R162" s="3241"/>
      <c r="S162" s="3179"/>
      <c r="T162" s="3179"/>
      <c r="U162" s="1445" t="s">
        <v>1359</v>
      </c>
      <c r="V162" s="2277">
        <f>15000000-4100917</f>
        <v>10899083</v>
      </c>
      <c r="W162" s="1395">
        <v>20</v>
      </c>
      <c r="X162" s="2332" t="s">
        <v>61</v>
      </c>
      <c r="Y162" s="3255"/>
      <c r="Z162" s="3255"/>
      <c r="AA162" s="3255"/>
      <c r="AB162" s="3255"/>
      <c r="AC162" s="3255"/>
      <c r="AD162" s="3255"/>
      <c r="AE162" s="3169"/>
      <c r="AF162" s="3169"/>
      <c r="AG162" s="3169"/>
      <c r="AH162" s="3169"/>
      <c r="AI162" s="3169"/>
      <c r="AJ162" s="3169"/>
      <c r="AK162" s="3169"/>
      <c r="AL162" s="3169"/>
      <c r="AM162" s="3169"/>
      <c r="AN162" s="3169"/>
      <c r="AO162" s="915">
        <v>43539</v>
      </c>
      <c r="AP162" s="915">
        <v>43819</v>
      </c>
      <c r="AQ162" s="3251"/>
      <c r="AR162" s="1867"/>
      <c r="AS162" s="1867"/>
      <c r="AT162" s="1867"/>
      <c r="AU162" s="1867"/>
      <c r="AV162" s="1867"/>
      <c r="AW162" s="1867"/>
      <c r="AX162" s="1867"/>
      <c r="AY162" s="1867"/>
      <c r="AZ162" s="1867"/>
      <c r="BA162" s="1867"/>
      <c r="BB162" s="1867"/>
      <c r="BC162" s="1867"/>
      <c r="BD162" s="1867"/>
      <c r="BE162" s="1867"/>
      <c r="BF162" s="1867"/>
      <c r="BG162" s="1867"/>
      <c r="BH162" s="1867"/>
      <c r="BI162" s="1867"/>
      <c r="BJ162" s="1867"/>
      <c r="BK162" s="1867"/>
      <c r="BL162" s="1867"/>
      <c r="BM162" s="1867"/>
      <c r="BN162" s="1867"/>
      <c r="BO162" s="1867"/>
      <c r="BP162" s="1867"/>
      <c r="BQ162" s="1867"/>
    </row>
    <row r="163" spans="1:69" s="369" customFormat="1" ht="21" customHeight="1" x14ac:dyDescent="0.2">
      <c r="A163" s="3341"/>
      <c r="B163" s="3345"/>
      <c r="C163" s="3346"/>
      <c r="D163" s="3258"/>
      <c r="E163" s="3259"/>
      <c r="F163" s="3259"/>
      <c r="G163" s="904">
        <v>82</v>
      </c>
      <c r="H163" s="717" t="s">
        <v>1360</v>
      </c>
      <c r="I163" s="717"/>
      <c r="J163" s="744"/>
      <c r="K163" s="921"/>
      <c r="L163" s="922"/>
      <c r="M163" s="779"/>
      <c r="N163" s="774"/>
      <c r="O163" s="775"/>
      <c r="P163" s="719"/>
      <c r="Q163" s="746"/>
      <c r="R163" s="923"/>
      <c r="S163" s="921"/>
      <c r="T163" s="921"/>
      <c r="U163" s="921"/>
      <c r="V163" s="2289"/>
      <c r="W163" s="2331"/>
      <c r="X163" s="921"/>
      <c r="Y163" s="722"/>
      <c r="Z163" s="722"/>
      <c r="AA163" s="722"/>
      <c r="AB163" s="722"/>
      <c r="AC163" s="722"/>
      <c r="AD163" s="722"/>
      <c r="AE163" s="722"/>
      <c r="AF163" s="722"/>
      <c r="AG163" s="722"/>
      <c r="AH163" s="722"/>
      <c r="AI163" s="722"/>
      <c r="AJ163" s="722"/>
      <c r="AK163" s="722"/>
      <c r="AL163" s="722"/>
      <c r="AM163" s="719"/>
      <c r="AN163" s="719"/>
      <c r="AO163" s="719"/>
      <c r="AP163" s="719"/>
      <c r="AQ163" s="725"/>
      <c r="AR163" s="1867"/>
      <c r="AS163" s="1867"/>
      <c r="AT163" s="1867"/>
      <c r="AU163" s="1867"/>
      <c r="AV163" s="1867"/>
      <c r="AW163" s="1867"/>
      <c r="AX163" s="1867"/>
      <c r="AY163" s="1867"/>
      <c r="AZ163" s="1867"/>
      <c r="BA163" s="1867"/>
      <c r="BB163" s="1867"/>
      <c r="BC163" s="1867"/>
      <c r="BD163" s="1867"/>
      <c r="BE163" s="1867"/>
      <c r="BF163" s="1867"/>
      <c r="BG163" s="1867"/>
      <c r="BH163" s="1867"/>
      <c r="BI163" s="1867"/>
      <c r="BJ163" s="1867"/>
      <c r="BK163" s="1867"/>
      <c r="BL163" s="1867"/>
      <c r="BM163" s="1867"/>
      <c r="BN163" s="1867"/>
      <c r="BO163" s="1867"/>
      <c r="BP163" s="1867"/>
      <c r="BQ163" s="1867"/>
    </row>
    <row r="164" spans="1:69" s="362" customFormat="1" ht="46.5" customHeight="1" x14ac:dyDescent="0.2">
      <c r="A164" s="3341"/>
      <c r="B164" s="3345"/>
      <c r="C164" s="3346"/>
      <c r="D164" s="3258"/>
      <c r="E164" s="3259"/>
      <c r="F164" s="3259"/>
      <c r="G164" s="369"/>
      <c r="H164" s="913"/>
      <c r="I164" s="914"/>
      <c r="J164" s="3230">
        <v>241</v>
      </c>
      <c r="K164" s="3231" t="s">
        <v>1361</v>
      </c>
      <c r="L164" s="3231" t="s">
        <v>1362</v>
      </c>
      <c r="M164" s="3182">
        <v>1</v>
      </c>
      <c r="N164" s="3184" t="s">
        <v>1363</v>
      </c>
      <c r="O164" s="3160" t="s">
        <v>1364</v>
      </c>
      <c r="P164" s="3176" t="s">
        <v>1365</v>
      </c>
      <c r="Q164" s="3225">
        <f>SUM(V164:V165)/R164</f>
        <v>0.43641444500979354</v>
      </c>
      <c r="R164" s="3226">
        <f>SUM(V164:V167)</f>
        <v>84323515</v>
      </c>
      <c r="S164" s="3179" t="s">
        <v>1366</v>
      </c>
      <c r="T164" s="3179" t="s">
        <v>1367</v>
      </c>
      <c r="U164" s="1400" t="s">
        <v>2550</v>
      </c>
      <c r="V164" s="2277">
        <f>9800000-1259800</f>
        <v>8540200</v>
      </c>
      <c r="W164" s="1442" t="s">
        <v>60</v>
      </c>
      <c r="X164" s="2332" t="s">
        <v>1252</v>
      </c>
      <c r="Y164" s="3168">
        <v>1632</v>
      </c>
      <c r="Z164" s="3168">
        <v>1568</v>
      </c>
      <c r="AA164" s="3168">
        <v>974</v>
      </c>
      <c r="AB164" s="3168">
        <v>718</v>
      </c>
      <c r="AC164" s="3168">
        <v>410</v>
      </c>
      <c r="AD164" s="3168">
        <v>1098</v>
      </c>
      <c r="AE164" s="3168"/>
      <c r="AF164" s="3168"/>
      <c r="AG164" s="3168"/>
      <c r="AH164" s="3168"/>
      <c r="AI164" s="3168"/>
      <c r="AJ164" s="3168"/>
      <c r="AK164" s="3168"/>
      <c r="AL164" s="3168"/>
      <c r="AM164" s="3168"/>
      <c r="AN164" s="3168">
        <f>+Y164+Z164</f>
        <v>3200</v>
      </c>
      <c r="AO164" s="924">
        <v>43656</v>
      </c>
      <c r="AP164" s="924">
        <v>43723</v>
      </c>
      <c r="AQ164" s="3151" t="s">
        <v>1182</v>
      </c>
      <c r="AR164" s="1867"/>
      <c r="AS164" s="1867"/>
      <c r="AT164" s="1867"/>
      <c r="AU164" s="1867"/>
      <c r="AV164" s="1867"/>
      <c r="AW164" s="1867"/>
      <c r="AX164" s="1867"/>
      <c r="AY164" s="1867"/>
      <c r="AZ164" s="1867"/>
      <c r="BA164" s="1867"/>
      <c r="BB164" s="1867"/>
      <c r="BC164" s="1867"/>
      <c r="BD164" s="1867"/>
      <c r="BE164" s="1867"/>
      <c r="BF164" s="1867"/>
      <c r="BG164" s="1867"/>
      <c r="BH164" s="1867"/>
      <c r="BI164" s="1867"/>
      <c r="BJ164" s="1867"/>
      <c r="BK164" s="1867"/>
      <c r="BL164" s="1867"/>
      <c r="BM164" s="1867"/>
      <c r="BN164" s="1867"/>
      <c r="BO164" s="1867"/>
      <c r="BP164" s="1867"/>
      <c r="BQ164" s="1867"/>
    </row>
    <row r="165" spans="1:69" s="362" customFormat="1" ht="57.75" customHeight="1" x14ac:dyDescent="0.2">
      <c r="A165" s="3341"/>
      <c r="B165" s="3345"/>
      <c r="C165" s="3346"/>
      <c r="D165" s="3258"/>
      <c r="E165" s="3259"/>
      <c r="F165" s="3259"/>
      <c r="G165" s="369"/>
      <c r="H165" s="916"/>
      <c r="I165" s="917"/>
      <c r="J165" s="3230"/>
      <c r="K165" s="3231"/>
      <c r="L165" s="3231"/>
      <c r="M165" s="3182"/>
      <c r="N165" s="3184"/>
      <c r="O165" s="3160"/>
      <c r="P165" s="3176"/>
      <c r="Q165" s="3225"/>
      <c r="R165" s="3227"/>
      <c r="S165" s="3179"/>
      <c r="T165" s="3179"/>
      <c r="U165" s="1400" t="s">
        <v>1368</v>
      </c>
      <c r="V165" s="2277">
        <f>20000000+8259800</f>
        <v>28259800</v>
      </c>
      <c r="W165" s="1395">
        <v>20</v>
      </c>
      <c r="X165" s="2332" t="s">
        <v>61</v>
      </c>
      <c r="Y165" s="3169"/>
      <c r="Z165" s="3169"/>
      <c r="AA165" s="3169"/>
      <c r="AB165" s="3169"/>
      <c r="AC165" s="3169"/>
      <c r="AD165" s="3169"/>
      <c r="AE165" s="3169"/>
      <c r="AF165" s="3169"/>
      <c r="AG165" s="3169"/>
      <c r="AH165" s="3169"/>
      <c r="AI165" s="3169"/>
      <c r="AJ165" s="3169"/>
      <c r="AK165" s="3169"/>
      <c r="AL165" s="3169"/>
      <c r="AM165" s="3169"/>
      <c r="AN165" s="3169"/>
      <c r="AO165" s="934">
        <v>43480</v>
      </c>
      <c r="AP165" s="934">
        <v>43646</v>
      </c>
      <c r="AQ165" s="3152"/>
      <c r="AR165" s="1867"/>
      <c r="AS165" s="1867"/>
      <c r="AT165" s="1867"/>
      <c r="AU165" s="1867"/>
      <c r="AV165" s="1867"/>
      <c r="AW165" s="1867"/>
      <c r="AX165" s="1867"/>
      <c r="AY165" s="1867"/>
      <c r="AZ165" s="1867"/>
      <c r="BA165" s="1867"/>
      <c r="BB165" s="1867"/>
      <c r="BC165" s="1867"/>
      <c r="BD165" s="1867"/>
      <c r="BE165" s="1867"/>
      <c r="BF165" s="1867"/>
      <c r="BG165" s="1867"/>
      <c r="BH165" s="1867"/>
      <c r="BI165" s="1867"/>
      <c r="BJ165" s="1867"/>
      <c r="BK165" s="1867"/>
      <c r="BL165" s="1867"/>
      <c r="BM165" s="1867"/>
      <c r="BN165" s="1867"/>
      <c r="BO165" s="1867"/>
      <c r="BP165" s="1867"/>
      <c r="BQ165" s="1867"/>
    </row>
    <row r="166" spans="1:69" s="362" customFormat="1" ht="33.75" customHeight="1" x14ac:dyDescent="0.2">
      <c r="A166" s="3341"/>
      <c r="B166" s="3345"/>
      <c r="C166" s="3346"/>
      <c r="D166" s="3258"/>
      <c r="E166" s="3259"/>
      <c r="F166" s="3259"/>
      <c r="G166" s="369"/>
      <c r="H166" s="916"/>
      <c r="I166" s="917"/>
      <c r="J166" s="3220">
        <v>242</v>
      </c>
      <c r="K166" s="3221" t="s">
        <v>1369</v>
      </c>
      <c r="L166" s="3223" t="s">
        <v>1370</v>
      </c>
      <c r="M166" s="3194">
        <v>1</v>
      </c>
      <c r="N166" s="3184"/>
      <c r="O166" s="3160"/>
      <c r="P166" s="3176"/>
      <c r="Q166" s="3225">
        <f>SUM(V166:V167)/R164</f>
        <v>0.56358555499020646</v>
      </c>
      <c r="R166" s="3227"/>
      <c r="S166" s="3179"/>
      <c r="T166" s="3179"/>
      <c r="U166" s="1400" t="s">
        <v>1371</v>
      </c>
      <c r="V166" s="2277">
        <f>10000000-7000000</f>
        <v>3000000</v>
      </c>
      <c r="W166" s="1395">
        <v>20</v>
      </c>
      <c r="X166" s="2332" t="s">
        <v>61</v>
      </c>
      <c r="Y166" s="3169"/>
      <c r="Z166" s="3169"/>
      <c r="AA166" s="3169"/>
      <c r="AB166" s="3169"/>
      <c r="AC166" s="3169"/>
      <c r="AD166" s="3169"/>
      <c r="AE166" s="3169"/>
      <c r="AF166" s="3169"/>
      <c r="AG166" s="3169"/>
      <c r="AH166" s="3169"/>
      <c r="AI166" s="3169"/>
      <c r="AJ166" s="3169"/>
      <c r="AK166" s="3169"/>
      <c r="AL166" s="3169"/>
      <c r="AM166" s="3169"/>
      <c r="AN166" s="3169"/>
      <c r="AO166" s="934">
        <v>43480</v>
      </c>
      <c r="AP166" s="934">
        <v>43646</v>
      </c>
      <c r="AQ166" s="3152"/>
      <c r="AR166" s="1867"/>
      <c r="AS166" s="1867"/>
      <c r="AT166" s="1867"/>
      <c r="AU166" s="1867"/>
      <c r="AV166" s="1867"/>
      <c r="AW166" s="1867"/>
      <c r="AX166" s="1867"/>
      <c r="AY166" s="1867"/>
      <c r="AZ166" s="1867"/>
      <c r="BA166" s="1867"/>
      <c r="BB166" s="1867"/>
      <c r="BC166" s="1867"/>
      <c r="BD166" s="1867"/>
      <c r="BE166" s="1867"/>
      <c r="BF166" s="1867"/>
      <c r="BG166" s="1867"/>
      <c r="BH166" s="1867"/>
      <c r="BI166" s="1867"/>
      <c r="BJ166" s="1867"/>
      <c r="BK166" s="1867"/>
      <c r="BL166" s="1867"/>
      <c r="BM166" s="1867"/>
      <c r="BN166" s="1867"/>
      <c r="BO166" s="1867"/>
      <c r="BP166" s="1867"/>
      <c r="BQ166" s="1867"/>
    </row>
    <row r="167" spans="1:69" s="362" customFormat="1" ht="48" customHeight="1" x14ac:dyDescent="0.2">
      <c r="A167" s="3341"/>
      <c r="B167" s="3345"/>
      <c r="C167" s="3346"/>
      <c r="D167" s="3258"/>
      <c r="E167" s="3259"/>
      <c r="F167" s="3259"/>
      <c r="G167" s="369"/>
      <c r="H167" s="919"/>
      <c r="I167" s="920"/>
      <c r="J167" s="3171"/>
      <c r="K167" s="3222"/>
      <c r="L167" s="3224"/>
      <c r="M167" s="3173"/>
      <c r="N167" s="3184"/>
      <c r="O167" s="3160"/>
      <c r="P167" s="3176"/>
      <c r="Q167" s="3225"/>
      <c r="R167" s="3228"/>
      <c r="S167" s="3179"/>
      <c r="T167" s="3179"/>
      <c r="U167" s="1400" t="s">
        <v>1372</v>
      </c>
      <c r="V167" s="2277">
        <v>44523515</v>
      </c>
      <c r="W167" s="1395">
        <v>20</v>
      </c>
      <c r="X167" s="2332" t="s">
        <v>61</v>
      </c>
      <c r="Y167" s="3169"/>
      <c r="Z167" s="3169"/>
      <c r="AA167" s="3169"/>
      <c r="AB167" s="3169"/>
      <c r="AC167" s="3169"/>
      <c r="AD167" s="3169"/>
      <c r="AE167" s="3169"/>
      <c r="AF167" s="3169"/>
      <c r="AG167" s="3169"/>
      <c r="AH167" s="3169"/>
      <c r="AI167" s="3169"/>
      <c r="AJ167" s="3169"/>
      <c r="AK167" s="3169"/>
      <c r="AL167" s="3169"/>
      <c r="AM167" s="3169"/>
      <c r="AN167" s="3169"/>
      <c r="AO167" s="934">
        <v>43539</v>
      </c>
      <c r="AP167" s="934">
        <v>43819</v>
      </c>
      <c r="AQ167" s="3152"/>
      <c r="AR167" s="1867"/>
      <c r="AS167" s="1867"/>
      <c r="AT167" s="1867"/>
      <c r="AU167" s="1867"/>
      <c r="AV167" s="1867"/>
      <c r="AW167" s="1867"/>
      <c r="AX167" s="1867"/>
      <c r="AY167" s="1867"/>
      <c r="AZ167" s="1867"/>
      <c r="BA167" s="1867"/>
      <c r="BB167" s="1867"/>
      <c r="BC167" s="1867"/>
      <c r="BD167" s="1867"/>
      <c r="BE167" s="1867"/>
      <c r="BF167" s="1867"/>
      <c r="BG167" s="1867"/>
      <c r="BH167" s="1867"/>
      <c r="BI167" s="1867"/>
      <c r="BJ167" s="1867"/>
      <c r="BK167" s="1867"/>
      <c r="BL167" s="1867"/>
      <c r="BM167" s="1867"/>
      <c r="BN167" s="1867"/>
      <c r="BO167" s="1867"/>
      <c r="BP167" s="1867"/>
      <c r="BQ167" s="1867"/>
    </row>
    <row r="168" spans="1:69" s="369" customFormat="1" ht="15" customHeight="1" x14ac:dyDescent="0.2">
      <c r="A168" s="3341"/>
      <c r="B168" s="3345"/>
      <c r="C168" s="3346"/>
      <c r="D168" s="1693">
        <v>27</v>
      </c>
      <c r="E168" s="1050" t="s">
        <v>1373</v>
      </c>
      <c r="F168" s="1050"/>
      <c r="G168" s="940"/>
      <c r="H168" s="940"/>
      <c r="I168" s="893"/>
      <c r="J168" s="925"/>
      <c r="K168" s="926"/>
      <c r="L168" s="835"/>
      <c r="M168" s="834"/>
      <c r="N168" s="2313"/>
      <c r="O168" s="894"/>
      <c r="P168" s="896"/>
      <c r="Q168" s="1877"/>
      <c r="R168" s="927"/>
      <c r="S168" s="926"/>
      <c r="T168" s="926"/>
      <c r="U168" s="926"/>
      <c r="V168" s="2343"/>
      <c r="W168" s="2344"/>
      <c r="X168" s="896"/>
      <c r="Y168" s="896"/>
      <c r="Z168" s="896"/>
      <c r="AA168" s="896"/>
      <c r="AB168" s="896"/>
      <c r="AC168" s="896"/>
      <c r="AD168" s="896"/>
      <c r="AE168" s="896"/>
      <c r="AF168" s="896"/>
      <c r="AG168" s="896"/>
      <c r="AH168" s="896"/>
      <c r="AI168" s="896"/>
      <c r="AJ168" s="896"/>
      <c r="AK168" s="896"/>
      <c r="AL168" s="896"/>
      <c r="AM168" s="896"/>
      <c r="AN168" s="896"/>
      <c r="AO168" s="896"/>
      <c r="AP168" s="896"/>
      <c r="AQ168" s="902"/>
      <c r="AR168" s="1867"/>
      <c r="AS168" s="1867"/>
      <c r="AT168" s="1867"/>
      <c r="AU168" s="1867"/>
      <c r="AV168" s="1867"/>
      <c r="AW168" s="1867"/>
      <c r="AX168" s="1867"/>
      <c r="AY168" s="1867"/>
      <c r="AZ168" s="1867"/>
      <c r="BA168" s="1867"/>
      <c r="BB168" s="1867"/>
      <c r="BC168" s="1867"/>
      <c r="BD168" s="1867"/>
      <c r="BE168" s="1867"/>
      <c r="BF168" s="1867"/>
      <c r="BG168" s="1867"/>
      <c r="BH168" s="1867"/>
      <c r="BI168" s="1867"/>
      <c r="BJ168" s="1867"/>
      <c r="BK168" s="1867"/>
      <c r="BL168" s="1867"/>
      <c r="BM168" s="1867"/>
      <c r="BN168" s="1867"/>
      <c r="BO168" s="1867"/>
      <c r="BP168" s="1867"/>
      <c r="BQ168" s="1867"/>
    </row>
    <row r="169" spans="1:69" s="369" customFormat="1" ht="15" customHeight="1" x14ac:dyDescent="0.2">
      <c r="A169" s="3341"/>
      <c r="B169" s="3345"/>
      <c r="C169" s="3346"/>
      <c r="D169" s="3206"/>
      <c r="E169" s="3209"/>
      <c r="F169" s="3212"/>
      <c r="G169" s="904">
        <v>85</v>
      </c>
      <c r="H169" s="717" t="s">
        <v>1374</v>
      </c>
      <c r="I169" s="717"/>
      <c r="J169" s="905"/>
      <c r="K169" s="906"/>
      <c r="L169" s="907"/>
      <c r="M169" s="770"/>
      <c r="N169" s="774"/>
      <c r="O169" s="775"/>
      <c r="P169" s="719"/>
      <c r="Q169" s="1876"/>
      <c r="R169" s="908"/>
      <c r="S169" s="906"/>
      <c r="T169" s="906"/>
      <c r="U169" s="1563"/>
      <c r="V169" s="2301"/>
      <c r="W169" s="1564"/>
      <c r="X169" s="2329"/>
      <c r="Y169" s="722"/>
      <c r="Z169" s="722"/>
      <c r="AA169" s="722"/>
      <c r="AB169" s="722"/>
      <c r="AC169" s="722"/>
      <c r="AD169" s="722"/>
      <c r="AE169" s="722"/>
      <c r="AF169" s="722"/>
      <c r="AG169" s="722"/>
      <c r="AH169" s="722"/>
      <c r="AI169" s="722"/>
      <c r="AJ169" s="722"/>
      <c r="AK169" s="722"/>
      <c r="AL169" s="722"/>
      <c r="AM169" s="722"/>
      <c r="AN169" s="722"/>
      <c r="AO169" s="722"/>
      <c r="AP169" s="722"/>
      <c r="AQ169" s="928"/>
      <c r="AR169" s="1867"/>
      <c r="AS169" s="1867"/>
      <c r="AT169" s="1867"/>
      <c r="AU169" s="1867"/>
      <c r="AV169" s="1867"/>
      <c r="AW169" s="1867"/>
      <c r="AX169" s="1867"/>
      <c r="AY169" s="1867"/>
      <c r="AZ169" s="1867"/>
      <c r="BA169" s="1867"/>
      <c r="BB169" s="1867"/>
      <c r="BC169" s="1867"/>
      <c r="BD169" s="1867"/>
      <c r="BE169" s="1867"/>
      <c r="BF169" s="1867"/>
      <c r="BG169" s="1867"/>
      <c r="BH169" s="1867"/>
      <c r="BI169" s="1867"/>
      <c r="BJ169" s="1867"/>
      <c r="BK169" s="1867"/>
      <c r="BL169" s="1867"/>
      <c r="BM169" s="1867"/>
      <c r="BN169" s="1867"/>
      <c r="BO169" s="1867"/>
      <c r="BP169" s="1867"/>
      <c r="BQ169" s="1867"/>
    </row>
    <row r="170" spans="1:69" s="362" customFormat="1" ht="30.75" customHeight="1" x14ac:dyDescent="0.2">
      <c r="A170" s="3341"/>
      <c r="B170" s="3345"/>
      <c r="C170" s="3346"/>
      <c r="D170" s="3207"/>
      <c r="E170" s="3210"/>
      <c r="F170" s="3213"/>
      <c r="G170" s="369"/>
      <c r="H170" s="913"/>
      <c r="I170" s="914"/>
      <c r="J170" s="3182">
        <v>250</v>
      </c>
      <c r="K170" s="3183" t="s">
        <v>1375</v>
      </c>
      <c r="L170" s="3215" t="s">
        <v>1376</v>
      </c>
      <c r="M170" s="3182">
        <v>3</v>
      </c>
      <c r="N170" s="3196" t="s">
        <v>1377</v>
      </c>
      <c r="O170" s="3160" t="s">
        <v>1378</v>
      </c>
      <c r="P170" s="3176" t="s">
        <v>1379</v>
      </c>
      <c r="Q170" s="3197">
        <f>R170/SUM(R170:R186)</f>
        <v>1</v>
      </c>
      <c r="R170" s="3198">
        <f>SUM(V170:V196)</f>
        <v>700271633</v>
      </c>
      <c r="S170" s="3179" t="s">
        <v>1380</v>
      </c>
      <c r="T170" s="3179" t="s">
        <v>1381</v>
      </c>
      <c r="U170" s="3202" t="s">
        <v>1382</v>
      </c>
      <c r="V170" s="2277">
        <f>65420000+13595963</f>
        <v>79015963</v>
      </c>
      <c r="W170" s="1404">
        <v>20</v>
      </c>
      <c r="X170" s="2345" t="s">
        <v>1252</v>
      </c>
      <c r="Y170" s="3168">
        <v>5202</v>
      </c>
      <c r="Z170" s="3168">
        <v>4998</v>
      </c>
      <c r="AA170" s="3168">
        <v>3103</v>
      </c>
      <c r="AB170" s="3168">
        <v>2288</v>
      </c>
      <c r="AC170" s="3168">
        <v>1306</v>
      </c>
      <c r="AD170" s="3168">
        <v>3503</v>
      </c>
      <c r="AE170" s="3168"/>
      <c r="AF170" s="3168"/>
      <c r="AG170" s="3168"/>
      <c r="AH170" s="3168"/>
      <c r="AI170" s="3168"/>
      <c r="AJ170" s="3168"/>
      <c r="AK170" s="3168"/>
      <c r="AL170" s="3168"/>
      <c r="AM170" s="3168"/>
      <c r="AN170" s="3168">
        <f>+Y170+Z170</f>
        <v>10200</v>
      </c>
      <c r="AO170" s="924">
        <v>43483</v>
      </c>
      <c r="AP170" s="924">
        <v>43758</v>
      </c>
      <c r="AQ170" s="3151" t="s">
        <v>1229</v>
      </c>
      <c r="AR170" s="1867"/>
      <c r="AS170" s="1867"/>
      <c r="AT170" s="1867"/>
      <c r="AU170" s="1867"/>
      <c r="AV170" s="1867"/>
      <c r="AW170" s="1867"/>
      <c r="AX170" s="1867"/>
      <c r="AY170" s="1867"/>
      <c r="AZ170" s="1867"/>
      <c r="BA170" s="1867"/>
      <c r="BB170" s="1867"/>
      <c r="BC170" s="1867"/>
      <c r="BD170" s="1867"/>
      <c r="BE170" s="1867"/>
      <c r="BF170" s="1867"/>
      <c r="BG170" s="1867"/>
      <c r="BH170" s="1867"/>
      <c r="BI170" s="1867"/>
      <c r="BJ170" s="1867"/>
      <c r="BK170" s="1867"/>
      <c r="BL170" s="1867"/>
      <c r="BM170" s="1867"/>
      <c r="BN170" s="1867"/>
      <c r="BO170" s="1867"/>
      <c r="BP170" s="1867"/>
      <c r="BQ170" s="1867"/>
    </row>
    <row r="171" spans="1:69" s="362" customFormat="1" ht="30.75" customHeight="1" x14ac:dyDescent="0.2">
      <c r="A171" s="3341"/>
      <c r="B171" s="3345"/>
      <c r="C171" s="3346"/>
      <c r="D171" s="3207"/>
      <c r="E171" s="3210"/>
      <c r="F171" s="3213"/>
      <c r="G171" s="369"/>
      <c r="H171" s="916"/>
      <c r="I171" s="917"/>
      <c r="J171" s="3182"/>
      <c r="K171" s="3183"/>
      <c r="L171" s="3215"/>
      <c r="M171" s="3182"/>
      <c r="N171" s="3184"/>
      <c r="O171" s="3160"/>
      <c r="P171" s="3176"/>
      <c r="Q171" s="3164"/>
      <c r="R171" s="3199"/>
      <c r="S171" s="3179"/>
      <c r="T171" s="3179"/>
      <c r="U171" s="3203"/>
      <c r="V171" s="2277">
        <f>0+62420000</f>
        <v>62420000</v>
      </c>
      <c r="W171" s="1404">
        <v>88</v>
      </c>
      <c r="X171" s="2345" t="s">
        <v>942</v>
      </c>
      <c r="Y171" s="3168"/>
      <c r="Z171" s="3168"/>
      <c r="AA171" s="3168"/>
      <c r="AB171" s="3168"/>
      <c r="AC171" s="3168"/>
      <c r="AD171" s="3168"/>
      <c r="AE171" s="3168"/>
      <c r="AF171" s="3168"/>
      <c r="AG171" s="3168"/>
      <c r="AH171" s="3168"/>
      <c r="AI171" s="3168"/>
      <c r="AJ171" s="3168"/>
      <c r="AK171" s="3168"/>
      <c r="AL171" s="3168"/>
      <c r="AM171" s="3168"/>
      <c r="AN171" s="3168"/>
      <c r="AO171" s="924"/>
      <c r="AP171" s="924"/>
      <c r="AQ171" s="3151"/>
      <c r="AR171" s="1867"/>
      <c r="AS171" s="1867"/>
      <c r="AT171" s="1867"/>
      <c r="AU171" s="1867"/>
      <c r="AV171" s="1867"/>
      <c r="AW171" s="1867"/>
      <c r="AX171" s="1867"/>
      <c r="AY171" s="1867"/>
      <c r="AZ171" s="1867"/>
      <c r="BA171" s="1867"/>
      <c r="BB171" s="1867"/>
      <c r="BC171" s="1867"/>
      <c r="BD171" s="1867"/>
      <c r="BE171" s="1867"/>
      <c r="BF171" s="1867"/>
      <c r="BG171" s="1867"/>
      <c r="BH171" s="1867"/>
      <c r="BI171" s="1867"/>
      <c r="BJ171" s="1867"/>
      <c r="BK171" s="1867"/>
      <c r="BL171" s="1867"/>
      <c r="BM171" s="1867"/>
      <c r="BN171" s="1867"/>
      <c r="BO171" s="1867"/>
      <c r="BP171" s="1867"/>
      <c r="BQ171" s="1867"/>
    </row>
    <row r="172" spans="1:69" s="362" customFormat="1" ht="32.25" customHeight="1" x14ac:dyDescent="0.2">
      <c r="A172" s="3341"/>
      <c r="B172" s="3345"/>
      <c r="C172" s="3346"/>
      <c r="D172" s="3207"/>
      <c r="E172" s="3210"/>
      <c r="F172" s="3213"/>
      <c r="G172" s="369"/>
      <c r="H172" s="916"/>
      <c r="I172" s="917"/>
      <c r="J172" s="3182"/>
      <c r="K172" s="3183"/>
      <c r="L172" s="3215"/>
      <c r="M172" s="3182"/>
      <c r="N172" s="3184"/>
      <c r="O172" s="3160"/>
      <c r="P172" s="3176"/>
      <c r="Q172" s="3164"/>
      <c r="R172" s="3199"/>
      <c r="S172" s="3179"/>
      <c r="T172" s="3179"/>
      <c r="U172" s="3202" t="s">
        <v>1383</v>
      </c>
      <c r="V172" s="2277">
        <v>28000000</v>
      </c>
      <c r="W172" s="1395">
        <v>20</v>
      </c>
      <c r="X172" s="2332" t="s">
        <v>61</v>
      </c>
      <c r="Y172" s="3169"/>
      <c r="Z172" s="3169"/>
      <c r="AA172" s="3169"/>
      <c r="AB172" s="3169"/>
      <c r="AC172" s="3169"/>
      <c r="AD172" s="3169"/>
      <c r="AE172" s="3169"/>
      <c r="AF172" s="3169"/>
      <c r="AG172" s="3169"/>
      <c r="AH172" s="3169"/>
      <c r="AI172" s="3169"/>
      <c r="AJ172" s="3169"/>
      <c r="AK172" s="3169"/>
      <c r="AL172" s="3169"/>
      <c r="AM172" s="3169"/>
      <c r="AN172" s="3169"/>
      <c r="AO172" s="934">
        <v>43753</v>
      </c>
      <c r="AP172" s="934">
        <v>43799</v>
      </c>
      <c r="AQ172" s="3201"/>
      <c r="AR172" s="1867"/>
      <c r="AS172" s="1867"/>
      <c r="AT172" s="1867"/>
      <c r="AU172" s="1867"/>
      <c r="AV172" s="1867"/>
      <c r="AW172" s="1867"/>
      <c r="AX172" s="1867"/>
      <c r="AY172" s="1867"/>
      <c r="AZ172" s="1867"/>
      <c r="BA172" s="1867"/>
      <c r="BB172" s="1867"/>
      <c r="BC172" s="1867"/>
      <c r="BD172" s="1867"/>
      <c r="BE172" s="1867"/>
      <c r="BF172" s="1867"/>
      <c r="BG172" s="1867"/>
      <c r="BH172" s="1867"/>
      <c r="BI172" s="1867"/>
      <c r="BJ172" s="1867"/>
      <c r="BK172" s="1867"/>
      <c r="BL172" s="1867"/>
      <c r="BM172" s="1867"/>
      <c r="BN172" s="1867"/>
      <c r="BO172" s="1867"/>
      <c r="BP172" s="1867"/>
      <c r="BQ172" s="1867"/>
    </row>
    <row r="173" spans="1:69" s="362" customFormat="1" ht="32.25" customHeight="1" x14ac:dyDescent="0.2">
      <c r="A173" s="3341"/>
      <c r="B173" s="3345"/>
      <c r="C173" s="3346"/>
      <c r="D173" s="3207"/>
      <c r="E173" s="3210"/>
      <c r="F173" s="3213"/>
      <c r="G173" s="369"/>
      <c r="H173" s="916"/>
      <c r="I173" s="917"/>
      <c r="J173" s="3182"/>
      <c r="K173" s="3183"/>
      <c r="L173" s="3215"/>
      <c r="M173" s="3182"/>
      <c r="N173" s="3184"/>
      <c r="O173" s="3160"/>
      <c r="P173" s="3176"/>
      <c r="Q173" s="3164"/>
      <c r="R173" s="3199"/>
      <c r="S173" s="3179"/>
      <c r="T173" s="3179"/>
      <c r="U173" s="3203"/>
      <c r="V173" s="2277">
        <f>0+28000000</f>
        <v>28000000</v>
      </c>
      <c r="W173" s="1395">
        <v>88</v>
      </c>
      <c r="X173" s="2332" t="s">
        <v>61</v>
      </c>
      <c r="Y173" s="3169"/>
      <c r="Z173" s="3169"/>
      <c r="AA173" s="3169"/>
      <c r="AB173" s="3169"/>
      <c r="AC173" s="3169"/>
      <c r="AD173" s="3169"/>
      <c r="AE173" s="3169"/>
      <c r="AF173" s="3169"/>
      <c r="AG173" s="3169"/>
      <c r="AH173" s="3169"/>
      <c r="AI173" s="3169"/>
      <c r="AJ173" s="3169"/>
      <c r="AK173" s="3169"/>
      <c r="AL173" s="3169"/>
      <c r="AM173" s="3169"/>
      <c r="AN173" s="3169"/>
      <c r="AO173" s="934"/>
      <c r="AP173" s="934"/>
      <c r="AQ173" s="3201"/>
      <c r="AR173" s="1867"/>
      <c r="AS173" s="1867"/>
      <c r="AT173" s="1867"/>
      <c r="AU173" s="1867"/>
      <c r="AV173" s="1867"/>
      <c r="AW173" s="1867"/>
      <c r="AX173" s="1867"/>
      <c r="AY173" s="1867"/>
      <c r="AZ173" s="1867"/>
      <c r="BA173" s="1867"/>
      <c r="BB173" s="1867"/>
      <c r="BC173" s="1867"/>
      <c r="BD173" s="1867"/>
      <c r="BE173" s="1867"/>
      <c r="BF173" s="1867"/>
      <c r="BG173" s="1867"/>
      <c r="BH173" s="1867"/>
      <c r="BI173" s="1867"/>
      <c r="BJ173" s="1867"/>
      <c r="BK173" s="1867"/>
      <c r="BL173" s="1867"/>
      <c r="BM173" s="1867"/>
      <c r="BN173" s="1867"/>
      <c r="BO173" s="1867"/>
      <c r="BP173" s="1867"/>
      <c r="BQ173" s="1867"/>
    </row>
    <row r="174" spans="1:69" s="362" customFormat="1" ht="30" customHeight="1" x14ac:dyDescent="0.2">
      <c r="A174" s="3341"/>
      <c r="B174" s="3345"/>
      <c r="C174" s="3346"/>
      <c r="D174" s="3207"/>
      <c r="E174" s="3210"/>
      <c r="F174" s="3213"/>
      <c r="G174" s="369"/>
      <c r="H174" s="916"/>
      <c r="I174" s="917"/>
      <c r="J174" s="3182"/>
      <c r="K174" s="3183"/>
      <c r="L174" s="3215"/>
      <c r="M174" s="3182"/>
      <c r="N174" s="3184"/>
      <c r="O174" s="3160"/>
      <c r="P174" s="3176"/>
      <c r="Q174" s="3164"/>
      <c r="R174" s="3199"/>
      <c r="S174" s="3179"/>
      <c r="T174" s="3179"/>
      <c r="U174" s="3202" t="s">
        <v>1384</v>
      </c>
      <c r="V174" s="2277">
        <v>5000000</v>
      </c>
      <c r="W174" s="1395">
        <v>20</v>
      </c>
      <c r="X174" s="2332" t="s">
        <v>61</v>
      </c>
      <c r="Y174" s="3169"/>
      <c r="Z174" s="3169"/>
      <c r="AA174" s="3169"/>
      <c r="AB174" s="3169"/>
      <c r="AC174" s="3169"/>
      <c r="AD174" s="3169"/>
      <c r="AE174" s="3169"/>
      <c r="AF174" s="3169"/>
      <c r="AG174" s="3169"/>
      <c r="AH174" s="3169"/>
      <c r="AI174" s="3169"/>
      <c r="AJ174" s="3169"/>
      <c r="AK174" s="3169"/>
      <c r="AL174" s="3169"/>
      <c r="AM174" s="3169"/>
      <c r="AN174" s="3169"/>
      <c r="AO174" s="934">
        <v>43570</v>
      </c>
      <c r="AP174" s="934">
        <v>43666</v>
      </c>
      <c r="AQ174" s="3201"/>
      <c r="AR174" s="1867"/>
      <c r="AS174" s="1867"/>
      <c r="AT174" s="1867"/>
      <c r="AU174" s="1867"/>
      <c r="AV174" s="1867"/>
      <c r="AW174" s="1867"/>
      <c r="AX174" s="1867"/>
      <c r="AY174" s="1867"/>
      <c r="AZ174" s="1867"/>
      <c r="BA174" s="1867"/>
      <c r="BB174" s="1867"/>
      <c r="BC174" s="1867"/>
      <c r="BD174" s="1867"/>
      <c r="BE174" s="1867"/>
      <c r="BF174" s="1867"/>
      <c r="BG174" s="1867"/>
      <c r="BH174" s="1867"/>
      <c r="BI174" s="1867"/>
      <c r="BJ174" s="1867"/>
      <c r="BK174" s="1867"/>
      <c r="BL174" s="1867"/>
      <c r="BM174" s="1867"/>
      <c r="BN174" s="1867"/>
      <c r="BO174" s="1867"/>
      <c r="BP174" s="1867"/>
      <c r="BQ174" s="1867"/>
    </row>
    <row r="175" spans="1:69" s="362" customFormat="1" ht="29.25" customHeight="1" x14ac:dyDescent="0.2">
      <c r="A175" s="3341"/>
      <c r="B175" s="3345"/>
      <c r="C175" s="3346"/>
      <c r="D175" s="3207"/>
      <c r="E175" s="3210"/>
      <c r="F175" s="3213"/>
      <c r="G175" s="369"/>
      <c r="H175" s="916"/>
      <c r="I175" s="917"/>
      <c r="J175" s="3182"/>
      <c r="K175" s="3183"/>
      <c r="L175" s="3215"/>
      <c r="M175" s="3182"/>
      <c r="N175" s="3184"/>
      <c r="O175" s="3160"/>
      <c r="P175" s="3176"/>
      <c r="Q175" s="3164"/>
      <c r="R175" s="3199"/>
      <c r="S175" s="3179"/>
      <c r="T175" s="3179"/>
      <c r="U175" s="3203"/>
      <c r="V175" s="2277">
        <f>0+5000000</f>
        <v>5000000</v>
      </c>
      <c r="W175" s="1404">
        <v>88</v>
      </c>
      <c r="X175" s="2345" t="s">
        <v>1385</v>
      </c>
      <c r="Y175" s="3169"/>
      <c r="Z175" s="3169"/>
      <c r="AA175" s="3169"/>
      <c r="AB175" s="3169"/>
      <c r="AC175" s="3169"/>
      <c r="AD175" s="3169"/>
      <c r="AE175" s="3169"/>
      <c r="AF175" s="3169"/>
      <c r="AG175" s="3169"/>
      <c r="AH175" s="3169"/>
      <c r="AI175" s="3169"/>
      <c r="AJ175" s="3169"/>
      <c r="AK175" s="3169"/>
      <c r="AL175" s="3169"/>
      <c r="AM175" s="3169"/>
      <c r="AN175" s="3169"/>
      <c r="AO175" s="934"/>
      <c r="AP175" s="934"/>
      <c r="AQ175" s="3201"/>
      <c r="AR175" s="1867"/>
      <c r="AS175" s="1867"/>
      <c r="AT175" s="1867"/>
      <c r="AU175" s="1867"/>
      <c r="AV175" s="1867"/>
      <c r="AW175" s="1867"/>
      <c r="AX175" s="1867"/>
      <c r="AY175" s="1867"/>
      <c r="AZ175" s="1867"/>
      <c r="BA175" s="1867"/>
      <c r="BB175" s="1867"/>
      <c r="BC175" s="1867"/>
      <c r="BD175" s="1867"/>
      <c r="BE175" s="1867"/>
      <c r="BF175" s="1867"/>
      <c r="BG175" s="1867"/>
      <c r="BH175" s="1867"/>
      <c r="BI175" s="1867"/>
      <c r="BJ175" s="1867"/>
      <c r="BK175" s="1867"/>
      <c r="BL175" s="1867"/>
      <c r="BM175" s="1867"/>
      <c r="BN175" s="1867"/>
      <c r="BO175" s="1867"/>
      <c r="BP175" s="1867"/>
      <c r="BQ175" s="1867"/>
    </row>
    <row r="176" spans="1:69" s="362" customFormat="1" ht="22.5" customHeight="1" x14ac:dyDescent="0.2">
      <c r="A176" s="3341"/>
      <c r="B176" s="3345"/>
      <c r="C176" s="3346"/>
      <c r="D176" s="3207"/>
      <c r="E176" s="3210"/>
      <c r="F176" s="3213"/>
      <c r="G176" s="369"/>
      <c r="H176" s="916"/>
      <c r="I176" s="917"/>
      <c r="J176" s="3182"/>
      <c r="K176" s="3183"/>
      <c r="L176" s="3215"/>
      <c r="M176" s="3182"/>
      <c r="N176" s="3184"/>
      <c r="O176" s="3160"/>
      <c r="P176" s="3176"/>
      <c r="Q176" s="3164"/>
      <c r="R176" s="3199"/>
      <c r="S176" s="3179"/>
      <c r="T176" s="3179"/>
      <c r="U176" s="3192" t="s">
        <v>1386</v>
      </c>
      <c r="V176" s="2277">
        <v>11400000</v>
      </c>
      <c r="W176" s="1395">
        <v>20</v>
      </c>
      <c r="X176" s="2332" t="s">
        <v>61</v>
      </c>
      <c r="Y176" s="3169"/>
      <c r="Z176" s="3169"/>
      <c r="AA176" s="3169"/>
      <c r="AB176" s="3169"/>
      <c r="AC176" s="3169"/>
      <c r="AD176" s="3169"/>
      <c r="AE176" s="3169"/>
      <c r="AF176" s="3169"/>
      <c r="AG176" s="3169"/>
      <c r="AH176" s="3169"/>
      <c r="AI176" s="3169"/>
      <c r="AJ176" s="3169"/>
      <c r="AK176" s="3169"/>
      <c r="AL176" s="3169"/>
      <c r="AM176" s="3169"/>
      <c r="AN176" s="3169"/>
      <c r="AO176" s="934">
        <v>43539</v>
      </c>
      <c r="AP176" s="934">
        <v>43758</v>
      </c>
      <c r="AQ176" s="3201"/>
      <c r="AR176" s="1867"/>
      <c r="AS176" s="1867"/>
      <c r="AT176" s="1867"/>
      <c r="AU176" s="1867"/>
      <c r="AV176" s="1867"/>
      <c r="AW176" s="1867"/>
      <c r="AX176" s="1867"/>
      <c r="AY176" s="1867"/>
      <c r="AZ176" s="1867"/>
      <c r="BA176" s="1867"/>
      <c r="BB176" s="1867"/>
      <c r="BC176" s="1867"/>
      <c r="BD176" s="1867"/>
      <c r="BE176" s="1867"/>
      <c r="BF176" s="1867"/>
      <c r="BG176" s="1867"/>
      <c r="BH176" s="1867"/>
      <c r="BI176" s="1867"/>
      <c r="BJ176" s="1867"/>
      <c r="BK176" s="1867"/>
      <c r="BL176" s="1867"/>
      <c r="BM176" s="1867"/>
      <c r="BN176" s="1867"/>
      <c r="BO176" s="1867"/>
      <c r="BP176" s="1867"/>
      <c r="BQ176" s="1867"/>
    </row>
    <row r="177" spans="1:69" s="362" customFormat="1" ht="22.5" customHeight="1" x14ac:dyDescent="0.2">
      <c r="A177" s="3341"/>
      <c r="B177" s="3345"/>
      <c r="C177" s="3346"/>
      <c r="D177" s="3207"/>
      <c r="E177" s="3210"/>
      <c r="F177" s="3213"/>
      <c r="G177" s="369"/>
      <c r="H177" s="916"/>
      <c r="I177" s="917"/>
      <c r="J177" s="3182"/>
      <c r="K177" s="3183"/>
      <c r="L177" s="3215"/>
      <c r="M177" s="3182"/>
      <c r="N177" s="3184"/>
      <c r="O177" s="3160"/>
      <c r="P177" s="3176"/>
      <c r="Q177" s="3164"/>
      <c r="R177" s="3199"/>
      <c r="S177" s="3179"/>
      <c r="T177" s="3179"/>
      <c r="U177" s="3193"/>
      <c r="V177" s="2277">
        <f>0+10000000</f>
        <v>10000000</v>
      </c>
      <c r="W177" s="1395">
        <v>88</v>
      </c>
      <c r="X177" s="2345" t="s">
        <v>942</v>
      </c>
      <c r="Y177" s="3169"/>
      <c r="Z177" s="3169"/>
      <c r="AA177" s="3169"/>
      <c r="AB177" s="3169"/>
      <c r="AC177" s="3169"/>
      <c r="AD177" s="3169"/>
      <c r="AE177" s="3169"/>
      <c r="AF177" s="3169"/>
      <c r="AG177" s="3169"/>
      <c r="AH177" s="3169"/>
      <c r="AI177" s="3169"/>
      <c r="AJ177" s="3169"/>
      <c r="AK177" s="3169"/>
      <c r="AL177" s="3169"/>
      <c r="AM177" s="3169"/>
      <c r="AN177" s="3169"/>
      <c r="AO177" s="934"/>
      <c r="AP177" s="934"/>
      <c r="AQ177" s="3201"/>
      <c r="AR177" s="1867"/>
      <c r="AS177" s="1867"/>
      <c r="AT177" s="1867"/>
      <c r="AU177" s="1867"/>
      <c r="AV177" s="1867"/>
      <c r="AW177" s="1867"/>
      <c r="AX177" s="1867"/>
      <c r="AY177" s="1867"/>
      <c r="AZ177" s="1867"/>
      <c r="BA177" s="1867"/>
      <c r="BB177" s="1867"/>
      <c r="BC177" s="1867"/>
      <c r="BD177" s="1867"/>
      <c r="BE177" s="1867"/>
      <c r="BF177" s="1867"/>
      <c r="BG177" s="1867"/>
      <c r="BH177" s="1867"/>
      <c r="BI177" s="1867"/>
      <c r="BJ177" s="1867"/>
      <c r="BK177" s="1867"/>
      <c r="BL177" s="1867"/>
      <c r="BM177" s="1867"/>
      <c r="BN177" s="1867"/>
      <c r="BO177" s="1867"/>
      <c r="BP177" s="1867"/>
      <c r="BQ177" s="1867"/>
    </row>
    <row r="178" spans="1:69" s="362" customFormat="1" ht="34.5" customHeight="1" x14ac:dyDescent="0.2">
      <c r="A178" s="3341"/>
      <c r="B178" s="3345"/>
      <c r="C178" s="3346"/>
      <c r="D178" s="3207"/>
      <c r="E178" s="3210"/>
      <c r="F178" s="3213"/>
      <c r="G178" s="369"/>
      <c r="H178" s="916"/>
      <c r="I178" s="917"/>
      <c r="J178" s="3182"/>
      <c r="K178" s="3183"/>
      <c r="L178" s="3215"/>
      <c r="M178" s="3182"/>
      <c r="N178" s="3184"/>
      <c r="O178" s="3160"/>
      <c r="P178" s="3176"/>
      <c r="Q178" s="3164"/>
      <c r="R178" s="3199"/>
      <c r="S178" s="3179"/>
      <c r="T178" s="3179"/>
      <c r="U178" s="2043" t="s">
        <v>1387</v>
      </c>
      <c r="V178" s="2277">
        <v>5000000</v>
      </c>
      <c r="W178" s="1395">
        <v>20</v>
      </c>
      <c r="X178" s="2332" t="s">
        <v>61</v>
      </c>
      <c r="Y178" s="3169"/>
      <c r="Z178" s="3169"/>
      <c r="AA178" s="3169"/>
      <c r="AB178" s="3169"/>
      <c r="AC178" s="3169"/>
      <c r="AD178" s="3169"/>
      <c r="AE178" s="3169"/>
      <c r="AF178" s="3169"/>
      <c r="AG178" s="3169"/>
      <c r="AH178" s="3169"/>
      <c r="AI178" s="3169"/>
      <c r="AJ178" s="3169"/>
      <c r="AK178" s="3169"/>
      <c r="AL178" s="3169"/>
      <c r="AM178" s="3169"/>
      <c r="AN178" s="3169"/>
      <c r="AO178" s="934">
        <v>43539</v>
      </c>
      <c r="AP178" s="934">
        <v>43758</v>
      </c>
      <c r="AQ178" s="3201"/>
      <c r="AR178" s="1867"/>
      <c r="AS178" s="1867"/>
      <c r="AT178" s="1867"/>
      <c r="AU178" s="1867"/>
      <c r="AV178" s="1867"/>
      <c r="AW178" s="1867"/>
      <c r="AX178" s="1867"/>
      <c r="AY178" s="1867"/>
      <c r="AZ178" s="1867"/>
      <c r="BA178" s="1867"/>
      <c r="BB178" s="1867"/>
      <c r="BC178" s="1867"/>
      <c r="BD178" s="1867"/>
      <c r="BE178" s="1867"/>
      <c r="BF178" s="1867"/>
      <c r="BG178" s="1867"/>
      <c r="BH178" s="1867"/>
      <c r="BI178" s="1867"/>
      <c r="BJ178" s="1867"/>
      <c r="BK178" s="1867"/>
      <c r="BL178" s="1867"/>
      <c r="BM178" s="1867"/>
      <c r="BN178" s="1867"/>
      <c r="BO178" s="1867"/>
      <c r="BP178" s="1867"/>
      <c r="BQ178" s="1867"/>
    </row>
    <row r="179" spans="1:69" s="362" customFormat="1" ht="41.25" customHeight="1" x14ac:dyDescent="0.2">
      <c r="A179" s="3341"/>
      <c r="B179" s="3345"/>
      <c r="C179" s="3346"/>
      <c r="D179" s="3207"/>
      <c r="E179" s="3210"/>
      <c r="F179" s="3213"/>
      <c r="G179" s="369"/>
      <c r="H179" s="916"/>
      <c r="I179" s="917"/>
      <c r="J179" s="3182"/>
      <c r="K179" s="3183"/>
      <c r="L179" s="3215"/>
      <c r="M179" s="3182"/>
      <c r="N179" s="3184"/>
      <c r="O179" s="3160"/>
      <c r="P179" s="3176"/>
      <c r="Q179" s="3164"/>
      <c r="R179" s="3199"/>
      <c r="S179" s="3179"/>
      <c r="T179" s="3179"/>
      <c r="U179" s="2043" t="s">
        <v>1388</v>
      </c>
      <c r="V179" s="2277">
        <v>12000000</v>
      </c>
      <c r="W179" s="1395">
        <v>20</v>
      </c>
      <c r="X179" s="2332" t="s">
        <v>61</v>
      </c>
      <c r="Y179" s="3169"/>
      <c r="Z179" s="3169"/>
      <c r="AA179" s="3169"/>
      <c r="AB179" s="3169"/>
      <c r="AC179" s="3169"/>
      <c r="AD179" s="3169"/>
      <c r="AE179" s="3169"/>
      <c r="AF179" s="3169"/>
      <c r="AG179" s="3169"/>
      <c r="AH179" s="3169"/>
      <c r="AI179" s="3169"/>
      <c r="AJ179" s="3169"/>
      <c r="AK179" s="3169"/>
      <c r="AL179" s="3169"/>
      <c r="AM179" s="3169"/>
      <c r="AN179" s="3169"/>
      <c r="AO179" s="924">
        <v>43480</v>
      </c>
      <c r="AP179" s="924">
        <v>43646</v>
      </c>
      <c r="AQ179" s="3201"/>
      <c r="AR179" s="1867"/>
      <c r="AS179" s="1867"/>
      <c r="AT179" s="1867"/>
      <c r="AU179" s="1867"/>
      <c r="AV179" s="1867"/>
      <c r="AW179" s="1867"/>
      <c r="AX179" s="1867"/>
      <c r="AY179" s="1867"/>
      <c r="AZ179" s="1867"/>
      <c r="BA179" s="1867"/>
      <c r="BB179" s="1867"/>
      <c r="BC179" s="1867"/>
      <c r="BD179" s="1867"/>
      <c r="BE179" s="1867"/>
      <c r="BF179" s="1867"/>
      <c r="BG179" s="1867"/>
      <c r="BH179" s="1867"/>
      <c r="BI179" s="1867"/>
      <c r="BJ179" s="1867"/>
      <c r="BK179" s="1867"/>
      <c r="BL179" s="1867"/>
      <c r="BM179" s="1867"/>
      <c r="BN179" s="1867"/>
      <c r="BO179" s="1867"/>
      <c r="BP179" s="1867"/>
      <c r="BQ179" s="1867"/>
    </row>
    <row r="180" spans="1:69" s="362" customFormat="1" ht="32.25" customHeight="1" x14ac:dyDescent="0.2">
      <c r="A180" s="3341"/>
      <c r="B180" s="3345"/>
      <c r="C180" s="3346"/>
      <c r="D180" s="3207"/>
      <c r="E180" s="3210"/>
      <c r="F180" s="3213"/>
      <c r="G180" s="369"/>
      <c r="H180" s="916"/>
      <c r="I180" s="917"/>
      <c r="J180" s="3182"/>
      <c r="K180" s="3183"/>
      <c r="L180" s="3215"/>
      <c r="M180" s="3182"/>
      <c r="N180" s="3184"/>
      <c r="O180" s="3160"/>
      <c r="P180" s="3176"/>
      <c r="Q180" s="3164"/>
      <c r="R180" s="3199"/>
      <c r="S180" s="3179"/>
      <c r="T180" s="3179"/>
      <c r="U180" s="3202" t="s">
        <v>1389</v>
      </c>
      <c r="V180" s="2277">
        <f>40000000+366848</f>
        <v>40366848</v>
      </c>
      <c r="W180" s="1395">
        <v>20</v>
      </c>
      <c r="X180" s="2332" t="s">
        <v>61</v>
      </c>
      <c r="Y180" s="3169"/>
      <c r="Z180" s="3169"/>
      <c r="AA180" s="3169"/>
      <c r="AB180" s="3169"/>
      <c r="AC180" s="3169"/>
      <c r="AD180" s="3169"/>
      <c r="AE180" s="3169"/>
      <c r="AF180" s="3169"/>
      <c r="AG180" s="3169"/>
      <c r="AH180" s="3169"/>
      <c r="AI180" s="3169"/>
      <c r="AJ180" s="3169"/>
      <c r="AK180" s="3169"/>
      <c r="AL180" s="3169"/>
      <c r="AM180" s="3169"/>
      <c r="AN180" s="3169"/>
      <c r="AO180" s="924">
        <v>43480</v>
      </c>
      <c r="AP180" s="924">
        <v>43646</v>
      </c>
      <c r="AQ180" s="3201"/>
      <c r="AR180" s="1867"/>
      <c r="AS180" s="1867"/>
      <c r="AT180" s="1867"/>
      <c r="AU180" s="1867"/>
      <c r="AV180" s="1867"/>
      <c r="AW180" s="1867"/>
      <c r="AX180" s="1867"/>
      <c r="AY180" s="1867"/>
      <c r="AZ180" s="1867"/>
      <c r="BA180" s="1867"/>
      <c r="BB180" s="1867"/>
      <c r="BC180" s="1867"/>
      <c r="BD180" s="1867"/>
      <c r="BE180" s="1867"/>
      <c r="BF180" s="1867"/>
      <c r="BG180" s="1867"/>
      <c r="BH180" s="1867"/>
      <c r="BI180" s="1867"/>
      <c r="BJ180" s="1867"/>
      <c r="BK180" s="1867"/>
      <c r="BL180" s="1867"/>
      <c r="BM180" s="1867"/>
      <c r="BN180" s="1867"/>
      <c r="BO180" s="1867"/>
      <c r="BP180" s="1867"/>
      <c r="BQ180" s="1867"/>
    </row>
    <row r="181" spans="1:69" s="362" customFormat="1" ht="27.75" customHeight="1" x14ac:dyDescent="0.2">
      <c r="A181" s="3341"/>
      <c r="B181" s="3345"/>
      <c r="C181" s="3346"/>
      <c r="D181" s="3207"/>
      <c r="E181" s="3210"/>
      <c r="F181" s="3213"/>
      <c r="G181" s="369"/>
      <c r="H181" s="916"/>
      <c r="I181" s="917"/>
      <c r="J181" s="3182"/>
      <c r="K181" s="3183"/>
      <c r="L181" s="3215"/>
      <c r="M181" s="3182"/>
      <c r="N181" s="3184"/>
      <c r="O181" s="3160"/>
      <c r="P181" s="3176"/>
      <c r="Q181" s="3164"/>
      <c r="R181" s="3199"/>
      <c r="S181" s="3179"/>
      <c r="T181" s="3179"/>
      <c r="U181" s="3203"/>
      <c r="V181" s="2277">
        <f>0+43690500-366848</f>
        <v>43323652</v>
      </c>
      <c r="W181" s="1395">
        <v>88</v>
      </c>
      <c r="X181" s="2345" t="s">
        <v>942</v>
      </c>
      <c r="Y181" s="3169"/>
      <c r="Z181" s="3169"/>
      <c r="AA181" s="3169"/>
      <c r="AB181" s="3169"/>
      <c r="AC181" s="3169"/>
      <c r="AD181" s="3169"/>
      <c r="AE181" s="3169"/>
      <c r="AF181" s="3169"/>
      <c r="AG181" s="3169"/>
      <c r="AH181" s="3169"/>
      <c r="AI181" s="3169"/>
      <c r="AJ181" s="3169"/>
      <c r="AK181" s="3169"/>
      <c r="AL181" s="3169"/>
      <c r="AM181" s="3169"/>
      <c r="AN181" s="3169"/>
      <c r="AO181" s="924"/>
      <c r="AP181" s="924"/>
      <c r="AQ181" s="3201"/>
      <c r="AR181" s="1867"/>
      <c r="AS181" s="1867"/>
      <c r="AT181" s="1867"/>
      <c r="AU181" s="1867"/>
      <c r="AV181" s="1867"/>
      <c r="AW181" s="1867"/>
      <c r="AX181" s="1867"/>
      <c r="AY181" s="1867"/>
      <c r="AZ181" s="1867"/>
      <c r="BA181" s="1867"/>
      <c r="BB181" s="1867"/>
      <c r="BC181" s="1867"/>
      <c r="BD181" s="1867"/>
      <c r="BE181" s="1867"/>
      <c r="BF181" s="1867"/>
      <c r="BG181" s="1867"/>
      <c r="BH181" s="1867"/>
      <c r="BI181" s="1867"/>
      <c r="BJ181" s="1867"/>
      <c r="BK181" s="1867"/>
      <c r="BL181" s="1867"/>
      <c r="BM181" s="1867"/>
      <c r="BN181" s="1867"/>
      <c r="BO181" s="1867"/>
      <c r="BP181" s="1867"/>
      <c r="BQ181" s="1867"/>
    </row>
    <row r="182" spans="1:69" s="362" customFormat="1" ht="27.75" customHeight="1" x14ac:dyDescent="0.2">
      <c r="A182" s="3341"/>
      <c r="B182" s="3345"/>
      <c r="C182" s="3346"/>
      <c r="D182" s="3207"/>
      <c r="E182" s="3210"/>
      <c r="F182" s="3213"/>
      <c r="G182" s="369"/>
      <c r="H182" s="916"/>
      <c r="I182" s="917"/>
      <c r="J182" s="3182"/>
      <c r="K182" s="3183"/>
      <c r="L182" s="3215"/>
      <c r="M182" s="3182"/>
      <c r="N182" s="3184"/>
      <c r="O182" s="3160"/>
      <c r="P182" s="3176"/>
      <c r="Q182" s="3164"/>
      <c r="R182" s="3199"/>
      <c r="S182" s="3179"/>
      <c r="T182" s="3179"/>
      <c r="U182" s="3202" t="s">
        <v>1390</v>
      </c>
      <c r="V182" s="2302">
        <f>20000000+4383152</f>
        <v>24383152</v>
      </c>
      <c r="W182" s="1404">
        <v>20</v>
      </c>
      <c r="X182" s="2345" t="s">
        <v>61</v>
      </c>
      <c r="Y182" s="3169"/>
      <c r="Z182" s="3169"/>
      <c r="AA182" s="3169"/>
      <c r="AB182" s="3169"/>
      <c r="AC182" s="3169"/>
      <c r="AD182" s="3169"/>
      <c r="AE182" s="3169"/>
      <c r="AF182" s="3169"/>
      <c r="AG182" s="3169"/>
      <c r="AH182" s="3169"/>
      <c r="AI182" s="3169"/>
      <c r="AJ182" s="3169"/>
      <c r="AK182" s="3169"/>
      <c r="AL182" s="3169"/>
      <c r="AM182" s="3169"/>
      <c r="AN182" s="3169"/>
      <c r="AO182" s="924"/>
      <c r="AP182" s="924"/>
      <c r="AQ182" s="3201"/>
      <c r="AR182" s="1867"/>
      <c r="AS182" s="1867"/>
      <c r="AT182" s="1867"/>
      <c r="AU182" s="1867"/>
      <c r="AV182" s="1867"/>
      <c r="AW182" s="1867"/>
      <c r="AX182" s="1867"/>
      <c r="AY182" s="1867"/>
      <c r="AZ182" s="1867"/>
      <c r="BA182" s="1867"/>
      <c r="BB182" s="1867"/>
      <c r="BC182" s="1867"/>
      <c r="BD182" s="1867"/>
      <c r="BE182" s="1867"/>
      <c r="BF182" s="1867"/>
      <c r="BG182" s="1867"/>
      <c r="BH182" s="1867"/>
      <c r="BI182" s="1867"/>
      <c r="BJ182" s="1867"/>
      <c r="BK182" s="1867"/>
      <c r="BL182" s="1867"/>
      <c r="BM182" s="1867"/>
      <c r="BN182" s="1867"/>
      <c r="BO182" s="1867"/>
      <c r="BP182" s="1867"/>
      <c r="BQ182" s="1867"/>
    </row>
    <row r="183" spans="1:69" s="362" customFormat="1" ht="36" customHeight="1" x14ac:dyDescent="0.2">
      <c r="A183" s="3341"/>
      <c r="B183" s="3345"/>
      <c r="C183" s="3346"/>
      <c r="D183" s="3207"/>
      <c r="E183" s="3210"/>
      <c r="F183" s="3213"/>
      <c r="G183" s="369"/>
      <c r="H183" s="916"/>
      <c r="I183" s="917"/>
      <c r="J183" s="3182"/>
      <c r="K183" s="3183"/>
      <c r="L183" s="3215"/>
      <c r="M183" s="3182"/>
      <c r="N183" s="3184"/>
      <c r="O183" s="3160"/>
      <c r="P183" s="3176"/>
      <c r="Q183" s="3164"/>
      <c r="R183" s="3199"/>
      <c r="S183" s="3179"/>
      <c r="T183" s="3179"/>
      <c r="U183" s="3204"/>
      <c r="V183" s="2303">
        <f>20000000-4383152</f>
        <v>15616848</v>
      </c>
      <c r="W183" s="1395">
        <v>88</v>
      </c>
      <c r="X183" s="2345" t="s">
        <v>942</v>
      </c>
      <c r="Y183" s="3205"/>
      <c r="Z183" s="3169"/>
      <c r="AA183" s="3169"/>
      <c r="AB183" s="3169"/>
      <c r="AC183" s="3169"/>
      <c r="AD183" s="3169"/>
      <c r="AE183" s="3169"/>
      <c r="AF183" s="3169"/>
      <c r="AG183" s="3169"/>
      <c r="AH183" s="3169"/>
      <c r="AI183" s="3169"/>
      <c r="AJ183" s="3169"/>
      <c r="AK183" s="3169"/>
      <c r="AL183" s="3169"/>
      <c r="AM183" s="3169"/>
      <c r="AN183" s="3169"/>
      <c r="AO183" s="934">
        <v>43534</v>
      </c>
      <c r="AP183" s="934">
        <v>43692</v>
      </c>
      <c r="AQ183" s="3201"/>
      <c r="AR183" s="1867"/>
      <c r="AS183" s="1867"/>
      <c r="AT183" s="1867"/>
      <c r="AU183" s="1867"/>
      <c r="AV183" s="1867"/>
      <c r="AW183" s="1867"/>
      <c r="AX183" s="1867"/>
      <c r="AY183" s="1867"/>
      <c r="AZ183" s="1867"/>
      <c r="BA183" s="1867"/>
      <c r="BB183" s="1867"/>
      <c r="BC183" s="1867"/>
      <c r="BD183" s="1867"/>
      <c r="BE183" s="1867"/>
      <c r="BF183" s="1867"/>
      <c r="BG183" s="1867"/>
      <c r="BH183" s="1867"/>
      <c r="BI183" s="1867"/>
      <c r="BJ183" s="1867"/>
      <c r="BK183" s="1867"/>
      <c r="BL183" s="1867"/>
      <c r="BM183" s="1867"/>
      <c r="BN183" s="1867"/>
      <c r="BO183" s="1867"/>
      <c r="BP183" s="1867"/>
      <c r="BQ183" s="1867"/>
    </row>
    <row r="184" spans="1:69" s="362" customFormat="1" ht="58.5" customHeight="1" x14ac:dyDescent="0.2">
      <c r="A184" s="3341"/>
      <c r="B184" s="3345"/>
      <c r="C184" s="3346"/>
      <c r="D184" s="3207"/>
      <c r="E184" s="3210"/>
      <c r="F184" s="3213"/>
      <c r="G184" s="369"/>
      <c r="H184" s="916"/>
      <c r="I184" s="917"/>
      <c r="J184" s="3182">
        <v>251</v>
      </c>
      <c r="K184" s="3183" t="s">
        <v>1391</v>
      </c>
      <c r="L184" s="3183" t="s">
        <v>1392</v>
      </c>
      <c r="M184" s="3182">
        <v>1</v>
      </c>
      <c r="N184" s="3184"/>
      <c r="O184" s="3160"/>
      <c r="P184" s="3176"/>
      <c r="Q184" s="3164"/>
      <c r="R184" s="3199"/>
      <c r="S184" s="3179"/>
      <c r="T184" s="3179"/>
      <c r="U184" s="2043" t="s">
        <v>1393</v>
      </c>
      <c r="V184" s="2304">
        <v>18000000</v>
      </c>
      <c r="W184" s="1402">
        <v>20</v>
      </c>
      <c r="X184" s="2346" t="s">
        <v>61</v>
      </c>
      <c r="Y184" s="3169"/>
      <c r="Z184" s="3169"/>
      <c r="AA184" s="3169"/>
      <c r="AB184" s="3169"/>
      <c r="AC184" s="3169"/>
      <c r="AD184" s="3169"/>
      <c r="AE184" s="3169"/>
      <c r="AF184" s="3169"/>
      <c r="AG184" s="3169"/>
      <c r="AH184" s="3169"/>
      <c r="AI184" s="3169"/>
      <c r="AJ184" s="3169"/>
      <c r="AK184" s="3169"/>
      <c r="AL184" s="3169"/>
      <c r="AM184" s="3169"/>
      <c r="AN184" s="3169"/>
      <c r="AO184" s="924">
        <v>43480</v>
      </c>
      <c r="AP184" s="924">
        <v>43646</v>
      </c>
      <c r="AQ184" s="3201"/>
      <c r="AR184" s="1867"/>
      <c r="AS184" s="1867"/>
      <c r="AT184" s="1867"/>
      <c r="AU184" s="1867"/>
      <c r="AV184" s="1867"/>
      <c r="AW184" s="1867"/>
      <c r="AX184" s="1867"/>
      <c r="AY184" s="1867"/>
      <c r="AZ184" s="1867"/>
      <c r="BA184" s="1867"/>
      <c r="BB184" s="1867"/>
      <c r="BC184" s="1867"/>
      <c r="BD184" s="1867"/>
      <c r="BE184" s="1867"/>
      <c r="BF184" s="1867"/>
      <c r="BG184" s="1867"/>
      <c r="BH184" s="1867"/>
      <c r="BI184" s="1867"/>
      <c r="BJ184" s="1867"/>
      <c r="BK184" s="1867"/>
      <c r="BL184" s="1867"/>
      <c r="BM184" s="1867"/>
      <c r="BN184" s="1867"/>
      <c r="BO184" s="1867"/>
      <c r="BP184" s="1867"/>
      <c r="BQ184" s="1867"/>
    </row>
    <row r="185" spans="1:69" s="362" customFormat="1" ht="46.5" customHeight="1" x14ac:dyDescent="0.2">
      <c r="A185" s="3341"/>
      <c r="B185" s="3345"/>
      <c r="C185" s="3346"/>
      <c r="D185" s="3207"/>
      <c r="E185" s="3210"/>
      <c r="F185" s="3213"/>
      <c r="G185" s="369"/>
      <c r="H185" s="916"/>
      <c r="I185" s="917"/>
      <c r="J185" s="3182"/>
      <c r="K185" s="3183"/>
      <c r="L185" s="3183"/>
      <c r="M185" s="3182"/>
      <c r="N185" s="3184"/>
      <c r="O185" s="3160"/>
      <c r="P185" s="3176"/>
      <c r="Q185" s="3164"/>
      <c r="R185" s="3199"/>
      <c r="S185" s="3179"/>
      <c r="T185" s="3179"/>
      <c r="U185" s="1435" t="s">
        <v>1394</v>
      </c>
      <c r="V185" s="2277">
        <v>5000000</v>
      </c>
      <c r="W185" s="1395">
        <v>20</v>
      </c>
      <c r="X185" s="2332" t="s">
        <v>61</v>
      </c>
      <c r="Y185" s="3169"/>
      <c r="Z185" s="3169"/>
      <c r="AA185" s="3169"/>
      <c r="AB185" s="3169"/>
      <c r="AC185" s="3169"/>
      <c r="AD185" s="3169"/>
      <c r="AE185" s="3169"/>
      <c r="AF185" s="3169"/>
      <c r="AG185" s="3169"/>
      <c r="AH185" s="3169"/>
      <c r="AI185" s="3169"/>
      <c r="AJ185" s="3169"/>
      <c r="AK185" s="3169"/>
      <c r="AL185" s="3169"/>
      <c r="AM185" s="3169"/>
      <c r="AN185" s="3169"/>
      <c r="AO185" s="915">
        <v>43539</v>
      </c>
      <c r="AP185" s="918" t="s">
        <v>1395</v>
      </c>
      <c r="AQ185" s="3201"/>
      <c r="AR185" s="1867"/>
      <c r="AS185" s="1867"/>
      <c r="AT185" s="1867"/>
      <c r="AU185" s="1867"/>
      <c r="AV185" s="1867"/>
      <c r="AW185" s="1867"/>
      <c r="AX185" s="1867"/>
      <c r="AY185" s="1867"/>
      <c r="AZ185" s="1867"/>
      <c r="BA185" s="1867"/>
      <c r="BB185" s="1867"/>
      <c r="BC185" s="1867"/>
      <c r="BD185" s="1867"/>
      <c r="BE185" s="1867"/>
      <c r="BF185" s="1867"/>
      <c r="BG185" s="1867"/>
      <c r="BH185" s="1867"/>
      <c r="BI185" s="1867"/>
      <c r="BJ185" s="1867"/>
      <c r="BK185" s="1867"/>
      <c r="BL185" s="1867"/>
      <c r="BM185" s="1867"/>
      <c r="BN185" s="1867"/>
      <c r="BO185" s="1867"/>
      <c r="BP185" s="1867"/>
      <c r="BQ185" s="1867"/>
    </row>
    <row r="186" spans="1:69" s="362" customFormat="1" ht="61.5" customHeight="1" x14ac:dyDescent="0.2">
      <c r="A186" s="3341"/>
      <c r="B186" s="3345"/>
      <c r="C186" s="3346"/>
      <c r="D186" s="3207"/>
      <c r="E186" s="3210"/>
      <c r="F186" s="3213"/>
      <c r="G186" s="369"/>
      <c r="H186" s="916"/>
      <c r="I186" s="917"/>
      <c r="J186" s="3182"/>
      <c r="K186" s="3183"/>
      <c r="L186" s="3183"/>
      <c r="M186" s="3182"/>
      <c r="N186" s="3184"/>
      <c r="O186" s="3160"/>
      <c r="P186" s="3176"/>
      <c r="Q186" s="3164"/>
      <c r="R186" s="3199"/>
      <c r="S186" s="3179"/>
      <c r="T186" s="3179"/>
      <c r="U186" s="1435" t="s">
        <v>1396</v>
      </c>
      <c r="V186" s="2277">
        <v>14690000</v>
      </c>
      <c r="W186" s="1395">
        <v>20</v>
      </c>
      <c r="X186" s="2332" t="s">
        <v>61</v>
      </c>
      <c r="Y186" s="3169"/>
      <c r="Z186" s="3169"/>
      <c r="AA186" s="3169"/>
      <c r="AB186" s="3169"/>
      <c r="AC186" s="3169"/>
      <c r="AD186" s="3169"/>
      <c r="AE186" s="3169"/>
      <c r="AF186" s="3169"/>
      <c r="AG186" s="3169"/>
      <c r="AH186" s="3169"/>
      <c r="AI186" s="3169"/>
      <c r="AJ186" s="3169"/>
      <c r="AK186" s="3169"/>
      <c r="AL186" s="3169"/>
      <c r="AM186" s="3169"/>
      <c r="AN186" s="3169"/>
      <c r="AO186" s="924">
        <v>43490</v>
      </c>
      <c r="AP186" s="924">
        <v>43646</v>
      </c>
      <c r="AQ186" s="3201"/>
      <c r="AR186" s="1867"/>
      <c r="AS186" s="1867"/>
      <c r="AT186" s="1867"/>
      <c r="AU186" s="1867"/>
      <c r="AV186" s="1867"/>
      <c r="AW186" s="1867"/>
      <c r="AX186" s="1867"/>
      <c r="AY186" s="1867"/>
      <c r="AZ186" s="1867"/>
      <c r="BA186" s="1867"/>
      <c r="BB186" s="1867"/>
      <c r="BC186" s="1867"/>
      <c r="BD186" s="1867"/>
      <c r="BE186" s="1867"/>
      <c r="BF186" s="1867"/>
      <c r="BG186" s="1867"/>
      <c r="BH186" s="1867"/>
      <c r="BI186" s="1867"/>
      <c r="BJ186" s="1867"/>
      <c r="BK186" s="1867"/>
      <c r="BL186" s="1867"/>
      <c r="BM186" s="1867"/>
      <c r="BN186" s="1867"/>
      <c r="BO186" s="1867"/>
      <c r="BP186" s="1867"/>
      <c r="BQ186" s="1867"/>
    </row>
    <row r="187" spans="1:69" s="362" customFormat="1" ht="33" customHeight="1" x14ac:dyDescent="0.2">
      <c r="A187" s="3341"/>
      <c r="B187" s="3345"/>
      <c r="C187" s="3346"/>
      <c r="D187" s="3207"/>
      <c r="E187" s="3210"/>
      <c r="F187" s="3213"/>
      <c r="G187" s="369"/>
      <c r="H187" s="916"/>
      <c r="I187" s="917"/>
      <c r="J187" s="3182"/>
      <c r="K187" s="3183"/>
      <c r="L187" s="3183"/>
      <c r="M187" s="3182"/>
      <c r="N187" s="3184"/>
      <c r="O187" s="3160"/>
      <c r="P187" s="3176"/>
      <c r="Q187" s="3164"/>
      <c r="R187" s="3199"/>
      <c r="S187" s="3179"/>
      <c r="T187" s="3179"/>
      <c r="U187" s="1435" t="s">
        <v>1397</v>
      </c>
      <c r="V187" s="2277">
        <v>5000000</v>
      </c>
      <c r="W187" s="1395">
        <v>20</v>
      </c>
      <c r="X187" s="2332" t="s">
        <v>61</v>
      </c>
      <c r="Y187" s="3169"/>
      <c r="Z187" s="3169"/>
      <c r="AA187" s="3169"/>
      <c r="AB187" s="3169"/>
      <c r="AC187" s="3169"/>
      <c r="AD187" s="3169"/>
      <c r="AE187" s="3169"/>
      <c r="AF187" s="3169"/>
      <c r="AG187" s="3169"/>
      <c r="AH187" s="3169"/>
      <c r="AI187" s="3169"/>
      <c r="AJ187" s="3169"/>
      <c r="AK187" s="3169"/>
      <c r="AL187" s="3169"/>
      <c r="AM187" s="3169"/>
      <c r="AN187" s="3169"/>
      <c r="AO187" s="915">
        <v>43539</v>
      </c>
      <c r="AP187" s="915">
        <v>43758</v>
      </c>
      <c r="AQ187" s="3201"/>
      <c r="AR187" s="1867"/>
      <c r="AS187" s="1867"/>
      <c r="AT187" s="1867"/>
      <c r="AU187" s="1867"/>
      <c r="AV187" s="1867"/>
      <c r="AW187" s="1867"/>
      <c r="AX187" s="1867"/>
      <c r="AY187" s="1867"/>
      <c r="AZ187" s="1867"/>
      <c r="BA187" s="1867"/>
      <c r="BB187" s="1867"/>
      <c r="BC187" s="1867"/>
      <c r="BD187" s="1867"/>
      <c r="BE187" s="1867"/>
      <c r="BF187" s="1867"/>
      <c r="BG187" s="1867"/>
      <c r="BH187" s="1867"/>
      <c r="BI187" s="1867"/>
      <c r="BJ187" s="1867"/>
      <c r="BK187" s="1867"/>
      <c r="BL187" s="1867"/>
      <c r="BM187" s="1867"/>
      <c r="BN187" s="1867"/>
      <c r="BO187" s="1867"/>
      <c r="BP187" s="1867"/>
      <c r="BQ187" s="1867"/>
    </row>
    <row r="188" spans="1:69" s="362" customFormat="1" ht="21.75" customHeight="1" x14ac:dyDescent="0.2">
      <c r="A188" s="3341"/>
      <c r="B188" s="3345"/>
      <c r="C188" s="3346"/>
      <c r="D188" s="3207"/>
      <c r="E188" s="3210"/>
      <c r="F188" s="3213"/>
      <c r="G188" s="369"/>
      <c r="H188" s="916"/>
      <c r="I188" s="917"/>
      <c r="J188" s="3182"/>
      <c r="K188" s="3183"/>
      <c r="L188" s="3183"/>
      <c r="M188" s="3182"/>
      <c r="N188" s="3184"/>
      <c r="O188" s="3160"/>
      <c r="P188" s="3176"/>
      <c r="Q188" s="3164"/>
      <c r="R188" s="3199"/>
      <c r="S188" s="3179"/>
      <c r="T188" s="3179"/>
      <c r="U188" s="1435" t="s">
        <v>1398</v>
      </c>
      <c r="V188" s="2277">
        <v>7000000</v>
      </c>
      <c r="W188" s="1395">
        <v>20</v>
      </c>
      <c r="X188" s="2332" t="s">
        <v>61</v>
      </c>
      <c r="Y188" s="3169"/>
      <c r="Z188" s="3169"/>
      <c r="AA188" s="3169"/>
      <c r="AB188" s="3169"/>
      <c r="AC188" s="3169"/>
      <c r="AD188" s="3169"/>
      <c r="AE188" s="3169"/>
      <c r="AF188" s="3169"/>
      <c r="AG188" s="3169"/>
      <c r="AH188" s="3169"/>
      <c r="AI188" s="3169"/>
      <c r="AJ188" s="3169"/>
      <c r="AK188" s="3169"/>
      <c r="AL188" s="3169"/>
      <c r="AM188" s="3169"/>
      <c r="AN188" s="3169"/>
      <c r="AO188" s="915">
        <v>43539</v>
      </c>
      <c r="AP188" s="915">
        <v>43758</v>
      </c>
      <c r="AQ188" s="3201"/>
      <c r="AR188" s="1867"/>
      <c r="AS188" s="1867"/>
      <c r="AT188" s="1867"/>
      <c r="AU188" s="1867"/>
      <c r="AV188" s="1867"/>
      <c r="AW188" s="1867"/>
      <c r="AX188" s="1867"/>
      <c r="AY188" s="1867"/>
      <c r="AZ188" s="1867"/>
      <c r="BA188" s="1867"/>
      <c r="BB188" s="1867"/>
      <c r="BC188" s="1867"/>
      <c r="BD188" s="1867"/>
      <c r="BE188" s="1867"/>
      <c r="BF188" s="1867"/>
      <c r="BG188" s="1867"/>
      <c r="BH188" s="1867"/>
      <c r="BI188" s="1867"/>
      <c r="BJ188" s="1867"/>
      <c r="BK188" s="1867"/>
      <c r="BL188" s="1867"/>
      <c r="BM188" s="1867"/>
      <c r="BN188" s="1867"/>
      <c r="BO188" s="1867"/>
      <c r="BP188" s="1867"/>
      <c r="BQ188" s="1867"/>
    </row>
    <row r="189" spans="1:69" s="362" customFormat="1" ht="73.5" customHeight="1" x14ac:dyDescent="0.2">
      <c r="A189" s="3341"/>
      <c r="B189" s="3345"/>
      <c r="C189" s="3346"/>
      <c r="D189" s="3207"/>
      <c r="E189" s="3210"/>
      <c r="F189" s="3213"/>
      <c r="G189" s="369"/>
      <c r="H189" s="916"/>
      <c r="I189" s="917"/>
      <c r="J189" s="1990">
        <v>252</v>
      </c>
      <c r="K189" s="1991" t="s">
        <v>1399</v>
      </c>
      <c r="L189" s="1991" t="s">
        <v>1400</v>
      </c>
      <c r="M189" s="1990">
        <v>1</v>
      </c>
      <c r="N189" s="3184"/>
      <c r="O189" s="3160"/>
      <c r="P189" s="3176"/>
      <c r="Q189" s="3164"/>
      <c r="R189" s="3199"/>
      <c r="S189" s="3179"/>
      <c r="T189" s="3179"/>
      <c r="U189" s="1434" t="s">
        <v>1401</v>
      </c>
      <c r="V189" s="2277">
        <f>24850000-13595963</f>
        <v>11254037</v>
      </c>
      <c r="W189" s="1395">
        <v>20</v>
      </c>
      <c r="X189" s="2332" t="s">
        <v>61</v>
      </c>
      <c r="Y189" s="3169"/>
      <c r="Z189" s="3169"/>
      <c r="AA189" s="3169"/>
      <c r="AB189" s="3169"/>
      <c r="AC189" s="3169"/>
      <c r="AD189" s="3169"/>
      <c r="AE189" s="3169"/>
      <c r="AF189" s="3169"/>
      <c r="AG189" s="3169"/>
      <c r="AH189" s="3169"/>
      <c r="AI189" s="3169"/>
      <c r="AJ189" s="3169"/>
      <c r="AK189" s="3169"/>
      <c r="AL189" s="3169"/>
      <c r="AM189" s="3169"/>
      <c r="AN189" s="3169"/>
      <c r="AO189" s="915">
        <v>43497</v>
      </c>
      <c r="AP189" s="915">
        <v>43779</v>
      </c>
      <c r="AQ189" s="3201"/>
      <c r="AR189" s="1867"/>
      <c r="AS189" s="1867"/>
      <c r="AT189" s="1867"/>
      <c r="AU189" s="1867"/>
      <c r="AV189" s="1867"/>
      <c r="AW189" s="1867"/>
      <c r="AX189" s="1867"/>
      <c r="AY189" s="1867"/>
      <c r="AZ189" s="1867"/>
      <c r="BA189" s="1867"/>
      <c r="BB189" s="1867"/>
      <c r="BC189" s="1867"/>
      <c r="BD189" s="1867"/>
      <c r="BE189" s="1867"/>
      <c r="BF189" s="1867"/>
      <c r="BG189" s="1867"/>
      <c r="BH189" s="1867"/>
      <c r="BI189" s="1867"/>
      <c r="BJ189" s="1867"/>
      <c r="BK189" s="1867"/>
      <c r="BL189" s="1867"/>
      <c r="BM189" s="1867"/>
      <c r="BN189" s="1867"/>
      <c r="BO189" s="1867"/>
      <c r="BP189" s="1867"/>
      <c r="BQ189" s="1867"/>
    </row>
    <row r="190" spans="1:69" s="362" customFormat="1" ht="48" customHeight="1" x14ac:dyDescent="0.2">
      <c r="A190" s="3341"/>
      <c r="B190" s="3345"/>
      <c r="C190" s="3346"/>
      <c r="D190" s="3207"/>
      <c r="E190" s="3210"/>
      <c r="F190" s="3213"/>
      <c r="G190" s="369"/>
      <c r="H190" s="916"/>
      <c r="I190" s="917"/>
      <c r="J190" s="3194">
        <v>253</v>
      </c>
      <c r="K190" s="3216" t="s">
        <v>1402</v>
      </c>
      <c r="L190" s="3217" t="s">
        <v>1403</v>
      </c>
      <c r="M190" s="3189">
        <f>0.5+0.125</f>
        <v>0.625</v>
      </c>
      <c r="N190" s="3184"/>
      <c r="O190" s="3160"/>
      <c r="P190" s="3176"/>
      <c r="Q190" s="3164"/>
      <c r="R190" s="3199"/>
      <c r="S190" s="3179"/>
      <c r="T190" s="3195"/>
      <c r="U190" s="3192" t="s">
        <v>1404</v>
      </c>
      <c r="V190" s="2277">
        <f>85000000-4750000</f>
        <v>80250000</v>
      </c>
      <c r="W190" s="1395">
        <v>20</v>
      </c>
      <c r="X190" s="2332" t="s">
        <v>61</v>
      </c>
      <c r="Y190" s="3169"/>
      <c r="Z190" s="3169"/>
      <c r="AA190" s="3169"/>
      <c r="AB190" s="3169"/>
      <c r="AC190" s="3169"/>
      <c r="AD190" s="3169"/>
      <c r="AE190" s="3169"/>
      <c r="AF190" s="3169"/>
      <c r="AG190" s="3169"/>
      <c r="AH190" s="3169"/>
      <c r="AI190" s="3169"/>
      <c r="AJ190" s="3169"/>
      <c r="AK190" s="3169"/>
      <c r="AL190" s="3169"/>
      <c r="AM190" s="3169"/>
      <c r="AN190" s="3169"/>
      <c r="AO190" s="915">
        <v>43490</v>
      </c>
      <c r="AP190" s="915">
        <v>43784</v>
      </c>
      <c r="AQ190" s="3201"/>
      <c r="AR190" s="1867"/>
      <c r="AS190" s="1867"/>
      <c r="AT190" s="1867"/>
      <c r="AU190" s="1867"/>
      <c r="AV190" s="1867"/>
      <c r="AW190" s="1867"/>
      <c r="AX190" s="1867"/>
      <c r="AY190" s="1867"/>
      <c r="AZ190" s="1867"/>
      <c r="BA190" s="1867"/>
      <c r="BB190" s="1867"/>
      <c r="BC190" s="1867"/>
      <c r="BD190" s="1867"/>
      <c r="BE190" s="1867"/>
      <c r="BF190" s="1867"/>
      <c r="BG190" s="1867"/>
      <c r="BH190" s="1867"/>
      <c r="BI190" s="1867"/>
      <c r="BJ190" s="1867"/>
      <c r="BK190" s="1867"/>
      <c r="BL190" s="1867"/>
      <c r="BM190" s="1867"/>
      <c r="BN190" s="1867"/>
      <c r="BO190" s="1867"/>
      <c r="BP190" s="1867"/>
      <c r="BQ190" s="1867"/>
    </row>
    <row r="191" spans="1:69" s="362" customFormat="1" ht="48" customHeight="1" x14ac:dyDescent="0.2">
      <c r="A191" s="3341"/>
      <c r="B191" s="3345"/>
      <c r="C191" s="3346"/>
      <c r="D191" s="3207"/>
      <c r="E191" s="3210"/>
      <c r="F191" s="3213"/>
      <c r="G191" s="369"/>
      <c r="H191" s="916"/>
      <c r="I191" s="917"/>
      <c r="J191" s="3172"/>
      <c r="K191" s="3162"/>
      <c r="L191" s="3218"/>
      <c r="M191" s="3190"/>
      <c r="N191" s="3184"/>
      <c r="O191" s="3160"/>
      <c r="P191" s="3176"/>
      <c r="Q191" s="3164"/>
      <c r="R191" s="3199"/>
      <c r="S191" s="3179"/>
      <c r="T191" s="3195"/>
      <c r="U191" s="3193"/>
      <c r="V191" s="2277">
        <f>0+140000000+4750000</f>
        <v>144750000</v>
      </c>
      <c r="W191" s="1395">
        <v>88</v>
      </c>
      <c r="X191" s="2332" t="s">
        <v>942</v>
      </c>
      <c r="Y191" s="3169"/>
      <c r="Z191" s="3169"/>
      <c r="AA191" s="3169"/>
      <c r="AB191" s="3169"/>
      <c r="AC191" s="3169"/>
      <c r="AD191" s="3169"/>
      <c r="AE191" s="3169"/>
      <c r="AF191" s="3169"/>
      <c r="AG191" s="3169"/>
      <c r="AH191" s="3169"/>
      <c r="AI191" s="3169"/>
      <c r="AJ191" s="3169"/>
      <c r="AK191" s="3169"/>
      <c r="AL191" s="3169"/>
      <c r="AM191" s="3169"/>
      <c r="AN191" s="3169"/>
      <c r="AO191" s="915"/>
      <c r="AP191" s="915"/>
      <c r="AQ191" s="3201"/>
      <c r="AR191" s="1867"/>
      <c r="AS191" s="1867"/>
      <c r="AT191" s="1867"/>
      <c r="AU191" s="1867"/>
      <c r="AV191" s="1867"/>
      <c r="AW191" s="1867"/>
      <c r="AX191" s="1867"/>
      <c r="AY191" s="1867"/>
      <c r="AZ191" s="1867"/>
      <c r="BA191" s="1867"/>
      <c r="BB191" s="1867"/>
      <c r="BC191" s="1867"/>
      <c r="BD191" s="1867"/>
      <c r="BE191" s="1867"/>
      <c r="BF191" s="1867"/>
      <c r="BG191" s="1867"/>
      <c r="BH191" s="1867"/>
      <c r="BI191" s="1867"/>
      <c r="BJ191" s="1867"/>
      <c r="BK191" s="1867"/>
      <c r="BL191" s="1867"/>
      <c r="BM191" s="1867"/>
      <c r="BN191" s="1867"/>
      <c r="BO191" s="1867"/>
      <c r="BP191" s="1867"/>
      <c r="BQ191" s="1867"/>
    </row>
    <row r="192" spans="1:69" s="362" customFormat="1" ht="37.5" customHeight="1" x14ac:dyDescent="0.2">
      <c r="A192" s="3341"/>
      <c r="B192" s="3345"/>
      <c r="C192" s="3346"/>
      <c r="D192" s="3207"/>
      <c r="E192" s="3210"/>
      <c r="F192" s="3213"/>
      <c r="G192" s="369"/>
      <c r="H192" s="916"/>
      <c r="I192" s="917"/>
      <c r="J192" s="3173"/>
      <c r="K192" s="3163"/>
      <c r="L192" s="3219"/>
      <c r="M192" s="3191"/>
      <c r="N192" s="3184"/>
      <c r="O192" s="3160"/>
      <c r="P192" s="3176"/>
      <c r="Q192" s="3164"/>
      <c r="R192" s="3199"/>
      <c r="S192" s="3179"/>
      <c r="T192" s="3195"/>
      <c r="U192" s="1441" t="s">
        <v>1405</v>
      </c>
      <c r="V192" s="2277">
        <v>15000000</v>
      </c>
      <c r="W192" s="1395">
        <v>20</v>
      </c>
      <c r="X192" s="2332" t="s">
        <v>61</v>
      </c>
      <c r="Y192" s="3169"/>
      <c r="Z192" s="3169"/>
      <c r="AA192" s="3169"/>
      <c r="AB192" s="3169"/>
      <c r="AC192" s="3169"/>
      <c r="AD192" s="3169"/>
      <c r="AE192" s="3169"/>
      <c r="AF192" s="3169"/>
      <c r="AG192" s="3169"/>
      <c r="AH192" s="3169"/>
      <c r="AI192" s="3169"/>
      <c r="AJ192" s="3169"/>
      <c r="AK192" s="3169"/>
      <c r="AL192" s="3169"/>
      <c r="AM192" s="3169"/>
      <c r="AN192" s="3169"/>
      <c r="AO192" s="915">
        <v>43542</v>
      </c>
      <c r="AP192" s="915">
        <v>43785</v>
      </c>
      <c r="AQ192" s="3201"/>
      <c r="AR192" s="1867"/>
      <c r="AS192" s="1867"/>
      <c r="AT192" s="1867"/>
      <c r="AU192" s="1867"/>
      <c r="AV192" s="1867"/>
      <c r="AW192" s="1867"/>
      <c r="AX192" s="1867"/>
      <c r="AY192" s="1867"/>
      <c r="AZ192" s="1867"/>
      <c r="BA192" s="1867"/>
      <c r="BB192" s="1867"/>
      <c r="BC192" s="1867"/>
      <c r="BD192" s="1867"/>
      <c r="BE192" s="1867"/>
      <c r="BF192" s="1867"/>
      <c r="BG192" s="1867"/>
      <c r="BH192" s="1867"/>
      <c r="BI192" s="1867"/>
      <c r="BJ192" s="1867"/>
      <c r="BK192" s="1867"/>
      <c r="BL192" s="1867"/>
      <c r="BM192" s="1867"/>
      <c r="BN192" s="1867"/>
      <c r="BO192" s="1867"/>
      <c r="BP192" s="1867"/>
      <c r="BQ192" s="1867"/>
    </row>
    <row r="193" spans="1:69" s="362" customFormat="1" ht="43.5" customHeight="1" x14ac:dyDescent="0.2">
      <c r="A193" s="3341"/>
      <c r="B193" s="3345"/>
      <c r="C193" s="3346"/>
      <c r="D193" s="3207"/>
      <c r="E193" s="3210"/>
      <c r="F193" s="3213"/>
      <c r="G193" s="369"/>
      <c r="H193" s="916"/>
      <c r="I193" s="917"/>
      <c r="J193" s="3194">
        <v>254</v>
      </c>
      <c r="K193" s="3183" t="s">
        <v>1406</v>
      </c>
      <c r="L193" s="3183" t="s">
        <v>1407</v>
      </c>
      <c r="M193" s="3182">
        <v>1</v>
      </c>
      <c r="N193" s="3184"/>
      <c r="O193" s="3160"/>
      <c r="P193" s="3176"/>
      <c r="Q193" s="3164"/>
      <c r="R193" s="3199"/>
      <c r="S193" s="3179"/>
      <c r="T193" s="3195"/>
      <c r="U193" s="2043" t="s">
        <v>1408</v>
      </c>
      <c r="V193" s="2277">
        <v>17101133</v>
      </c>
      <c r="W193" s="1395">
        <v>20</v>
      </c>
      <c r="X193" s="2332" t="s">
        <v>61</v>
      </c>
      <c r="Y193" s="3169"/>
      <c r="Z193" s="3169"/>
      <c r="AA193" s="3169"/>
      <c r="AB193" s="3169"/>
      <c r="AC193" s="3169"/>
      <c r="AD193" s="3169"/>
      <c r="AE193" s="3169"/>
      <c r="AF193" s="3169"/>
      <c r="AG193" s="3169"/>
      <c r="AH193" s="3169"/>
      <c r="AI193" s="3169"/>
      <c r="AJ193" s="3169"/>
      <c r="AK193" s="3169"/>
      <c r="AL193" s="3169"/>
      <c r="AM193" s="3169"/>
      <c r="AN193" s="3169"/>
      <c r="AO193" s="924">
        <v>43480</v>
      </c>
      <c r="AP193" s="924">
        <v>43646</v>
      </c>
      <c r="AQ193" s="3201"/>
      <c r="AR193" s="1867"/>
      <c r="AS193" s="1867"/>
      <c r="AT193" s="1867"/>
      <c r="AU193" s="1867"/>
      <c r="AV193" s="1867"/>
      <c r="AW193" s="1867"/>
      <c r="AX193" s="1867"/>
      <c r="AY193" s="1867"/>
      <c r="AZ193" s="1867"/>
      <c r="BA193" s="1867"/>
      <c r="BB193" s="1867"/>
      <c r="BC193" s="1867"/>
      <c r="BD193" s="1867"/>
      <c r="BE193" s="1867"/>
      <c r="BF193" s="1867"/>
      <c r="BG193" s="1867"/>
      <c r="BH193" s="1867"/>
      <c r="BI193" s="1867"/>
      <c r="BJ193" s="1867"/>
      <c r="BK193" s="1867"/>
      <c r="BL193" s="1867"/>
      <c r="BM193" s="1867"/>
      <c r="BN193" s="1867"/>
      <c r="BO193" s="1867"/>
      <c r="BP193" s="1867"/>
      <c r="BQ193" s="1867"/>
    </row>
    <row r="194" spans="1:69" s="362" customFormat="1" ht="36" customHeight="1" x14ac:dyDescent="0.2">
      <c r="A194" s="3341"/>
      <c r="B194" s="3345"/>
      <c r="C194" s="3346"/>
      <c r="D194" s="3207"/>
      <c r="E194" s="3210"/>
      <c r="F194" s="3213"/>
      <c r="G194" s="369"/>
      <c r="H194" s="916"/>
      <c r="I194" s="917"/>
      <c r="J194" s="3172"/>
      <c r="K194" s="3183"/>
      <c r="L194" s="3183"/>
      <c r="M194" s="3182"/>
      <c r="N194" s="3184"/>
      <c r="O194" s="3160"/>
      <c r="P194" s="3176"/>
      <c r="Q194" s="3164"/>
      <c r="R194" s="3199"/>
      <c r="S194" s="3179"/>
      <c r="T194" s="3195"/>
      <c r="U194" s="2043" t="s">
        <v>1409</v>
      </c>
      <c r="V194" s="2277">
        <v>5000000</v>
      </c>
      <c r="W194" s="1395">
        <v>20</v>
      </c>
      <c r="X194" s="2332" t="s">
        <v>61</v>
      </c>
      <c r="Y194" s="3169"/>
      <c r="Z194" s="3169"/>
      <c r="AA194" s="3169"/>
      <c r="AB194" s="3169"/>
      <c r="AC194" s="3169"/>
      <c r="AD194" s="3169"/>
      <c r="AE194" s="3169"/>
      <c r="AF194" s="3169"/>
      <c r="AG194" s="3169"/>
      <c r="AH194" s="3169"/>
      <c r="AI194" s="3169"/>
      <c r="AJ194" s="3169"/>
      <c r="AK194" s="3169"/>
      <c r="AL194" s="3169"/>
      <c r="AM194" s="3169"/>
      <c r="AN194" s="3169"/>
      <c r="AO194" s="915">
        <v>43539</v>
      </c>
      <c r="AP194" s="915">
        <v>43697</v>
      </c>
      <c r="AQ194" s="3201"/>
      <c r="AR194" s="1867"/>
      <c r="AS194" s="1867"/>
      <c r="AT194" s="1867"/>
      <c r="AU194" s="1867"/>
      <c r="AV194" s="1867"/>
      <c r="AW194" s="1867"/>
      <c r="AX194" s="1867"/>
      <c r="AY194" s="1867"/>
      <c r="AZ194" s="1867"/>
      <c r="BA194" s="1867"/>
      <c r="BB194" s="1867"/>
      <c r="BC194" s="1867"/>
      <c r="BD194" s="1867"/>
      <c r="BE194" s="1867"/>
      <c r="BF194" s="1867"/>
      <c r="BG194" s="1867"/>
      <c r="BH194" s="1867"/>
      <c r="BI194" s="1867"/>
      <c r="BJ194" s="1867"/>
      <c r="BK194" s="1867"/>
      <c r="BL194" s="1867"/>
      <c r="BM194" s="1867"/>
      <c r="BN194" s="1867"/>
      <c r="BO194" s="1867"/>
      <c r="BP194" s="1867"/>
      <c r="BQ194" s="1867"/>
    </row>
    <row r="195" spans="1:69" s="362" customFormat="1" ht="39.75" customHeight="1" x14ac:dyDescent="0.2">
      <c r="A195" s="3341"/>
      <c r="B195" s="3345"/>
      <c r="C195" s="3346"/>
      <c r="D195" s="3207"/>
      <c r="E195" s="3210"/>
      <c r="F195" s="3213"/>
      <c r="G195" s="369"/>
      <c r="H195" s="916"/>
      <c r="I195" s="917"/>
      <c r="J195" s="3172"/>
      <c r="K195" s="3183"/>
      <c r="L195" s="3183"/>
      <c r="M195" s="3182"/>
      <c r="N195" s="3184"/>
      <c r="O195" s="3160"/>
      <c r="P195" s="3176"/>
      <c r="Q195" s="3164"/>
      <c r="R195" s="3199"/>
      <c r="S195" s="3179"/>
      <c r="T195" s="3195"/>
      <c r="U195" s="1435" t="s">
        <v>1410</v>
      </c>
      <c r="V195" s="2277">
        <v>5000000</v>
      </c>
      <c r="W195" s="1395">
        <v>20</v>
      </c>
      <c r="X195" s="2332" t="s">
        <v>61</v>
      </c>
      <c r="Y195" s="3169"/>
      <c r="Z195" s="3169"/>
      <c r="AA195" s="3169"/>
      <c r="AB195" s="3169"/>
      <c r="AC195" s="3169"/>
      <c r="AD195" s="3169"/>
      <c r="AE195" s="3169"/>
      <c r="AF195" s="3169"/>
      <c r="AG195" s="3169"/>
      <c r="AH195" s="3169"/>
      <c r="AI195" s="3169"/>
      <c r="AJ195" s="3169"/>
      <c r="AK195" s="3169"/>
      <c r="AL195" s="3169"/>
      <c r="AM195" s="3169"/>
      <c r="AN195" s="3169"/>
      <c r="AO195" s="915">
        <v>43539</v>
      </c>
      <c r="AP195" s="915">
        <v>43689</v>
      </c>
      <c r="AQ195" s="3201"/>
      <c r="AR195" s="1867"/>
      <c r="AS195" s="1867"/>
      <c r="AT195" s="1867"/>
      <c r="AU195" s="1867"/>
      <c r="AV195" s="1867"/>
      <c r="AW195" s="1867"/>
      <c r="AX195" s="1867"/>
      <c r="AY195" s="1867"/>
      <c r="AZ195" s="1867"/>
      <c r="BA195" s="1867"/>
      <c r="BB195" s="1867"/>
      <c r="BC195" s="1867"/>
      <c r="BD195" s="1867"/>
      <c r="BE195" s="1867"/>
      <c r="BF195" s="1867"/>
      <c r="BG195" s="1867"/>
      <c r="BH195" s="1867"/>
      <c r="BI195" s="1867"/>
      <c r="BJ195" s="1867"/>
      <c r="BK195" s="1867"/>
      <c r="BL195" s="1867"/>
      <c r="BM195" s="1867"/>
      <c r="BN195" s="1867"/>
      <c r="BO195" s="1867"/>
      <c r="BP195" s="1867"/>
      <c r="BQ195" s="1867"/>
    </row>
    <row r="196" spans="1:69" s="362" customFormat="1" ht="27" customHeight="1" x14ac:dyDescent="0.2">
      <c r="A196" s="3341"/>
      <c r="B196" s="3345"/>
      <c r="C196" s="3346"/>
      <c r="D196" s="3208"/>
      <c r="E196" s="3211"/>
      <c r="F196" s="3214"/>
      <c r="G196" s="369"/>
      <c r="H196" s="919"/>
      <c r="I196" s="920"/>
      <c r="J196" s="3173"/>
      <c r="K196" s="3183"/>
      <c r="L196" s="3183"/>
      <c r="M196" s="3182"/>
      <c r="N196" s="3184"/>
      <c r="O196" s="3160"/>
      <c r="P196" s="3176"/>
      <c r="Q196" s="3165"/>
      <c r="R196" s="3200"/>
      <c r="S196" s="3179"/>
      <c r="T196" s="3195"/>
      <c r="U196" s="1435" t="s">
        <v>1386</v>
      </c>
      <c r="V196" s="2277">
        <v>2700000</v>
      </c>
      <c r="W196" s="1395">
        <v>20</v>
      </c>
      <c r="X196" s="2332" t="s">
        <v>61</v>
      </c>
      <c r="Y196" s="3169"/>
      <c r="Z196" s="3169"/>
      <c r="AA196" s="3169"/>
      <c r="AB196" s="3169"/>
      <c r="AC196" s="3169"/>
      <c r="AD196" s="3169"/>
      <c r="AE196" s="3169"/>
      <c r="AF196" s="3169"/>
      <c r="AG196" s="3169"/>
      <c r="AH196" s="3169"/>
      <c r="AI196" s="3169"/>
      <c r="AJ196" s="3169"/>
      <c r="AK196" s="3169"/>
      <c r="AL196" s="3169"/>
      <c r="AM196" s="3169"/>
      <c r="AN196" s="3169"/>
      <c r="AO196" s="915">
        <v>43539</v>
      </c>
      <c r="AP196" s="915">
        <v>43728</v>
      </c>
      <c r="AQ196" s="3201"/>
      <c r="AR196" s="1867"/>
      <c r="AS196" s="1867"/>
      <c r="AT196" s="1867"/>
      <c r="AU196" s="1867"/>
      <c r="AV196" s="1867"/>
      <c r="AW196" s="1867"/>
      <c r="AX196" s="1867"/>
      <c r="AY196" s="1867"/>
      <c r="AZ196" s="1867"/>
      <c r="BA196" s="1867"/>
      <c r="BB196" s="1867"/>
      <c r="BC196" s="1867"/>
      <c r="BD196" s="1867"/>
      <c r="BE196" s="1867"/>
      <c r="BF196" s="1867"/>
      <c r="BG196" s="1867"/>
      <c r="BH196" s="1867"/>
      <c r="BI196" s="1867"/>
      <c r="BJ196" s="1867"/>
      <c r="BK196" s="1867"/>
      <c r="BL196" s="1867"/>
      <c r="BM196" s="1867"/>
      <c r="BN196" s="1867"/>
      <c r="BO196" s="1867"/>
      <c r="BP196" s="1867"/>
      <c r="BQ196" s="1867"/>
    </row>
    <row r="197" spans="1:69" s="362" customFormat="1" ht="27" customHeight="1" x14ac:dyDescent="0.2">
      <c r="A197" s="3341"/>
      <c r="B197" s="3345"/>
      <c r="C197" s="3346"/>
      <c r="D197" s="1693">
        <v>27</v>
      </c>
      <c r="E197" s="1050" t="s">
        <v>1373</v>
      </c>
      <c r="F197" s="1050"/>
      <c r="G197" s="1050"/>
      <c r="H197" s="1050"/>
      <c r="I197" s="1050"/>
      <c r="J197" s="1050"/>
      <c r="K197" s="2347"/>
      <c r="L197" s="1050"/>
      <c r="M197" s="1050"/>
      <c r="N197" s="657"/>
      <c r="O197" s="1050"/>
      <c r="P197" s="1050"/>
      <c r="Q197" s="1878"/>
      <c r="R197" s="1050"/>
      <c r="S197" s="1050"/>
      <c r="T197" s="1050"/>
      <c r="U197" s="1050"/>
      <c r="V197" s="1050"/>
      <c r="W197" s="1050"/>
      <c r="X197" s="1050"/>
      <c r="Y197" s="1050"/>
      <c r="Z197" s="1050"/>
      <c r="AA197" s="1050"/>
      <c r="AB197" s="1050"/>
      <c r="AC197" s="1050"/>
      <c r="AD197" s="1050"/>
      <c r="AE197" s="1050"/>
      <c r="AF197" s="1050"/>
      <c r="AG197" s="1050"/>
      <c r="AH197" s="1050"/>
      <c r="AI197" s="1050"/>
      <c r="AJ197" s="1050"/>
      <c r="AK197" s="1050"/>
      <c r="AL197" s="1050"/>
      <c r="AM197" s="1050"/>
      <c r="AN197" s="1050"/>
      <c r="AO197" s="1050"/>
      <c r="AP197" s="1050"/>
      <c r="AQ197" s="1050"/>
      <c r="AR197" s="1867"/>
      <c r="AS197" s="1867"/>
      <c r="AT197" s="1867"/>
      <c r="AU197" s="1867"/>
      <c r="AV197" s="1867"/>
      <c r="AW197" s="1867"/>
      <c r="AX197" s="1867"/>
      <c r="AY197" s="1867"/>
      <c r="AZ197" s="1867"/>
      <c r="BA197" s="1867"/>
      <c r="BB197" s="1867"/>
      <c r="BC197" s="1867"/>
      <c r="BD197" s="1867"/>
      <c r="BE197" s="1867"/>
      <c r="BF197" s="1867"/>
      <c r="BG197" s="1867"/>
      <c r="BH197" s="1867"/>
      <c r="BI197" s="1867"/>
      <c r="BJ197" s="1867"/>
      <c r="BK197" s="1867"/>
      <c r="BL197" s="1867"/>
      <c r="BM197" s="1867"/>
      <c r="BN197" s="1867"/>
      <c r="BO197" s="1867"/>
      <c r="BP197" s="1867"/>
      <c r="BQ197" s="1867"/>
    </row>
    <row r="198" spans="1:69" s="369" customFormat="1" ht="26.25" customHeight="1" x14ac:dyDescent="0.2">
      <c r="A198" s="3341"/>
      <c r="B198" s="3345"/>
      <c r="C198" s="3346"/>
      <c r="D198" s="3180"/>
      <c r="E198" s="3181"/>
      <c r="F198" s="3181"/>
      <c r="G198" s="904">
        <v>86</v>
      </c>
      <c r="H198" s="717" t="s">
        <v>1411</v>
      </c>
      <c r="I198" s="717"/>
      <c r="J198" s="744"/>
      <c r="K198" s="921"/>
      <c r="L198" s="922"/>
      <c r="M198" s="779"/>
      <c r="N198" s="774"/>
      <c r="O198" s="775"/>
      <c r="P198" s="719"/>
      <c r="Q198" s="746"/>
      <c r="R198" s="923"/>
      <c r="S198" s="921"/>
      <c r="T198" s="921"/>
      <c r="U198" s="1565"/>
      <c r="V198" s="2305"/>
      <c r="W198" s="1564"/>
      <c r="X198" s="2329"/>
      <c r="Y198" s="722"/>
      <c r="Z198" s="722"/>
      <c r="AA198" s="722"/>
      <c r="AB198" s="722"/>
      <c r="AC198" s="722"/>
      <c r="AD198" s="722"/>
      <c r="AE198" s="722"/>
      <c r="AF198" s="722"/>
      <c r="AG198" s="722"/>
      <c r="AH198" s="722"/>
      <c r="AI198" s="722"/>
      <c r="AJ198" s="722"/>
      <c r="AK198" s="722"/>
      <c r="AL198" s="722"/>
      <c r="AM198" s="722"/>
      <c r="AN198" s="722"/>
      <c r="AO198" s="722"/>
      <c r="AP198" s="722"/>
      <c r="AQ198" s="928"/>
      <c r="AR198" s="1867"/>
      <c r="AS198" s="1867"/>
      <c r="AT198" s="1867"/>
      <c r="AU198" s="1867"/>
      <c r="AV198" s="1867"/>
      <c r="AW198" s="1867"/>
      <c r="AX198" s="1867"/>
      <c r="AY198" s="1867"/>
      <c r="AZ198" s="1867"/>
      <c r="BA198" s="1867"/>
      <c r="BB198" s="1867"/>
      <c r="BC198" s="1867"/>
      <c r="BD198" s="1867"/>
      <c r="BE198" s="1867"/>
      <c r="BF198" s="1867"/>
      <c r="BG198" s="1867"/>
      <c r="BH198" s="1867"/>
      <c r="BI198" s="1867"/>
      <c r="BJ198" s="1867"/>
      <c r="BK198" s="1867"/>
      <c r="BL198" s="1867"/>
      <c r="BM198" s="1867"/>
      <c r="BN198" s="1867"/>
      <c r="BO198" s="1867"/>
      <c r="BP198" s="1867"/>
      <c r="BQ198" s="1867"/>
    </row>
    <row r="199" spans="1:69" s="362" customFormat="1" ht="45.75" customHeight="1" x14ac:dyDescent="0.2">
      <c r="A199" s="3341"/>
      <c r="B199" s="3345"/>
      <c r="C199" s="3346"/>
      <c r="D199" s="3180"/>
      <c r="E199" s="3181"/>
      <c r="F199" s="3181"/>
      <c r="G199" s="369"/>
      <c r="H199" s="913"/>
      <c r="I199" s="914"/>
      <c r="J199" s="3182">
        <v>255</v>
      </c>
      <c r="K199" s="3183" t="s">
        <v>1412</v>
      </c>
      <c r="L199" s="3183" t="s">
        <v>1413</v>
      </c>
      <c r="M199" s="3182">
        <v>12</v>
      </c>
      <c r="N199" s="3184" t="s">
        <v>1414</v>
      </c>
      <c r="O199" s="3160" t="s">
        <v>1415</v>
      </c>
      <c r="P199" s="3176" t="s">
        <v>1416</v>
      </c>
      <c r="Q199" s="3177">
        <f>SUM(V199:V202)/R199</f>
        <v>1</v>
      </c>
      <c r="R199" s="3178">
        <f>SUM(V199:V202)</f>
        <v>99372400</v>
      </c>
      <c r="S199" s="3179" t="s">
        <v>1417</v>
      </c>
      <c r="T199" s="3179" t="s">
        <v>1418</v>
      </c>
      <c r="U199" s="1446" t="s">
        <v>1419</v>
      </c>
      <c r="V199" s="2277">
        <v>40000000</v>
      </c>
      <c r="W199" s="1447" t="s">
        <v>60</v>
      </c>
      <c r="X199" s="2348" t="s">
        <v>61</v>
      </c>
      <c r="Y199" s="3168">
        <v>2138</v>
      </c>
      <c r="Z199" s="3168">
        <v>2062</v>
      </c>
      <c r="AA199" s="3168"/>
      <c r="AB199" s="3168"/>
      <c r="AC199" s="3168">
        <v>4200</v>
      </c>
      <c r="AD199" s="3168"/>
      <c r="AE199" s="3168"/>
      <c r="AF199" s="3168"/>
      <c r="AG199" s="3168"/>
      <c r="AH199" s="3168"/>
      <c r="AI199" s="3168"/>
      <c r="AJ199" s="3168"/>
      <c r="AK199" s="3168"/>
      <c r="AL199" s="3168"/>
      <c r="AM199" s="3168"/>
      <c r="AN199" s="3168">
        <f>+Y199+Z199</f>
        <v>4200</v>
      </c>
      <c r="AO199" s="924">
        <v>43480</v>
      </c>
      <c r="AP199" s="924">
        <v>43646</v>
      </c>
      <c r="AQ199" s="3151" t="s">
        <v>1229</v>
      </c>
      <c r="AR199" s="1867"/>
      <c r="AS199" s="1867"/>
      <c r="AT199" s="1867"/>
      <c r="AU199" s="1867"/>
      <c r="AV199" s="1867"/>
      <c r="AW199" s="1867"/>
      <c r="AX199" s="1867"/>
      <c r="AY199" s="1867"/>
      <c r="AZ199" s="1867"/>
      <c r="BA199" s="1867"/>
      <c r="BB199" s="1867"/>
      <c r="BC199" s="1867"/>
      <c r="BD199" s="1867"/>
      <c r="BE199" s="1867"/>
      <c r="BF199" s="1867"/>
      <c r="BG199" s="1867"/>
      <c r="BH199" s="1867"/>
      <c r="BI199" s="1867"/>
      <c r="BJ199" s="1867"/>
      <c r="BK199" s="1867"/>
      <c r="BL199" s="1867"/>
      <c r="BM199" s="1867"/>
      <c r="BN199" s="1867"/>
      <c r="BO199" s="1867"/>
      <c r="BP199" s="1867"/>
      <c r="BQ199" s="1867"/>
    </row>
    <row r="200" spans="1:69" s="362" customFormat="1" ht="33" customHeight="1" x14ac:dyDescent="0.2">
      <c r="A200" s="3341"/>
      <c r="B200" s="3345"/>
      <c r="C200" s="3346"/>
      <c r="D200" s="3180"/>
      <c r="E200" s="3181"/>
      <c r="F200" s="3181"/>
      <c r="G200" s="369"/>
      <c r="H200" s="916"/>
      <c r="I200" s="917"/>
      <c r="J200" s="3182"/>
      <c r="K200" s="3183"/>
      <c r="L200" s="3183"/>
      <c r="M200" s="3182"/>
      <c r="N200" s="3184"/>
      <c r="O200" s="3160"/>
      <c r="P200" s="3176"/>
      <c r="Q200" s="3177"/>
      <c r="R200" s="3178"/>
      <c r="S200" s="3179"/>
      <c r="T200" s="3179"/>
      <c r="U200" s="2349" t="s">
        <v>1420</v>
      </c>
      <c r="V200" s="2277">
        <v>18372400</v>
      </c>
      <c r="W200" s="1448" t="s">
        <v>1421</v>
      </c>
      <c r="X200" s="2332" t="s">
        <v>1422</v>
      </c>
      <c r="Y200" s="3169"/>
      <c r="Z200" s="3169"/>
      <c r="AA200" s="3169"/>
      <c r="AB200" s="3169"/>
      <c r="AC200" s="3169"/>
      <c r="AD200" s="3169"/>
      <c r="AE200" s="3169"/>
      <c r="AF200" s="3169"/>
      <c r="AG200" s="3169"/>
      <c r="AH200" s="3169"/>
      <c r="AI200" s="3169"/>
      <c r="AJ200" s="3169"/>
      <c r="AK200" s="3169"/>
      <c r="AL200" s="3169"/>
      <c r="AM200" s="3169"/>
      <c r="AN200" s="3169"/>
      <c r="AO200" s="915">
        <v>43784</v>
      </c>
      <c r="AP200" s="915">
        <v>43814</v>
      </c>
      <c r="AQ200" s="3152"/>
      <c r="AR200" s="1867"/>
      <c r="AS200" s="1867"/>
      <c r="AT200" s="1867"/>
      <c r="AU200" s="1867"/>
      <c r="AV200" s="1867"/>
      <c r="AW200" s="1867"/>
      <c r="AX200" s="1867"/>
      <c r="AY200" s="1867"/>
      <c r="AZ200" s="1867"/>
      <c r="BA200" s="1867"/>
      <c r="BB200" s="1867"/>
      <c r="BC200" s="1867"/>
      <c r="BD200" s="1867"/>
      <c r="BE200" s="1867"/>
      <c r="BF200" s="1867"/>
      <c r="BG200" s="1867"/>
      <c r="BH200" s="1867"/>
      <c r="BI200" s="1867"/>
      <c r="BJ200" s="1867"/>
      <c r="BK200" s="1867"/>
      <c r="BL200" s="1867"/>
      <c r="BM200" s="1867"/>
      <c r="BN200" s="1867"/>
      <c r="BO200" s="1867"/>
      <c r="BP200" s="1867"/>
      <c r="BQ200" s="1867"/>
    </row>
    <row r="201" spans="1:69" s="362" customFormat="1" ht="40.5" customHeight="1" x14ac:dyDescent="0.2">
      <c r="A201" s="3341"/>
      <c r="B201" s="3345"/>
      <c r="C201" s="3346"/>
      <c r="D201" s="3180"/>
      <c r="E201" s="3181"/>
      <c r="F201" s="3181"/>
      <c r="G201" s="369"/>
      <c r="H201" s="916"/>
      <c r="I201" s="917"/>
      <c r="J201" s="3182"/>
      <c r="K201" s="3183"/>
      <c r="L201" s="3183"/>
      <c r="M201" s="3182"/>
      <c r="N201" s="3184"/>
      <c r="O201" s="3160"/>
      <c r="P201" s="3176"/>
      <c r="Q201" s="3177"/>
      <c r="R201" s="3178"/>
      <c r="S201" s="3179"/>
      <c r="T201" s="3179"/>
      <c r="U201" s="1446" t="s">
        <v>1423</v>
      </c>
      <c r="V201" s="2277">
        <v>5000000</v>
      </c>
      <c r="W201" s="1448" t="s">
        <v>1421</v>
      </c>
      <c r="X201" s="2332" t="s">
        <v>1422</v>
      </c>
      <c r="Y201" s="3169"/>
      <c r="Z201" s="3169"/>
      <c r="AA201" s="3169"/>
      <c r="AB201" s="3169"/>
      <c r="AC201" s="3169"/>
      <c r="AD201" s="3169"/>
      <c r="AE201" s="3169"/>
      <c r="AF201" s="3169"/>
      <c r="AG201" s="3169"/>
      <c r="AH201" s="3169"/>
      <c r="AI201" s="3169"/>
      <c r="AJ201" s="3169"/>
      <c r="AK201" s="3169"/>
      <c r="AL201" s="3169"/>
      <c r="AM201" s="3169"/>
      <c r="AN201" s="3169"/>
      <c r="AO201" s="915">
        <v>43646</v>
      </c>
      <c r="AP201" s="915">
        <v>43784</v>
      </c>
      <c r="AQ201" s="3152"/>
      <c r="AR201" s="1867"/>
      <c r="AS201" s="1867"/>
      <c r="AT201" s="1867"/>
      <c r="AU201" s="1867"/>
      <c r="AV201" s="1867"/>
      <c r="AW201" s="1867"/>
      <c r="AX201" s="1867"/>
      <c r="AY201" s="1867"/>
      <c r="AZ201" s="1867"/>
      <c r="BA201" s="1867"/>
      <c r="BB201" s="1867"/>
      <c r="BC201" s="1867"/>
      <c r="BD201" s="1867"/>
      <c r="BE201" s="1867"/>
      <c r="BF201" s="1867"/>
      <c r="BG201" s="1867"/>
      <c r="BH201" s="1867"/>
      <c r="BI201" s="1867"/>
      <c r="BJ201" s="1867"/>
      <c r="BK201" s="1867"/>
      <c r="BL201" s="1867"/>
      <c r="BM201" s="1867"/>
      <c r="BN201" s="1867"/>
      <c r="BO201" s="1867"/>
      <c r="BP201" s="1867"/>
      <c r="BQ201" s="1867"/>
    </row>
    <row r="202" spans="1:69" s="362" customFormat="1" ht="50.25" customHeight="1" x14ac:dyDescent="0.2">
      <c r="A202" s="3341"/>
      <c r="B202" s="3345"/>
      <c r="C202" s="3346"/>
      <c r="D202" s="3180"/>
      <c r="E202" s="3181"/>
      <c r="F202" s="3181"/>
      <c r="G202" s="369"/>
      <c r="H202" s="916"/>
      <c r="I202" s="917"/>
      <c r="J202" s="3182"/>
      <c r="K202" s="3183"/>
      <c r="L202" s="3183"/>
      <c r="M202" s="3182"/>
      <c r="N202" s="3184"/>
      <c r="O202" s="3160"/>
      <c r="P202" s="3176"/>
      <c r="Q202" s="3177"/>
      <c r="R202" s="3178"/>
      <c r="S202" s="3179"/>
      <c r="T202" s="3179"/>
      <c r="U202" s="1433" t="s">
        <v>1424</v>
      </c>
      <c r="V202" s="2277">
        <v>36000000</v>
      </c>
      <c r="W202" s="1684" t="s">
        <v>1421</v>
      </c>
      <c r="X202" s="2346" t="s">
        <v>1422</v>
      </c>
      <c r="Y202" s="3169"/>
      <c r="Z202" s="3169"/>
      <c r="AA202" s="3169"/>
      <c r="AB202" s="3169"/>
      <c r="AC202" s="3169"/>
      <c r="AD202" s="3169"/>
      <c r="AE202" s="3169"/>
      <c r="AF202" s="3169"/>
      <c r="AG202" s="3169"/>
      <c r="AH202" s="3169"/>
      <c r="AI202" s="3169"/>
      <c r="AJ202" s="3169"/>
      <c r="AK202" s="3169"/>
      <c r="AL202" s="3169"/>
      <c r="AM202" s="3169"/>
      <c r="AN202" s="3169"/>
      <c r="AO202" s="915">
        <v>43539</v>
      </c>
      <c r="AP202" s="915">
        <v>43758</v>
      </c>
      <c r="AQ202" s="3152"/>
      <c r="AR202" s="1867"/>
      <c r="AS202" s="1867"/>
      <c r="AT202" s="1867"/>
      <c r="AU202" s="1867"/>
      <c r="AV202" s="1867"/>
      <c r="AW202" s="1867"/>
      <c r="AX202" s="1867"/>
      <c r="AY202" s="1867"/>
      <c r="AZ202" s="1867"/>
      <c r="BA202" s="1867"/>
      <c r="BB202" s="1867"/>
      <c r="BC202" s="1867"/>
      <c r="BD202" s="1867"/>
      <c r="BE202" s="1867"/>
      <c r="BF202" s="1867"/>
      <c r="BG202" s="1867"/>
      <c r="BH202" s="1867"/>
      <c r="BI202" s="1867"/>
      <c r="BJ202" s="1867"/>
      <c r="BK202" s="1867"/>
      <c r="BL202" s="1867"/>
      <c r="BM202" s="1867"/>
      <c r="BN202" s="1867"/>
      <c r="BO202" s="1867"/>
      <c r="BP202" s="1867"/>
      <c r="BQ202" s="1867"/>
    </row>
    <row r="203" spans="1:69" s="362" customFormat="1" ht="15" customHeight="1" x14ac:dyDescent="0.2">
      <c r="A203" s="3341"/>
      <c r="B203" s="3345"/>
      <c r="C203" s="3346"/>
      <c r="D203" s="3180"/>
      <c r="E203" s="3181"/>
      <c r="F203" s="3181"/>
      <c r="G203" s="786"/>
      <c r="H203" s="786"/>
      <c r="I203" s="786"/>
      <c r="J203" s="787"/>
      <c r="K203" s="941"/>
      <c r="L203" s="942"/>
      <c r="M203" s="943"/>
      <c r="N203" s="754"/>
      <c r="O203" s="753"/>
      <c r="P203" s="886"/>
      <c r="Q203" s="1879"/>
      <c r="R203" s="944"/>
      <c r="S203" s="941"/>
      <c r="T203" s="941"/>
      <c r="U203" s="2350"/>
      <c r="V203" s="2306"/>
      <c r="W203" s="2351"/>
      <c r="X203" s="2352"/>
      <c r="Y203" s="888"/>
      <c r="Z203" s="888"/>
      <c r="AA203" s="888"/>
      <c r="AB203" s="888"/>
      <c r="AC203" s="888"/>
      <c r="AD203" s="888"/>
      <c r="AE203" s="888"/>
      <c r="AF203" s="888"/>
      <c r="AG203" s="888"/>
      <c r="AH203" s="888"/>
      <c r="AI203" s="888"/>
      <c r="AJ203" s="888"/>
      <c r="AK203" s="888"/>
      <c r="AL203" s="888"/>
      <c r="AM203" s="888"/>
      <c r="AN203" s="888"/>
      <c r="AO203" s="888"/>
      <c r="AP203" s="888"/>
      <c r="AQ203" s="945"/>
      <c r="AR203" s="1867"/>
      <c r="AS203" s="1867"/>
      <c r="AT203" s="1867"/>
      <c r="AU203" s="1867"/>
      <c r="AV203" s="1867"/>
      <c r="AW203" s="1867"/>
      <c r="AX203" s="1867"/>
      <c r="AY203" s="1867"/>
      <c r="AZ203" s="1867"/>
      <c r="BA203" s="1867"/>
      <c r="BB203" s="1867"/>
      <c r="BC203" s="1867"/>
      <c r="BD203" s="1867"/>
      <c r="BE203" s="1867"/>
      <c r="BF203" s="1867"/>
      <c r="BG203" s="1867"/>
      <c r="BH203" s="1867"/>
      <c r="BI203" s="1867"/>
      <c r="BJ203" s="1867"/>
      <c r="BK203" s="1867"/>
      <c r="BL203" s="1867"/>
      <c r="BM203" s="1867"/>
      <c r="BN203" s="1867"/>
      <c r="BO203" s="1867"/>
      <c r="BP203" s="1867"/>
      <c r="BQ203" s="1867"/>
    </row>
    <row r="204" spans="1:69" s="369" customFormat="1" ht="15" customHeight="1" x14ac:dyDescent="0.2">
      <c r="A204" s="3341"/>
      <c r="B204" s="3345"/>
      <c r="C204" s="3346"/>
      <c r="D204" s="3180"/>
      <c r="E204" s="3181"/>
      <c r="F204" s="3181"/>
      <c r="G204" s="893"/>
      <c r="H204" s="893"/>
      <c r="I204" s="893"/>
      <c r="J204" s="894"/>
      <c r="K204" s="895"/>
      <c r="L204" s="896"/>
      <c r="M204" s="893"/>
      <c r="N204" s="2313"/>
      <c r="O204" s="894"/>
      <c r="P204" s="896"/>
      <c r="Q204" s="1875"/>
      <c r="R204" s="898"/>
      <c r="S204" s="895"/>
      <c r="T204" s="895"/>
      <c r="U204" s="897"/>
      <c r="V204" s="2307"/>
      <c r="W204" s="2353"/>
      <c r="X204" s="2354"/>
      <c r="Y204" s="899"/>
      <c r="Z204" s="899"/>
      <c r="AA204" s="899"/>
      <c r="AB204" s="899"/>
      <c r="AC204" s="899"/>
      <c r="AD204" s="899"/>
      <c r="AE204" s="899"/>
      <c r="AF204" s="899"/>
      <c r="AG204" s="899"/>
      <c r="AH204" s="899"/>
      <c r="AI204" s="899"/>
      <c r="AJ204" s="899"/>
      <c r="AK204" s="899"/>
      <c r="AL204" s="899"/>
      <c r="AM204" s="896"/>
      <c r="AN204" s="896"/>
      <c r="AO204" s="896"/>
      <c r="AP204" s="896"/>
      <c r="AQ204" s="902"/>
      <c r="AR204" s="1867"/>
      <c r="AS204" s="1867"/>
      <c r="AT204" s="1867"/>
      <c r="AU204" s="1867"/>
      <c r="AV204" s="1867"/>
      <c r="AW204" s="1867"/>
      <c r="AX204" s="1867"/>
      <c r="AY204" s="1867"/>
      <c r="AZ204" s="1867"/>
      <c r="BA204" s="1867"/>
      <c r="BB204" s="1867"/>
      <c r="BC204" s="1867"/>
      <c r="BD204" s="1867"/>
      <c r="BE204" s="1867"/>
      <c r="BF204" s="1867"/>
      <c r="BG204" s="1867"/>
      <c r="BH204" s="1867"/>
      <c r="BI204" s="1867"/>
      <c r="BJ204" s="1867"/>
      <c r="BK204" s="1867"/>
      <c r="BL204" s="1867"/>
      <c r="BM204" s="1867"/>
      <c r="BN204" s="1867"/>
      <c r="BO204" s="1867"/>
      <c r="BP204" s="1867"/>
      <c r="BQ204" s="1867"/>
    </row>
    <row r="205" spans="1:69" s="369" customFormat="1" ht="15" customHeight="1" x14ac:dyDescent="0.2">
      <c r="A205" s="3341"/>
      <c r="B205" s="3345"/>
      <c r="C205" s="3346"/>
      <c r="D205" s="3180"/>
      <c r="E205" s="3181"/>
      <c r="F205" s="3181"/>
      <c r="G205" s="946">
        <v>84</v>
      </c>
      <c r="H205" s="717" t="s">
        <v>1425</v>
      </c>
      <c r="I205" s="717"/>
      <c r="J205" s="775"/>
      <c r="K205" s="947"/>
      <c r="L205" s="719"/>
      <c r="M205" s="717"/>
      <c r="N205" s="774"/>
      <c r="O205" s="775"/>
      <c r="P205" s="719"/>
      <c r="Q205" s="772"/>
      <c r="R205" s="721"/>
      <c r="S205" s="947"/>
      <c r="T205" s="947"/>
      <c r="U205" s="771"/>
      <c r="V205" s="2308"/>
      <c r="W205" s="2355"/>
      <c r="X205" s="2329"/>
      <c r="Y205" s="722"/>
      <c r="Z205" s="722"/>
      <c r="AA205" s="722"/>
      <c r="AB205" s="722"/>
      <c r="AC205" s="722"/>
      <c r="AD205" s="722"/>
      <c r="AE205" s="722"/>
      <c r="AF205" s="722"/>
      <c r="AG205" s="722"/>
      <c r="AH205" s="722"/>
      <c r="AI205" s="722"/>
      <c r="AJ205" s="722"/>
      <c r="AK205" s="722"/>
      <c r="AL205" s="722"/>
      <c r="AM205" s="722"/>
      <c r="AN205" s="722"/>
      <c r="AO205" s="722"/>
      <c r="AP205" s="722"/>
      <c r="AQ205" s="928"/>
      <c r="AR205" s="1867"/>
      <c r="AS205" s="1867"/>
      <c r="AT205" s="1867"/>
      <c r="AU205" s="1867"/>
      <c r="AV205" s="1867"/>
      <c r="AW205" s="1867"/>
      <c r="AX205" s="1867"/>
      <c r="AY205" s="1867"/>
      <c r="AZ205" s="1867"/>
      <c r="BA205" s="1867"/>
      <c r="BB205" s="1867"/>
      <c r="BC205" s="1867"/>
      <c r="BD205" s="1867"/>
      <c r="BE205" s="1867"/>
      <c r="BF205" s="1867"/>
      <c r="BG205" s="1867"/>
      <c r="BH205" s="1867"/>
      <c r="BI205" s="1867"/>
      <c r="BJ205" s="1867"/>
      <c r="BK205" s="1867"/>
      <c r="BL205" s="1867"/>
      <c r="BM205" s="1867"/>
      <c r="BN205" s="1867"/>
      <c r="BO205" s="1867"/>
      <c r="BP205" s="1867"/>
      <c r="BQ205" s="1867"/>
    </row>
    <row r="206" spans="1:69" s="362" customFormat="1" ht="52.5" customHeight="1" x14ac:dyDescent="0.25">
      <c r="A206" s="3341"/>
      <c r="B206" s="3345"/>
      <c r="C206" s="3346"/>
      <c r="D206" s="3180"/>
      <c r="E206" s="3181"/>
      <c r="F206" s="3181"/>
      <c r="G206" s="914"/>
      <c r="H206" s="948"/>
      <c r="I206" s="930"/>
      <c r="J206" s="3170">
        <v>247</v>
      </c>
      <c r="K206" s="3162" t="s">
        <v>1426</v>
      </c>
      <c r="L206" s="3162" t="s">
        <v>1427</v>
      </c>
      <c r="M206" s="3172">
        <v>1</v>
      </c>
      <c r="N206" s="3174" t="s">
        <v>1428</v>
      </c>
      <c r="O206" s="3160" t="s">
        <v>1429</v>
      </c>
      <c r="P206" s="3162" t="s">
        <v>1430</v>
      </c>
      <c r="Q206" s="3164">
        <f>SUM(V206:V210)/R206</f>
        <v>1</v>
      </c>
      <c r="R206" s="3166">
        <f>SUM(V206:V210)</f>
        <v>49687000</v>
      </c>
      <c r="S206" s="3185" t="s">
        <v>1431</v>
      </c>
      <c r="T206" s="3187" t="s">
        <v>1432</v>
      </c>
      <c r="U206" s="2043" t="s">
        <v>1433</v>
      </c>
      <c r="V206" s="2277">
        <v>40387000</v>
      </c>
      <c r="W206" s="1404">
        <v>20</v>
      </c>
      <c r="X206" s="2332" t="s">
        <v>61</v>
      </c>
      <c r="Y206" s="3149">
        <v>357</v>
      </c>
      <c r="Z206" s="3149">
        <v>343</v>
      </c>
      <c r="AA206" s="3149"/>
      <c r="AB206" s="3149"/>
      <c r="AC206" s="3149">
        <v>700</v>
      </c>
      <c r="AD206" s="3149"/>
      <c r="AE206" s="3149"/>
      <c r="AF206" s="3149"/>
      <c r="AG206" s="3149"/>
      <c r="AH206" s="3149"/>
      <c r="AI206" s="3149"/>
      <c r="AJ206" s="3149"/>
      <c r="AK206" s="3149"/>
      <c r="AL206" s="3149"/>
      <c r="AM206" s="3149"/>
      <c r="AN206" s="3149">
        <v>700</v>
      </c>
      <c r="AO206" s="924">
        <v>43480</v>
      </c>
      <c r="AP206" s="924">
        <v>43281</v>
      </c>
      <c r="AQ206" s="3151" t="s">
        <v>1229</v>
      </c>
      <c r="AR206" s="1867"/>
      <c r="AS206" s="1867"/>
      <c r="AT206" s="1867"/>
      <c r="AU206" s="1867"/>
      <c r="AV206" s="1867"/>
      <c r="AW206" s="1867"/>
      <c r="AX206" s="1867"/>
      <c r="AY206" s="1867"/>
      <c r="AZ206" s="1867"/>
      <c r="BA206" s="1867"/>
      <c r="BB206" s="1867"/>
      <c r="BC206" s="1867"/>
      <c r="BD206" s="1867"/>
      <c r="BE206" s="1867"/>
      <c r="BF206" s="1867"/>
      <c r="BG206" s="1867"/>
      <c r="BH206" s="1867"/>
      <c r="BI206" s="1867"/>
      <c r="BJ206" s="1867"/>
      <c r="BK206" s="1867"/>
      <c r="BL206" s="1867"/>
      <c r="BM206" s="1867"/>
      <c r="BN206" s="1867"/>
      <c r="BO206" s="1867"/>
      <c r="BP206" s="1867"/>
      <c r="BQ206" s="1867"/>
    </row>
    <row r="207" spans="1:69" s="362" customFormat="1" ht="33" customHeight="1" x14ac:dyDescent="0.25">
      <c r="A207" s="3341"/>
      <c r="B207" s="3345"/>
      <c r="C207" s="3346"/>
      <c r="D207" s="3180"/>
      <c r="E207" s="3181"/>
      <c r="F207" s="3181"/>
      <c r="G207" s="932"/>
      <c r="H207" s="949"/>
      <c r="I207" s="932"/>
      <c r="J207" s="3170"/>
      <c r="K207" s="3162"/>
      <c r="L207" s="3162"/>
      <c r="M207" s="3172"/>
      <c r="N207" s="3174"/>
      <c r="O207" s="3160"/>
      <c r="P207" s="3162"/>
      <c r="Q207" s="3164"/>
      <c r="R207" s="3166"/>
      <c r="S207" s="3185"/>
      <c r="T207" s="3187"/>
      <c r="U207" s="1435" t="s">
        <v>1434</v>
      </c>
      <c r="V207" s="2277">
        <v>3300000</v>
      </c>
      <c r="W207" s="1395">
        <v>20</v>
      </c>
      <c r="X207" s="2332" t="s">
        <v>61</v>
      </c>
      <c r="Y207" s="3150"/>
      <c r="Z207" s="3150"/>
      <c r="AA207" s="3150"/>
      <c r="AB207" s="3150"/>
      <c r="AC207" s="3150"/>
      <c r="AD207" s="3150"/>
      <c r="AE207" s="3150"/>
      <c r="AF207" s="3150"/>
      <c r="AG207" s="3150"/>
      <c r="AH207" s="3150"/>
      <c r="AI207" s="3150"/>
      <c r="AJ207" s="3150"/>
      <c r="AK207" s="3150"/>
      <c r="AL207" s="3150"/>
      <c r="AM207" s="3150"/>
      <c r="AN207" s="3150"/>
      <c r="AO207" s="915">
        <v>43539</v>
      </c>
      <c r="AP207" s="915">
        <v>43697</v>
      </c>
      <c r="AQ207" s="3152"/>
      <c r="AR207" s="1867"/>
      <c r="AS207" s="1867"/>
      <c r="AT207" s="1867"/>
      <c r="AU207" s="1867"/>
      <c r="AV207" s="1867"/>
      <c r="AW207" s="1867"/>
      <c r="AX207" s="1867"/>
      <c r="AY207" s="1867"/>
      <c r="AZ207" s="1867"/>
      <c r="BA207" s="1867"/>
      <c r="BB207" s="1867"/>
      <c r="BC207" s="1867"/>
      <c r="BD207" s="1867"/>
      <c r="BE207" s="1867"/>
      <c r="BF207" s="1867"/>
      <c r="BG207" s="1867"/>
      <c r="BH207" s="1867"/>
      <c r="BI207" s="1867"/>
      <c r="BJ207" s="1867"/>
      <c r="BK207" s="1867"/>
      <c r="BL207" s="1867"/>
      <c r="BM207" s="1867"/>
      <c r="BN207" s="1867"/>
      <c r="BO207" s="1867"/>
      <c r="BP207" s="1867"/>
      <c r="BQ207" s="1867"/>
    </row>
    <row r="208" spans="1:69" s="362" customFormat="1" ht="84.75" customHeight="1" x14ac:dyDescent="0.25">
      <c r="A208" s="3341"/>
      <c r="B208" s="3345"/>
      <c r="C208" s="3346"/>
      <c r="D208" s="3180"/>
      <c r="E208" s="3181"/>
      <c r="F208" s="3181"/>
      <c r="G208" s="932"/>
      <c r="H208" s="949"/>
      <c r="I208" s="932"/>
      <c r="J208" s="3170"/>
      <c r="K208" s="3162"/>
      <c r="L208" s="3162"/>
      <c r="M208" s="3172"/>
      <c r="N208" s="3174"/>
      <c r="O208" s="3160"/>
      <c r="P208" s="3162"/>
      <c r="Q208" s="3164"/>
      <c r="R208" s="3166"/>
      <c r="S208" s="3185"/>
      <c r="T208" s="3187"/>
      <c r="U208" s="1435" t="s">
        <v>1435</v>
      </c>
      <c r="V208" s="2277">
        <v>3000000</v>
      </c>
      <c r="W208" s="1395">
        <v>20</v>
      </c>
      <c r="X208" s="2332" t="s">
        <v>61</v>
      </c>
      <c r="Y208" s="3150"/>
      <c r="Z208" s="3150"/>
      <c r="AA208" s="3150"/>
      <c r="AB208" s="3150"/>
      <c r="AC208" s="3150"/>
      <c r="AD208" s="3150"/>
      <c r="AE208" s="3150"/>
      <c r="AF208" s="3150"/>
      <c r="AG208" s="3150"/>
      <c r="AH208" s="3150"/>
      <c r="AI208" s="3150"/>
      <c r="AJ208" s="3150"/>
      <c r="AK208" s="3150"/>
      <c r="AL208" s="3150"/>
      <c r="AM208" s="3150"/>
      <c r="AN208" s="3150"/>
      <c r="AO208" s="915">
        <v>43539</v>
      </c>
      <c r="AP208" s="915">
        <v>43690</v>
      </c>
      <c r="AQ208" s="3152"/>
      <c r="AR208" s="1867"/>
      <c r="AS208" s="1867"/>
      <c r="AT208" s="1867"/>
      <c r="AU208" s="1867"/>
      <c r="AV208" s="1867"/>
      <c r="AW208" s="1867"/>
      <c r="AX208" s="1867"/>
      <c r="AY208" s="1867"/>
      <c r="AZ208" s="1867"/>
      <c r="BA208" s="1867"/>
      <c r="BB208" s="1867"/>
      <c r="BC208" s="1867"/>
      <c r="BD208" s="1867"/>
      <c r="BE208" s="1867"/>
      <c r="BF208" s="1867"/>
      <c r="BG208" s="1867"/>
      <c r="BH208" s="1867"/>
      <c r="BI208" s="1867"/>
      <c r="BJ208" s="1867"/>
      <c r="BK208" s="1867"/>
      <c r="BL208" s="1867"/>
      <c r="BM208" s="1867"/>
      <c r="BN208" s="1867"/>
      <c r="BO208" s="1867"/>
      <c r="BP208" s="1867"/>
      <c r="BQ208" s="1867"/>
    </row>
    <row r="209" spans="1:69" s="362" customFormat="1" ht="78.75" customHeight="1" x14ac:dyDescent="0.25">
      <c r="A209" s="3341"/>
      <c r="B209" s="3345"/>
      <c r="C209" s="3346"/>
      <c r="D209" s="3180"/>
      <c r="E209" s="3181"/>
      <c r="F209" s="3181"/>
      <c r="G209" s="932"/>
      <c r="H209" s="949"/>
      <c r="I209" s="932"/>
      <c r="J209" s="3170"/>
      <c r="K209" s="3162"/>
      <c r="L209" s="3162"/>
      <c r="M209" s="3172"/>
      <c r="N209" s="3174"/>
      <c r="O209" s="3160"/>
      <c r="P209" s="3162"/>
      <c r="Q209" s="3164"/>
      <c r="R209" s="3166"/>
      <c r="S209" s="3185"/>
      <c r="T209" s="3187"/>
      <c r="U209" s="1435" t="s">
        <v>1436</v>
      </c>
      <c r="V209" s="2277">
        <v>2000000</v>
      </c>
      <c r="W209" s="1395">
        <v>20</v>
      </c>
      <c r="X209" s="2332" t="s">
        <v>61</v>
      </c>
      <c r="Y209" s="3150"/>
      <c r="Z209" s="3150"/>
      <c r="AA209" s="3150"/>
      <c r="AB209" s="3150"/>
      <c r="AC209" s="3150"/>
      <c r="AD209" s="3150"/>
      <c r="AE209" s="3150"/>
      <c r="AF209" s="3150"/>
      <c r="AG209" s="3150"/>
      <c r="AH209" s="3150"/>
      <c r="AI209" s="3150"/>
      <c r="AJ209" s="3150"/>
      <c r="AK209" s="3150"/>
      <c r="AL209" s="3150"/>
      <c r="AM209" s="3150"/>
      <c r="AN209" s="3150"/>
      <c r="AO209" s="915">
        <v>43539</v>
      </c>
      <c r="AP209" s="918">
        <v>43688</v>
      </c>
      <c r="AQ209" s="3152"/>
      <c r="AR209" s="1867"/>
      <c r="AS209" s="1867"/>
      <c r="AT209" s="1867"/>
      <c r="AU209" s="1867"/>
      <c r="AV209" s="1867"/>
      <c r="AW209" s="1867"/>
      <c r="AX209" s="1867"/>
      <c r="AY209" s="1867"/>
      <c r="AZ209" s="1867"/>
      <c r="BA209" s="1867"/>
      <c r="BB209" s="1867"/>
      <c r="BC209" s="1867"/>
      <c r="BD209" s="1867"/>
      <c r="BE209" s="1867"/>
      <c r="BF209" s="1867"/>
      <c r="BG209" s="1867"/>
      <c r="BH209" s="1867"/>
      <c r="BI209" s="1867"/>
      <c r="BJ209" s="1867"/>
      <c r="BK209" s="1867"/>
      <c r="BL209" s="1867"/>
      <c r="BM209" s="1867"/>
      <c r="BN209" s="1867"/>
      <c r="BO209" s="1867"/>
      <c r="BP209" s="1867"/>
      <c r="BQ209" s="1867"/>
    </row>
    <row r="210" spans="1:69" s="362" customFormat="1" ht="34.5" customHeight="1" x14ac:dyDescent="0.25">
      <c r="A210" s="3342"/>
      <c r="B210" s="3347"/>
      <c r="C210" s="3348"/>
      <c r="D210" s="3180"/>
      <c r="E210" s="3181"/>
      <c r="F210" s="3181"/>
      <c r="G210" s="936"/>
      <c r="H210" s="950"/>
      <c r="I210" s="936"/>
      <c r="J210" s="3171"/>
      <c r="K210" s="3163"/>
      <c r="L210" s="3163"/>
      <c r="M210" s="3173"/>
      <c r="N210" s="3175"/>
      <c r="O210" s="3161"/>
      <c r="P210" s="3163"/>
      <c r="Q210" s="3165"/>
      <c r="R210" s="3167"/>
      <c r="S210" s="3186"/>
      <c r="T210" s="3188"/>
      <c r="U210" s="2043" t="s">
        <v>1437</v>
      </c>
      <c r="V210" s="2277">
        <v>1000000</v>
      </c>
      <c r="W210" s="1402">
        <v>20</v>
      </c>
      <c r="X210" s="2332" t="s">
        <v>61</v>
      </c>
      <c r="Y210" s="3150"/>
      <c r="Z210" s="3150"/>
      <c r="AA210" s="3150"/>
      <c r="AB210" s="3150"/>
      <c r="AC210" s="3150"/>
      <c r="AD210" s="3150"/>
      <c r="AE210" s="3150"/>
      <c r="AF210" s="3150"/>
      <c r="AG210" s="3150"/>
      <c r="AH210" s="3150"/>
      <c r="AI210" s="3150"/>
      <c r="AJ210" s="3150"/>
      <c r="AK210" s="3150"/>
      <c r="AL210" s="3150"/>
      <c r="AM210" s="3150"/>
      <c r="AN210" s="3150"/>
      <c r="AO210" s="915">
        <v>43539</v>
      </c>
      <c r="AP210" s="915">
        <v>43666</v>
      </c>
      <c r="AQ210" s="3152"/>
      <c r="AR210" s="1867"/>
      <c r="AS210" s="1867"/>
      <c r="AT210" s="1867"/>
      <c r="AU210" s="1867"/>
      <c r="AV210" s="1867"/>
      <c r="AW210" s="1867"/>
      <c r="AX210" s="1867"/>
      <c r="AY210" s="1867"/>
      <c r="AZ210" s="1867"/>
      <c r="BA210" s="1867"/>
      <c r="BB210" s="1867"/>
      <c r="BC210" s="1867"/>
      <c r="BD210" s="1867"/>
      <c r="BE210" s="1867"/>
      <c r="BF210" s="1867"/>
      <c r="BG210" s="1867"/>
      <c r="BH210" s="1867"/>
      <c r="BI210" s="1867"/>
      <c r="BJ210" s="1867"/>
      <c r="BK210" s="1867"/>
      <c r="BL210" s="1867"/>
      <c r="BM210" s="1867"/>
      <c r="BN210" s="1867"/>
      <c r="BO210" s="1867"/>
      <c r="BP210" s="1867"/>
      <c r="BQ210" s="1867"/>
    </row>
    <row r="211" spans="1:69" s="692" customFormat="1" ht="26.25" customHeight="1" x14ac:dyDescent="0.25">
      <c r="A211" s="1055" t="s">
        <v>823</v>
      </c>
      <c r="B211" s="3153"/>
      <c r="C211" s="3154"/>
      <c r="D211" s="3155"/>
      <c r="E211" s="3156"/>
      <c r="F211" s="3157"/>
      <c r="G211" s="1056"/>
      <c r="H211" s="3158"/>
      <c r="I211" s="3159"/>
      <c r="J211" s="1057"/>
      <c r="K211" s="1058"/>
      <c r="L211" s="1058"/>
      <c r="M211" s="1059"/>
      <c r="N211" s="2356"/>
      <c r="O211" s="1060"/>
      <c r="P211" s="1058"/>
      <c r="Q211" s="1880"/>
      <c r="R211" s="1061">
        <f>SUM(R13:R210)</f>
        <v>9980413583</v>
      </c>
      <c r="S211" s="1058"/>
      <c r="T211" s="1058"/>
      <c r="U211" s="1449"/>
      <c r="V211" s="2309">
        <f>SUM(V13:V210)</f>
        <v>9980413583</v>
      </c>
      <c r="W211" s="1450"/>
      <c r="X211" s="1059"/>
      <c r="Y211" s="1062"/>
      <c r="Z211" s="1062"/>
      <c r="AA211" s="1062"/>
      <c r="AB211" s="1062"/>
      <c r="AC211" s="1062"/>
      <c r="AD211" s="1062"/>
      <c r="AE211" s="1062"/>
      <c r="AF211" s="1062"/>
      <c r="AG211" s="1062"/>
      <c r="AH211" s="1062"/>
      <c r="AI211" s="1062"/>
      <c r="AJ211" s="1062"/>
      <c r="AK211" s="1062"/>
      <c r="AL211" s="1062"/>
      <c r="AM211" s="1062"/>
      <c r="AN211" s="1062"/>
      <c r="AO211" s="1063"/>
      <c r="AP211" s="1063"/>
      <c r="AQ211" s="1064"/>
      <c r="AR211" s="1868"/>
      <c r="AS211" s="1868"/>
      <c r="AT211" s="1868"/>
      <c r="AU211" s="1868"/>
      <c r="AV211" s="1868"/>
      <c r="AW211" s="1868"/>
      <c r="AX211" s="1868"/>
      <c r="AY211" s="1868"/>
      <c r="AZ211" s="1868"/>
      <c r="BA211" s="1868"/>
      <c r="BB211" s="1868"/>
      <c r="BC211" s="1868"/>
      <c r="BD211" s="1868"/>
      <c r="BE211" s="1868"/>
      <c r="BF211" s="1868"/>
      <c r="BG211" s="1868"/>
      <c r="BH211" s="1868"/>
      <c r="BI211" s="1868"/>
      <c r="BJ211" s="1868"/>
      <c r="BK211" s="1868"/>
      <c r="BL211" s="1868"/>
      <c r="BM211" s="1868"/>
      <c r="BN211" s="1868"/>
      <c r="BO211" s="1868"/>
      <c r="BP211" s="1868"/>
      <c r="BQ211" s="1868"/>
    </row>
    <row r="212" spans="1:69" ht="27" customHeight="1" x14ac:dyDescent="0.2">
      <c r="U212" s="1451"/>
      <c r="V212" s="2310"/>
      <c r="W212" s="1452"/>
    </row>
    <row r="213" spans="1:69" ht="27" customHeight="1" x14ac:dyDescent="0.2">
      <c r="U213" s="1451"/>
      <c r="V213" s="2310"/>
      <c r="W213" s="1452"/>
    </row>
    <row r="214" spans="1:69" ht="27" customHeight="1" x14ac:dyDescent="0.2">
      <c r="A214" s="333"/>
      <c r="B214" s="233"/>
      <c r="G214" s="21"/>
      <c r="H214" s="21"/>
      <c r="I214" s="21"/>
      <c r="J214" s="21"/>
      <c r="K214" s="2357"/>
      <c r="U214" s="1451"/>
      <c r="V214" s="2310"/>
      <c r="W214" s="1452"/>
    </row>
    <row r="215" spans="1:69" ht="27" customHeight="1" x14ac:dyDescent="0.25">
      <c r="G215" s="2358" t="s">
        <v>1438</v>
      </c>
      <c r="H215" s="233"/>
      <c r="K215" s="1"/>
      <c r="L215" s="1"/>
      <c r="M215" s="1"/>
      <c r="N215" s="2018"/>
      <c r="U215" s="1451"/>
      <c r="V215" s="2310"/>
      <c r="W215" s="1452"/>
    </row>
    <row r="216" spans="1:69" ht="27" customHeight="1" x14ac:dyDescent="0.25">
      <c r="G216" s="23" t="s">
        <v>1439</v>
      </c>
      <c r="H216" s="233"/>
      <c r="K216" s="1"/>
      <c r="L216" s="1"/>
      <c r="M216" s="1"/>
      <c r="N216" s="2018"/>
      <c r="U216" s="1451"/>
      <c r="V216" s="2310"/>
      <c r="W216" s="1452"/>
    </row>
    <row r="217" spans="1:69" ht="27" customHeight="1" x14ac:dyDescent="0.2">
      <c r="G217" s="333"/>
      <c r="H217" s="233"/>
      <c r="K217" s="1"/>
      <c r="L217" s="1"/>
      <c r="M217" s="1"/>
      <c r="N217" s="2018"/>
      <c r="U217" s="1451"/>
      <c r="V217" s="2310"/>
      <c r="W217" s="1452"/>
    </row>
    <row r="218" spans="1:69" ht="27" customHeight="1" x14ac:dyDescent="0.2">
      <c r="G218" s="17"/>
      <c r="K218" s="1"/>
      <c r="L218" s="1"/>
      <c r="M218" s="1"/>
      <c r="N218" s="2018"/>
      <c r="U218" s="1451"/>
      <c r="V218" s="2310"/>
      <c r="W218" s="1452"/>
    </row>
    <row r="219" spans="1:69" ht="27" customHeight="1" x14ac:dyDescent="0.2">
      <c r="G219" s="17"/>
      <c r="K219" s="1"/>
      <c r="L219" s="1"/>
      <c r="M219" s="1"/>
      <c r="N219" s="2018"/>
      <c r="U219" s="1451"/>
      <c r="V219" s="2310"/>
      <c r="W219" s="1452"/>
    </row>
    <row r="220" spans="1:69" ht="27" customHeight="1" x14ac:dyDescent="0.2">
      <c r="G220" s="17"/>
      <c r="K220" s="1"/>
      <c r="L220" s="1"/>
      <c r="M220" s="1"/>
      <c r="N220" s="2018"/>
      <c r="U220" s="1451"/>
      <c r="V220" s="2310"/>
      <c r="W220" s="1452"/>
    </row>
    <row r="221" spans="1:69" ht="27" customHeight="1" x14ac:dyDescent="0.2">
      <c r="U221" s="1451"/>
      <c r="V221" s="2310"/>
      <c r="W221" s="1452"/>
    </row>
    <row r="222" spans="1:69" ht="27" customHeight="1" x14ac:dyDescent="0.2">
      <c r="U222" s="1451"/>
      <c r="V222" s="2310"/>
      <c r="W222" s="1452"/>
    </row>
    <row r="223" spans="1:69" ht="27" customHeight="1" x14ac:dyDescent="0.2">
      <c r="U223" s="1451"/>
      <c r="V223" s="2310"/>
      <c r="W223" s="1452"/>
    </row>
    <row r="224" spans="1:69" ht="27" customHeight="1" x14ac:dyDescent="0.2">
      <c r="U224" s="1451"/>
      <c r="V224" s="2310"/>
      <c r="W224" s="1452"/>
    </row>
    <row r="225" spans="21:23" ht="27" customHeight="1" x14ac:dyDescent="0.2">
      <c r="U225" s="1451"/>
      <c r="V225" s="2310"/>
      <c r="W225" s="1452"/>
    </row>
    <row r="226" spans="21:23" ht="27" customHeight="1" x14ac:dyDescent="0.2">
      <c r="U226" s="1451"/>
      <c r="V226" s="2310"/>
      <c r="W226" s="1452"/>
    </row>
    <row r="227" spans="21:23" ht="27" customHeight="1" x14ac:dyDescent="0.2">
      <c r="U227" s="1451"/>
      <c r="V227" s="2310"/>
      <c r="W227" s="1452"/>
    </row>
    <row r="228" spans="21:23" ht="27" customHeight="1" x14ac:dyDescent="0.2">
      <c r="U228" s="1451"/>
      <c r="V228" s="2310"/>
      <c r="W228" s="1452"/>
    </row>
    <row r="229" spans="21:23" ht="27" customHeight="1" x14ac:dyDescent="0.2">
      <c r="U229" s="1451"/>
      <c r="V229" s="2310"/>
      <c r="W229" s="1452"/>
    </row>
  </sheetData>
  <sheetProtection password="A60F" sheet="1" objects="1" scenarios="1"/>
  <mergeCells count="470">
    <mergeCell ref="A1:AO4"/>
    <mergeCell ref="A5:M6"/>
    <mergeCell ref="N5:AQ5"/>
    <mergeCell ref="Y6:AM6"/>
    <mergeCell ref="A8:A9"/>
    <mergeCell ref="B8:C9"/>
    <mergeCell ref="D8:D9"/>
    <mergeCell ref="E8:F9"/>
    <mergeCell ref="G8:G9"/>
    <mergeCell ref="H8:I9"/>
    <mergeCell ref="AK8:AM8"/>
    <mergeCell ref="AN8:AN9"/>
    <mergeCell ref="AO8:AO9"/>
    <mergeCell ref="AP8:AP9"/>
    <mergeCell ref="AQ8:AQ9"/>
    <mergeCell ref="AA8:AD8"/>
    <mergeCell ref="AE8:AJ8"/>
    <mergeCell ref="J8:J9"/>
    <mergeCell ref="K8:K9"/>
    <mergeCell ref="Y13:Y52"/>
    <mergeCell ref="Z13:Z52"/>
    <mergeCell ref="U18:U19"/>
    <mergeCell ref="U32:U33"/>
    <mergeCell ref="U34:U35"/>
    <mergeCell ref="U37:U38"/>
    <mergeCell ref="L13:L14"/>
    <mergeCell ref="L8:L9"/>
    <mergeCell ref="M8:M9"/>
    <mergeCell ref="N8:N9"/>
    <mergeCell ref="O8:O9"/>
    <mergeCell ref="V8:V9"/>
    <mergeCell ref="W8:W9"/>
    <mergeCell ref="X8:X9"/>
    <mergeCell ref="Y8:Z8"/>
    <mergeCell ref="P8:P9"/>
    <mergeCell ref="Q8:Q9"/>
    <mergeCell ref="R8:R9"/>
    <mergeCell ref="S8:S9"/>
    <mergeCell ref="T8:T9"/>
    <mergeCell ref="U8:U9"/>
    <mergeCell ref="U30:U31"/>
    <mergeCell ref="T13:T52"/>
    <mergeCell ref="U13:U14"/>
    <mergeCell ref="AM13:AM52"/>
    <mergeCell ref="AN13:AN52"/>
    <mergeCell ref="AO13:AO14"/>
    <mergeCell ref="AP13:AP14"/>
    <mergeCell ref="A11:A210"/>
    <mergeCell ref="B11:C210"/>
    <mergeCell ref="D12:F68"/>
    <mergeCell ref="J13:J14"/>
    <mergeCell ref="K13:K14"/>
    <mergeCell ref="J50:J52"/>
    <mergeCell ref="K50:K52"/>
    <mergeCell ref="L50:L52"/>
    <mergeCell ref="M50:M52"/>
    <mergeCell ref="Q50:Q52"/>
    <mergeCell ref="U50:U51"/>
    <mergeCell ref="J21:J49"/>
    <mergeCell ref="K21:K49"/>
    <mergeCell ref="L21:L49"/>
    <mergeCell ref="M21:M49"/>
    <mergeCell ref="Q21:Q49"/>
    <mergeCell ref="U21:U22"/>
    <mergeCell ref="U23:U24"/>
    <mergeCell ref="U25:U26"/>
    <mergeCell ref="U28:U29"/>
    <mergeCell ref="AQ13:AQ52"/>
    <mergeCell ref="J16:J20"/>
    <mergeCell ref="K16:K20"/>
    <mergeCell ref="L16:L20"/>
    <mergeCell ref="M16:M20"/>
    <mergeCell ref="Q16:Q20"/>
    <mergeCell ref="AG13:AG52"/>
    <mergeCell ref="AH13:AH52"/>
    <mergeCell ref="AI13:AI52"/>
    <mergeCell ref="AJ13:AJ52"/>
    <mergeCell ref="AK13:AK52"/>
    <mergeCell ref="AL13:AL52"/>
    <mergeCell ref="AA13:AA52"/>
    <mergeCell ref="AB13:AB52"/>
    <mergeCell ref="AC13:AC52"/>
    <mergeCell ref="AD13:AD52"/>
    <mergeCell ref="AE13:AE52"/>
    <mergeCell ref="AF13:AF52"/>
    <mergeCell ref="R13:R52"/>
    <mergeCell ref="S13:S52"/>
    <mergeCell ref="U40:U41"/>
    <mergeCell ref="U42:U44"/>
    <mergeCell ref="U45:U47"/>
    <mergeCell ref="U48:U49"/>
    <mergeCell ref="M13:M14"/>
    <mergeCell ref="N13:N20"/>
    <mergeCell ref="O13:O52"/>
    <mergeCell ref="P13:P52"/>
    <mergeCell ref="Q13:Q14"/>
    <mergeCell ref="Q54:Q60"/>
    <mergeCell ref="R54:R68"/>
    <mergeCell ref="S54:S68"/>
    <mergeCell ref="T54:T68"/>
    <mergeCell ref="Q61:Q67"/>
    <mergeCell ref="J54:J60"/>
    <mergeCell ref="K54:K60"/>
    <mergeCell ref="L54:L60"/>
    <mergeCell ref="M54:M60"/>
    <mergeCell ref="O54:O68"/>
    <mergeCell ref="P54:P68"/>
    <mergeCell ref="J61:J67"/>
    <mergeCell ref="K61:K67"/>
    <mergeCell ref="L61:L67"/>
    <mergeCell ref="M61:M67"/>
    <mergeCell ref="AL54:AL68"/>
    <mergeCell ref="AM54:AM68"/>
    <mergeCell ref="AN54:AN68"/>
    <mergeCell ref="AQ54:AQ68"/>
    <mergeCell ref="U56:U57"/>
    <mergeCell ref="U58:U59"/>
    <mergeCell ref="U61:U62"/>
    <mergeCell ref="U64:U65"/>
    <mergeCell ref="U66:U67"/>
    <mergeCell ref="AF54:AF68"/>
    <mergeCell ref="AG54:AG68"/>
    <mergeCell ref="AH54:AH68"/>
    <mergeCell ref="AI54:AI68"/>
    <mergeCell ref="AJ54:AJ68"/>
    <mergeCell ref="AK54:AK68"/>
    <mergeCell ref="Z54:Z68"/>
    <mergeCell ref="AA54:AA68"/>
    <mergeCell ref="AB54:AB68"/>
    <mergeCell ref="AC54:AC68"/>
    <mergeCell ref="AD54:AD68"/>
    <mergeCell ref="AE54:AE68"/>
    <mergeCell ref="U54:U55"/>
    <mergeCell ref="Y54:Y68"/>
    <mergeCell ref="D70:F130"/>
    <mergeCell ref="J71:J83"/>
    <mergeCell ref="K71:K83"/>
    <mergeCell ref="L71:L83"/>
    <mergeCell ref="M71:M83"/>
    <mergeCell ref="N71:N100"/>
    <mergeCell ref="J84:J85"/>
    <mergeCell ref="K84:K85"/>
    <mergeCell ref="L84:L85"/>
    <mergeCell ref="M84:M85"/>
    <mergeCell ref="J94:J96"/>
    <mergeCell ref="K94:K96"/>
    <mergeCell ref="L94:L96"/>
    <mergeCell ref="M94:M96"/>
    <mergeCell ref="J102:J103"/>
    <mergeCell ref="K102:K103"/>
    <mergeCell ref="L102:L103"/>
    <mergeCell ref="M102:M103"/>
    <mergeCell ref="N102:N111"/>
    <mergeCell ref="J113:J117"/>
    <mergeCell ref="K113:K117"/>
    <mergeCell ref="L113:L117"/>
    <mergeCell ref="M113:M117"/>
    <mergeCell ref="N113:N130"/>
    <mergeCell ref="AK71:AK100"/>
    <mergeCell ref="AL71:AL100"/>
    <mergeCell ref="AM71:AM100"/>
    <mergeCell ref="AN71:AN100"/>
    <mergeCell ref="AQ71:AQ100"/>
    <mergeCell ref="U74:U75"/>
    <mergeCell ref="U81:U82"/>
    <mergeCell ref="AE71:AE100"/>
    <mergeCell ref="AF71:AF100"/>
    <mergeCell ref="AG71:AG100"/>
    <mergeCell ref="AH71:AH100"/>
    <mergeCell ref="AI71:AI100"/>
    <mergeCell ref="AJ71:AJ100"/>
    <mergeCell ref="Y71:Y100"/>
    <mergeCell ref="Z71:Z100"/>
    <mergeCell ref="AA71:AA100"/>
    <mergeCell ref="AB71:AB100"/>
    <mergeCell ref="AC71:AC100"/>
    <mergeCell ref="AD71:AD100"/>
    <mergeCell ref="Q94:Q96"/>
    <mergeCell ref="U94:U95"/>
    <mergeCell ref="J86:J93"/>
    <mergeCell ref="K86:K93"/>
    <mergeCell ref="L86:L93"/>
    <mergeCell ref="M86:M93"/>
    <mergeCell ref="Q86:Q93"/>
    <mergeCell ref="U86:U87"/>
    <mergeCell ref="U88:U89"/>
    <mergeCell ref="O71:O100"/>
    <mergeCell ref="P71:P100"/>
    <mergeCell ref="Q71:Q83"/>
    <mergeCell ref="R71:R100"/>
    <mergeCell ref="S71:S100"/>
    <mergeCell ref="T71:T100"/>
    <mergeCell ref="Q84:Q85"/>
    <mergeCell ref="J97:J100"/>
    <mergeCell ref="K97:K100"/>
    <mergeCell ref="L97:L100"/>
    <mergeCell ref="M97:M100"/>
    <mergeCell ref="Q97:Q100"/>
    <mergeCell ref="AN102:AN111"/>
    <mergeCell ref="AQ102:AQ111"/>
    <mergeCell ref="J104:J108"/>
    <mergeCell ref="K104:K108"/>
    <mergeCell ref="L104:L108"/>
    <mergeCell ref="M104:M108"/>
    <mergeCell ref="Q104:Q108"/>
    <mergeCell ref="AE102:AE111"/>
    <mergeCell ref="AF102:AF111"/>
    <mergeCell ref="AG102:AG111"/>
    <mergeCell ref="AH102:AH111"/>
    <mergeCell ref="AI102:AI111"/>
    <mergeCell ref="AJ102:AJ111"/>
    <mergeCell ref="Y102:Y111"/>
    <mergeCell ref="Z102:Z111"/>
    <mergeCell ref="AA102:AA111"/>
    <mergeCell ref="AB102:AB111"/>
    <mergeCell ref="AC102:AC111"/>
    <mergeCell ref="AD102:AD111"/>
    <mergeCell ref="O102:O111"/>
    <mergeCell ref="P102:P111"/>
    <mergeCell ref="Q102:Q103"/>
    <mergeCell ref="R102:R111"/>
    <mergeCell ref="S102:S111"/>
    <mergeCell ref="U104:U105"/>
    <mergeCell ref="J109:J111"/>
    <mergeCell ref="K109:K111"/>
    <mergeCell ref="L109:L111"/>
    <mergeCell ref="M109:M111"/>
    <mergeCell ref="Q109:Q111"/>
    <mergeCell ref="AK102:AK111"/>
    <mergeCell ref="AL102:AL111"/>
    <mergeCell ref="AM102:AM111"/>
    <mergeCell ref="T102:T111"/>
    <mergeCell ref="O113:O130"/>
    <mergeCell ref="J118:J130"/>
    <mergeCell ref="K118:K130"/>
    <mergeCell ref="L118:L130"/>
    <mergeCell ref="M118:M130"/>
    <mergeCell ref="AA113:AA130"/>
    <mergeCell ref="AB113:AB130"/>
    <mergeCell ref="AC113:AC130"/>
    <mergeCell ref="AD113:AD130"/>
    <mergeCell ref="AE113:AE130"/>
    <mergeCell ref="P113:P130"/>
    <mergeCell ref="Q113:Q117"/>
    <mergeCell ref="R113:R130"/>
    <mergeCell ref="S113:S130"/>
    <mergeCell ref="T113:T130"/>
    <mergeCell ref="Y113:Y130"/>
    <mergeCell ref="Q118:Q130"/>
    <mergeCell ref="AR120:AR130"/>
    <mergeCell ref="U122:U123"/>
    <mergeCell ref="U127:U128"/>
    <mergeCell ref="U129:U130"/>
    <mergeCell ref="AQ113:AQ130"/>
    <mergeCell ref="D132:F167"/>
    <mergeCell ref="J133:J134"/>
    <mergeCell ref="K133:K134"/>
    <mergeCell ref="L133:L134"/>
    <mergeCell ref="M133:M134"/>
    <mergeCell ref="O133:O162"/>
    <mergeCell ref="AL113:AL130"/>
    <mergeCell ref="AM113:AM130"/>
    <mergeCell ref="AN113:AN130"/>
    <mergeCell ref="U114:U115"/>
    <mergeCell ref="U116:U117"/>
    <mergeCell ref="U119:U120"/>
    <mergeCell ref="AF113:AF130"/>
    <mergeCell ref="AG113:AG130"/>
    <mergeCell ref="AH113:AH130"/>
    <mergeCell ref="AI113:AI130"/>
    <mergeCell ref="AJ113:AJ130"/>
    <mergeCell ref="AK113:AK130"/>
    <mergeCell ref="Z113:Z130"/>
    <mergeCell ref="AK133:AK162"/>
    <mergeCell ref="AL133:AL162"/>
    <mergeCell ref="AM133:AM162"/>
    <mergeCell ref="AN133:AN162"/>
    <mergeCell ref="Q148:Q150"/>
    <mergeCell ref="AQ133:AQ162"/>
    <mergeCell ref="J135:J136"/>
    <mergeCell ref="K135:K136"/>
    <mergeCell ref="L135:L136"/>
    <mergeCell ref="M135:M136"/>
    <mergeCell ref="Q135:Q136"/>
    <mergeCell ref="AE133:AE162"/>
    <mergeCell ref="AF133:AF162"/>
    <mergeCell ref="AG133:AG162"/>
    <mergeCell ref="AH133:AH162"/>
    <mergeCell ref="AI133:AI162"/>
    <mergeCell ref="AJ133:AJ162"/>
    <mergeCell ref="Y133:Y162"/>
    <mergeCell ref="Z133:Z162"/>
    <mergeCell ref="AA133:AA162"/>
    <mergeCell ref="AB133:AB162"/>
    <mergeCell ref="AC133:AC162"/>
    <mergeCell ref="AD133:AD162"/>
    <mergeCell ref="P133:P162"/>
    <mergeCell ref="Q133:Q134"/>
    <mergeCell ref="J148:J150"/>
    <mergeCell ref="K148:K150"/>
    <mergeCell ref="L148:L150"/>
    <mergeCell ref="M148:M150"/>
    <mergeCell ref="U148:U150"/>
    <mergeCell ref="J137:J147"/>
    <mergeCell ref="K137:K147"/>
    <mergeCell ref="L137:L147"/>
    <mergeCell ref="M137:M147"/>
    <mergeCell ref="Q137:Q147"/>
    <mergeCell ref="U137:U138"/>
    <mergeCell ref="U139:U140"/>
    <mergeCell ref="U141:U142"/>
    <mergeCell ref="U143:U144"/>
    <mergeCell ref="U146:U147"/>
    <mergeCell ref="R133:R162"/>
    <mergeCell ref="S133:S162"/>
    <mergeCell ref="T133:T162"/>
    <mergeCell ref="U133:U134"/>
    <mergeCell ref="J151:J162"/>
    <mergeCell ref="K151:K162"/>
    <mergeCell ref="L151:L162"/>
    <mergeCell ref="M151:M162"/>
    <mergeCell ref="Q151:Q162"/>
    <mergeCell ref="U152:U153"/>
    <mergeCell ref="U154:U155"/>
    <mergeCell ref="U156:U157"/>
    <mergeCell ref="U158:U159"/>
    <mergeCell ref="U160:U161"/>
    <mergeCell ref="S164:S167"/>
    <mergeCell ref="T164:T167"/>
    <mergeCell ref="Y164:Y167"/>
    <mergeCell ref="J164:J165"/>
    <mergeCell ref="K164:K165"/>
    <mergeCell ref="L164:L165"/>
    <mergeCell ref="M164:M165"/>
    <mergeCell ref="N164:N167"/>
    <mergeCell ref="O164:O167"/>
    <mergeCell ref="AL164:AL167"/>
    <mergeCell ref="AM164:AM167"/>
    <mergeCell ref="AN164:AN167"/>
    <mergeCell ref="AQ164:AQ167"/>
    <mergeCell ref="J166:J167"/>
    <mergeCell ref="K166:K167"/>
    <mergeCell ref="L166:L167"/>
    <mergeCell ref="M166:M167"/>
    <mergeCell ref="Q166:Q167"/>
    <mergeCell ref="AF164:AF167"/>
    <mergeCell ref="AG164:AG167"/>
    <mergeCell ref="AH164:AH167"/>
    <mergeCell ref="AI164:AI167"/>
    <mergeCell ref="AJ164:AJ167"/>
    <mergeCell ref="AK164:AK167"/>
    <mergeCell ref="Z164:Z167"/>
    <mergeCell ref="AA164:AA167"/>
    <mergeCell ref="AB164:AB167"/>
    <mergeCell ref="AC164:AC167"/>
    <mergeCell ref="AD164:AD167"/>
    <mergeCell ref="AE164:AE167"/>
    <mergeCell ref="P164:P167"/>
    <mergeCell ref="Q164:Q165"/>
    <mergeCell ref="R164:R167"/>
    <mergeCell ref="D169:D196"/>
    <mergeCell ref="E169:E196"/>
    <mergeCell ref="F169:F196"/>
    <mergeCell ref="J170:J183"/>
    <mergeCell ref="K170:K183"/>
    <mergeCell ref="L170:L183"/>
    <mergeCell ref="J184:J188"/>
    <mergeCell ref="K184:K188"/>
    <mergeCell ref="L184:L188"/>
    <mergeCell ref="J190:J192"/>
    <mergeCell ref="K190:K192"/>
    <mergeCell ref="L190:L192"/>
    <mergeCell ref="AQ170:AQ196"/>
    <mergeCell ref="U172:U173"/>
    <mergeCell ref="U174:U175"/>
    <mergeCell ref="U176:U177"/>
    <mergeCell ref="U180:U181"/>
    <mergeCell ref="U182:U183"/>
    <mergeCell ref="AH170:AH196"/>
    <mergeCell ref="AI170:AI196"/>
    <mergeCell ref="AJ170:AJ196"/>
    <mergeCell ref="AK170:AK196"/>
    <mergeCell ref="AL170:AL196"/>
    <mergeCell ref="AM170:AM196"/>
    <mergeCell ref="AB170:AB196"/>
    <mergeCell ref="AC170:AC196"/>
    <mergeCell ref="AD170:AD196"/>
    <mergeCell ref="AE170:AE196"/>
    <mergeCell ref="AF170:AF196"/>
    <mergeCell ref="AG170:AG196"/>
    <mergeCell ref="U170:U171"/>
    <mergeCell ref="Y170:Y196"/>
    <mergeCell ref="Z170:Z196"/>
    <mergeCell ref="AA170:AA196"/>
    <mergeCell ref="M190:M192"/>
    <mergeCell ref="U190:U191"/>
    <mergeCell ref="J193:J196"/>
    <mergeCell ref="K193:K196"/>
    <mergeCell ref="L193:L196"/>
    <mergeCell ref="M193:M196"/>
    <mergeCell ref="AN170:AN196"/>
    <mergeCell ref="S170:S196"/>
    <mergeCell ref="T170:T196"/>
    <mergeCell ref="M170:M183"/>
    <mergeCell ref="N170:N196"/>
    <mergeCell ref="O170:O196"/>
    <mergeCell ref="P170:P196"/>
    <mergeCell ref="Q170:Q196"/>
    <mergeCell ref="R170:R196"/>
    <mergeCell ref="M184:M188"/>
    <mergeCell ref="O199:O202"/>
    <mergeCell ref="P199:P202"/>
    <mergeCell ref="Q199:Q202"/>
    <mergeCell ref="R199:R202"/>
    <mergeCell ref="S199:S202"/>
    <mergeCell ref="T199:T202"/>
    <mergeCell ref="D198:F210"/>
    <mergeCell ref="J199:J202"/>
    <mergeCell ref="K199:K202"/>
    <mergeCell ref="L199:L202"/>
    <mergeCell ref="M199:M202"/>
    <mergeCell ref="N199:N202"/>
    <mergeCell ref="S206:S210"/>
    <mergeCell ref="T206:T210"/>
    <mergeCell ref="AK199:AK202"/>
    <mergeCell ref="AL199:AL202"/>
    <mergeCell ref="AM199:AM202"/>
    <mergeCell ref="AN199:AN202"/>
    <mergeCell ref="AQ199:AQ202"/>
    <mergeCell ref="J206:J210"/>
    <mergeCell ref="K206:K210"/>
    <mergeCell ref="L206:L210"/>
    <mergeCell ref="M206:M210"/>
    <mergeCell ref="N206:N210"/>
    <mergeCell ref="AE199:AE202"/>
    <mergeCell ref="AF199:AF202"/>
    <mergeCell ref="AG199:AG202"/>
    <mergeCell ref="AH199:AH202"/>
    <mergeCell ref="AI199:AI202"/>
    <mergeCell ref="AJ199:AJ202"/>
    <mergeCell ref="Y199:Y202"/>
    <mergeCell ref="Z199:Z202"/>
    <mergeCell ref="AA199:AA202"/>
    <mergeCell ref="AB199:AB202"/>
    <mergeCell ref="AC199:AC202"/>
    <mergeCell ref="AD199:AD202"/>
    <mergeCell ref="AK206:AK210"/>
    <mergeCell ref="AL206:AL210"/>
    <mergeCell ref="AM206:AM210"/>
    <mergeCell ref="AN206:AN210"/>
    <mergeCell ref="AQ206:AQ210"/>
    <mergeCell ref="B211:C211"/>
    <mergeCell ref="D211:F211"/>
    <mergeCell ref="H211:I211"/>
    <mergeCell ref="AE206:AE210"/>
    <mergeCell ref="AF206:AF210"/>
    <mergeCell ref="AG206:AG210"/>
    <mergeCell ref="AH206:AH210"/>
    <mergeCell ref="AI206:AI210"/>
    <mergeCell ref="AJ206:AJ210"/>
    <mergeCell ref="Y206:Y210"/>
    <mergeCell ref="Z206:Z210"/>
    <mergeCell ref="AA206:AA210"/>
    <mergeCell ref="AB206:AB210"/>
    <mergeCell ref="AC206:AC210"/>
    <mergeCell ref="AD206:AD210"/>
    <mergeCell ref="O206:O210"/>
    <mergeCell ref="P206:P210"/>
    <mergeCell ref="Q206:Q210"/>
    <mergeCell ref="R206:R210"/>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0"/>
  <sheetViews>
    <sheetView showGridLines="0" zoomScale="70" zoomScaleNormal="70" workbookViewId="0">
      <selection sqref="A1:AO4"/>
    </sheetView>
  </sheetViews>
  <sheetFormatPr baseColWidth="10" defaultColWidth="11.42578125" defaultRowHeight="15" x14ac:dyDescent="0.2"/>
  <cols>
    <col min="1" max="1" width="16" style="1" customWidth="1"/>
    <col min="2" max="2" width="11.42578125" style="1" customWidth="1"/>
    <col min="3" max="3" width="10.7109375" style="1" customWidth="1"/>
    <col min="4" max="4" width="17.140625" style="1" customWidth="1"/>
    <col min="5" max="5" width="10.42578125" style="1" customWidth="1"/>
    <col min="6" max="6" width="10" style="1" customWidth="1"/>
    <col min="7" max="7" width="15.7109375" style="1" customWidth="1"/>
    <col min="8" max="8" width="11" style="1" customWidth="1"/>
    <col min="9" max="9" width="14.42578125" style="1" customWidth="1"/>
    <col min="10" max="10" width="15.85546875" style="1" customWidth="1"/>
    <col min="11" max="11" width="33.7109375" style="1975" customWidth="1"/>
    <col min="12" max="12" width="30" style="1975" customWidth="1"/>
    <col min="13" max="13" width="28.42578125" style="1" customWidth="1"/>
    <col min="14" max="14" width="30.42578125" style="1" customWidth="1"/>
    <col min="15" max="15" width="11.28515625" style="1" customWidth="1"/>
    <col min="16" max="16" width="26.140625" style="1975" customWidth="1"/>
    <col min="17" max="17" width="16.85546875" style="1" customWidth="1"/>
    <col min="18" max="18" width="27" style="361" customWidth="1"/>
    <col min="19" max="19" width="29.42578125" style="1975" customWidth="1"/>
    <col min="20" max="20" width="29" style="1975" customWidth="1"/>
    <col min="21" max="21" width="44" style="1975" customWidth="1"/>
    <col min="22" max="22" width="28.5703125" style="2400" customWidth="1"/>
    <col min="23" max="23" width="12.85546875" style="1" customWidth="1"/>
    <col min="24" max="24" width="31.28515625" style="1975" customWidth="1"/>
    <col min="25" max="39" width="12.5703125" style="1" customWidth="1"/>
    <col min="40" max="40" width="12" style="1" customWidth="1"/>
    <col min="41" max="41" width="22.28515625" style="20" customWidth="1"/>
    <col min="42" max="42" width="21" style="20" customWidth="1"/>
    <col min="43" max="43" width="29.42578125" style="1" customWidth="1"/>
    <col min="44" max="16384" width="11.42578125" style="1"/>
  </cols>
  <sheetData>
    <row r="1" spans="1:46" ht="20.25" customHeight="1" x14ac:dyDescent="0.2">
      <c r="A1" s="2976" t="s">
        <v>2551</v>
      </c>
      <c r="B1" s="2977"/>
      <c r="C1" s="2977"/>
      <c r="D1" s="2977"/>
      <c r="E1" s="2977"/>
      <c r="F1" s="2977"/>
      <c r="G1" s="2977"/>
      <c r="H1" s="2977"/>
      <c r="I1" s="2977"/>
      <c r="J1" s="2977"/>
      <c r="K1" s="2977"/>
      <c r="L1" s="2977"/>
      <c r="M1" s="2977"/>
      <c r="N1" s="2977"/>
      <c r="O1" s="2977"/>
      <c r="P1" s="2977"/>
      <c r="Q1" s="2977"/>
      <c r="R1" s="2977"/>
      <c r="S1" s="2977"/>
      <c r="T1" s="2977"/>
      <c r="U1" s="2977"/>
      <c r="V1" s="2977"/>
      <c r="W1" s="2977"/>
      <c r="X1" s="2977"/>
      <c r="Y1" s="2977"/>
      <c r="Z1" s="2977"/>
      <c r="AA1" s="2977"/>
      <c r="AB1" s="2977"/>
      <c r="AC1" s="2977"/>
      <c r="AD1" s="2977"/>
      <c r="AE1" s="2977"/>
      <c r="AF1" s="2977"/>
      <c r="AG1" s="2977"/>
      <c r="AH1" s="2977"/>
      <c r="AI1" s="2977"/>
      <c r="AJ1" s="2977"/>
      <c r="AK1" s="2977"/>
      <c r="AL1" s="2977"/>
      <c r="AM1" s="2977"/>
      <c r="AN1" s="2977"/>
      <c r="AO1" s="3454"/>
      <c r="AP1" s="244" t="s">
        <v>0</v>
      </c>
      <c r="AQ1" s="245" t="s">
        <v>1</v>
      </c>
    </row>
    <row r="2" spans="1:46" ht="18.75" customHeight="1" x14ac:dyDescent="0.2">
      <c r="A2" s="2978"/>
      <c r="B2" s="2923"/>
      <c r="C2" s="2923"/>
      <c r="D2" s="2923"/>
      <c r="E2" s="2923"/>
      <c r="F2" s="2923"/>
      <c r="G2" s="2923"/>
      <c r="H2" s="2923"/>
      <c r="I2" s="2923"/>
      <c r="J2" s="2923"/>
      <c r="K2" s="2923"/>
      <c r="L2" s="2923"/>
      <c r="M2" s="2923"/>
      <c r="N2" s="2923"/>
      <c r="O2" s="2923"/>
      <c r="P2" s="2923"/>
      <c r="Q2" s="2923"/>
      <c r="R2" s="2923"/>
      <c r="S2" s="2923"/>
      <c r="T2" s="2923"/>
      <c r="U2" s="2923"/>
      <c r="V2" s="2923"/>
      <c r="W2" s="2923"/>
      <c r="X2" s="2923"/>
      <c r="Y2" s="2923"/>
      <c r="Z2" s="2923"/>
      <c r="AA2" s="2923"/>
      <c r="AB2" s="2923"/>
      <c r="AC2" s="2923"/>
      <c r="AD2" s="2923"/>
      <c r="AE2" s="2923"/>
      <c r="AF2" s="2923"/>
      <c r="AG2" s="2923"/>
      <c r="AH2" s="2923"/>
      <c r="AI2" s="2923"/>
      <c r="AJ2" s="2923"/>
      <c r="AK2" s="2923"/>
      <c r="AL2" s="2923"/>
      <c r="AM2" s="2923"/>
      <c r="AN2" s="2923"/>
      <c r="AO2" s="3455"/>
      <c r="AP2" s="125" t="s">
        <v>2</v>
      </c>
      <c r="AQ2" s="2359">
        <v>6</v>
      </c>
    </row>
    <row r="3" spans="1:46" ht="16.5" customHeight="1" x14ac:dyDescent="0.2">
      <c r="A3" s="2978"/>
      <c r="B3" s="2923"/>
      <c r="C3" s="2923"/>
      <c r="D3" s="2923"/>
      <c r="E3" s="2923"/>
      <c r="F3" s="2923"/>
      <c r="G3" s="2923"/>
      <c r="H3" s="2923"/>
      <c r="I3" s="2923"/>
      <c r="J3" s="2923"/>
      <c r="K3" s="2923"/>
      <c r="L3" s="2923"/>
      <c r="M3" s="2923"/>
      <c r="N3" s="2923"/>
      <c r="O3" s="2923"/>
      <c r="P3" s="2923"/>
      <c r="Q3" s="2923"/>
      <c r="R3" s="2923"/>
      <c r="S3" s="2923"/>
      <c r="T3" s="2923"/>
      <c r="U3" s="2923"/>
      <c r="V3" s="2923"/>
      <c r="W3" s="2923"/>
      <c r="X3" s="2923"/>
      <c r="Y3" s="2923"/>
      <c r="Z3" s="2923"/>
      <c r="AA3" s="2923"/>
      <c r="AB3" s="2923"/>
      <c r="AC3" s="2923"/>
      <c r="AD3" s="2923"/>
      <c r="AE3" s="2923"/>
      <c r="AF3" s="2923"/>
      <c r="AG3" s="2923"/>
      <c r="AH3" s="2923"/>
      <c r="AI3" s="2923"/>
      <c r="AJ3" s="2923"/>
      <c r="AK3" s="2923"/>
      <c r="AL3" s="2923"/>
      <c r="AM3" s="2923"/>
      <c r="AN3" s="2923"/>
      <c r="AO3" s="3455"/>
      <c r="AP3" s="4" t="s">
        <v>4</v>
      </c>
      <c r="AQ3" s="2360" t="s">
        <v>5</v>
      </c>
    </row>
    <row r="4" spans="1:46" s="6" customFormat="1" ht="24" customHeight="1" x14ac:dyDescent="0.2">
      <c r="A4" s="2979"/>
      <c r="B4" s="2924"/>
      <c r="C4" s="2924"/>
      <c r="D4" s="2924"/>
      <c r="E4" s="2924"/>
      <c r="F4" s="2924"/>
      <c r="G4" s="2924"/>
      <c r="H4" s="2924"/>
      <c r="I4" s="2924"/>
      <c r="J4" s="2924"/>
      <c r="K4" s="2924"/>
      <c r="L4" s="2924"/>
      <c r="M4" s="2924"/>
      <c r="N4" s="2924"/>
      <c r="O4" s="2924"/>
      <c r="P4" s="2924"/>
      <c r="Q4" s="2924"/>
      <c r="R4" s="2924"/>
      <c r="S4" s="2924"/>
      <c r="T4" s="2924"/>
      <c r="U4" s="2924"/>
      <c r="V4" s="2924"/>
      <c r="W4" s="2924"/>
      <c r="X4" s="2924"/>
      <c r="Y4" s="2924"/>
      <c r="Z4" s="2924"/>
      <c r="AA4" s="2924"/>
      <c r="AB4" s="2924"/>
      <c r="AC4" s="2924"/>
      <c r="AD4" s="2924"/>
      <c r="AE4" s="2924"/>
      <c r="AF4" s="2924"/>
      <c r="AG4" s="2924"/>
      <c r="AH4" s="2924"/>
      <c r="AI4" s="2924"/>
      <c r="AJ4" s="2924"/>
      <c r="AK4" s="2924"/>
      <c r="AL4" s="2924"/>
      <c r="AM4" s="2924"/>
      <c r="AN4" s="2924"/>
      <c r="AO4" s="3456"/>
      <c r="AP4" s="4" t="s">
        <v>6</v>
      </c>
      <c r="AQ4" s="5" t="s">
        <v>162</v>
      </c>
    </row>
    <row r="5" spans="1:46" ht="32.25" customHeight="1" x14ac:dyDescent="0.2">
      <c r="A5" s="3457" t="s">
        <v>8</v>
      </c>
      <c r="B5" s="2926"/>
      <c r="C5" s="2926"/>
      <c r="D5" s="2926"/>
      <c r="E5" s="2926"/>
      <c r="F5" s="2926"/>
      <c r="G5" s="2926"/>
      <c r="H5" s="2926"/>
      <c r="I5" s="2926"/>
      <c r="J5" s="2926"/>
      <c r="K5" s="2926"/>
      <c r="L5" s="2926"/>
      <c r="M5" s="2926"/>
      <c r="N5" s="1973"/>
      <c r="O5" s="1973"/>
      <c r="P5" s="2926" t="s">
        <v>9</v>
      </c>
      <c r="Q5" s="2926"/>
      <c r="R5" s="2926"/>
      <c r="S5" s="2926"/>
      <c r="T5" s="2926"/>
      <c r="U5" s="2926"/>
      <c r="V5" s="2926"/>
      <c r="W5" s="2926"/>
      <c r="X5" s="2926"/>
      <c r="Y5" s="2926"/>
      <c r="Z5" s="2926"/>
      <c r="AA5" s="2926"/>
      <c r="AB5" s="2926"/>
      <c r="AC5" s="2926"/>
      <c r="AD5" s="2926"/>
      <c r="AE5" s="2926"/>
      <c r="AF5" s="2926"/>
      <c r="AG5" s="2926"/>
      <c r="AH5" s="2926"/>
      <c r="AI5" s="2926"/>
      <c r="AJ5" s="2926"/>
      <c r="AK5" s="2926"/>
      <c r="AL5" s="2926"/>
      <c r="AM5" s="2926"/>
      <c r="AN5" s="2926"/>
      <c r="AO5" s="2926"/>
      <c r="AP5" s="2926"/>
      <c r="AQ5" s="2983"/>
    </row>
    <row r="6" spans="1:46" ht="24" customHeight="1" x14ac:dyDescent="0.2">
      <c r="A6" s="3457"/>
      <c r="B6" s="2926"/>
      <c r="C6" s="2926"/>
      <c r="D6" s="2926"/>
      <c r="E6" s="2926"/>
      <c r="F6" s="2926"/>
      <c r="G6" s="2926"/>
      <c r="H6" s="2926"/>
      <c r="I6" s="2926"/>
      <c r="J6" s="2926"/>
      <c r="K6" s="2926"/>
      <c r="L6" s="2926"/>
      <c r="M6" s="2926"/>
      <c r="N6" s="1973"/>
      <c r="O6" s="2005"/>
      <c r="P6" s="3458"/>
      <c r="Q6" s="3459"/>
      <c r="R6" s="3459"/>
      <c r="S6" s="3459"/>
      <c r="T6" s="3459"/>
      <c r="U6" s="3459"/>
      <c r="V6" s="3459"/>
      <c r="W6" s="3459"/>
      <c r="X6" s="3460"/>
      <c r="Y6" s="2006"/>
      <c r="Z6" s="2006"/>
      <c r="AA6" s="2006"/>
      <c r="AB6" s="2006"/>
      <c r="AC6" s="2006"/>
      <c r="AD6" s="2006"/>
      <c r="AE6" s="2006"/>
      <c r="AF6" s="2006"/>
      <c r="AG6" s="2006"/>
      <c r="AH6" s="2006"/>
      <c r="AI6" s="2006"/>
      <c r="AJ6" s="2006"/>
      <c r="AK6" s="2006"/>
      <c r="AL6" s="2006"/>
      <c r="AM6" s="2006"/>
      <c r="AN6" s="2006"/>
      <c r="AO6" s="3458"/>
      <c r="AP6" s="3459"/>
      <c r="AQ6" s="3461"/>
    </row>
    <row r="7" spans="1:46" s="334" customFormat="1" ht="33.75" customHeight="1" x14ac:dyDescent="0.25">
      <c r="A7" s="2986" t="s">
        <v>11</v>
      </c>
      <c r="B7" s="2930" t="s">
        <v>12</v>
      </c>
      <c r="C7" s="3462"/>
      <c r="D7" s="3364" t="s">
        <v>11</v>
      </c>
      <c r="E7" s="3364" t="s">
        <v>13</v>
      </c>
      <c r="F7" s="3364"/>
      <c r="G7" s="3364" t="s">
        <v>11</v>
      </c>
      <c r="H7" s="3364" t="s">
        <v>14</v>
      </c>
      <c r="I7" s="3364"/>
      <c r="J7" s="3364" t="s">
        <v>11</v>
      </c>
      <c r="K7" s="3364" t="s">
        <v>15</v>
      </c>
      <c r="L7" s="3364" t="s">
        <v>16</v>
      </c>
      <c r="M7" s="3364" t="s">
        <v>17</v>
      </c>
      <c r="N7" s="3364" t="s">
        <v>18</v>
      </c>
      <c r="O7" s="3364" t="s">
        <v>19</v>
      </c>
      <c r="P7" s="3364" t="s">
        <v>9</v>
      </c>
      <c r="Q7" s="3452" t="s">
        <v>20</v>
      </c>
      <c r="R7" s="3453" t="s">
        <v>21</v>
      </c>
      <c r="S7" s="3364" t="s">
        <v>22</v>
      </c>
      <c r="T7" s="3364" t="s">
        <v>23</v>
      </c>
      <c r="U7" s="3364" t="s">
        <v>24</v>
      </c>
      <c r="V7" s="3450" t="s">
        <v>21</v>
      </c>
      <c r="W7" s="3367" t="s">
        <v>11</v>
      </c>
      <c r="X7" s="3364" t="s">
        <v>25</v>
      </c>
      <c r="Y7" s="2942" t="s">
        <v>26</v>
      </c>
      <c r="Z7" s="2943"/>
      <c r="AA7" s="2944" t="s">
        <v>27</v>
      </c>
      <c r="AB7" s="2945"/>
      <c r="AC7" s="2945"/>
      <c r="AD7" s="2945"/>
      <c r="AE7" s="2946" t="s">
        <v>28</v>
      </c>
      <c r="AF7" s="2947"/>
      <c r="AG7" s="2947"/>
      <c r="AH7" s="2947"/>
      <c r="AI7" s="2947"/>
      <c r="AJ7" s="2947"/>
      <c r="AK7" s="2944" t="s">
        <v>29</v>
      </c>
      <c r="AL7" s="2945"/>
      <c r="AM7" s="2945"/>
      <c r="AN7" s="2988" t="s">
        <v>30</v>
      </c>
      <c r="AO7" s="3448" t="s">
        <v>31</v>
      </c>
      <c r="AP7" s="3448" t="s">
        <v>32</v>
      </c>
      <c r="AQ7" s="3378" t="s">
        <v>33</v>
      </c>
    </row>
    <row r="8" spans="1:46" s="334" customFormat="1" ht="153.75" customHeight="1" x14ac:dyDescent="0.25">
      <c r="A8" s="2987"/>
      <c r="B8" s="2932"/>
      <c r="C8" s="3463"/>
      <c r="D8" s="3364"/>
      <c r="E8" s="3364"/>
      <c r="F8" s="3364"/>
      <c r="G8" s="3364"/>
      <c r="H8" s="3364"/>
      <c r="I8" s="3364"/>
      <c r="J8" s="3364"/>
      <c r="K8" s="3364"/>
      <c r="L8" s="3364"/>
      <c r="M8" s="3364"/>
      <c r="N8" s="3364"/>
      <c r="O8" s="3364"/>
      <c r="P8" s="3364"/>
      <c r="Q8" s="3452"/>
      <c r="R8" s="3453"/>
      <c r="S8" s="3364"/>
      <c r="T8" s="3364"/>
      <c r="U8" s="3364"/>
      <c r="V8" s="3451"/>
      <c r="W8" s="3367"/>
      <c r="X8" s="3364"/>
      <c r="Y8" s="335" t="s">
        <v>34</v>
      </c>
      <c r="Z8" s="336" t="s">
        <v>1440</v>
      </c>
      <c r="AA8" s="337" t="s">
        <v>36</v>
      </c>
      <c r="AB8" s="337" t="s">
        <v>121</v>
      </c>
      <c r="AC8" s="337" t="s">
        <v>122</v>
      </c>
      <c r="AD8" s="337" t="s">
        <v>123</v>
      </c>
      <c r="AE8" s="338" t="s">
        <v>40</v>
      </c>
      <c r="AF8" s="339" t="s">
        <v>41</v>
      </c>
      <c r="AG8" s="338" t="s">
        <v>42</v>
      </c>
      <c r="AH8" s="339" t="s">
        <v>43</v>
      </c>
      <c r="AI8" s="338" t="s">
        <v>1441</v>
      </c>
      <c r="AJ8" s="338" t="s">
        <v>45</v>
      </c>
      <c r="AK8" s="337" t="s">
        <v>46</v>
      </c>
      <c r="AL8" s="337" t="s">
        <v>47</v>
      </c>
      <c r="AM8" s="337" t="s">
        <v>1442</v>
      </c>
      <c r="AN8" s="2989"/>
      <c r="AO8" s="3449"/>
      <c r="AP8" s="3449"/>
      <c r="AQ8" s="3378"/>
    </row>
    <row r="9" spans="1:46" s="23" customFormat="1" ht="15" customHeight="1" x14ac:dyDescent="0.25">
      <c r="A9" s="340">
        <v>3</v>
      </c>
      <c r="B9" s="3436" t="s">
        <v>1443</v>
      </c>
      <c r="C9" s="3437"/>
      <c r="D9" s="3437"/>
      <c r="E9" s="276"/>
      <c r="F9" s="276"/>
      <c r="G9" s="276"/>
      <c r="H9" s="276"/>
      <c r="I9" s="276"/>
      <c r="J9" s="276"/>
      <c r="K9" s="341"/>
      <c r="L9" s="341"/>
      <c r="M9" s="276"/>
      <c r="N9" s="276"/>
      <c r="O9" s="276"/>
      <c r="P9" s="341"/>
      <c r="Q9" s="276"/>
      <c r="R9" s="342"/>
      <c r="S9" s="341"/>
      <c r="T9" s="341"/>
      <c r="U9" s="341"/>
      <c r="V9" s="2361"/>
      <c r="W9" s="343"/>
      <c r="X9" s="341"/>
      <c r="Y9" s="276"/>
      <c r="Z9" s="276"/>
      <c r="AA9" s="276"/>
      <c r="AB9" s="276"/>
      <c r="AC9" s="276"/>
      <c r="AD9" s="276"/>
      <c r="AE9" s="276"/>
      <c r="AF9" s="276"/>
      <c r="AG9" s="276"/>
      <c r="AH9" s="276"/>
      <c r="AI9" s="276"/>
      <c r="AJ9" s="276"/>
      <c r="AK9" s="276"/>
      <c r="AL9" s="276"/>
      <c r="AM9" s="276"/>
      <c r="AN9" s="276"/>
      <c r="AO9" s="3438"/>
      <c r="AP9" s="3438"/>
      <c r="AQ9" s="3439"/>
    </row>
    <row r="10" spans="1:46" s="23" customFormat="1" ht="15" customHeight="1" x14ac:dyDescent="0.25">
      <c r="A10" s="344"/>
      <c r="B10" s="2029"/>
      <c r="C10" s="345"/>
      <c r="D10" s="346">
        <v>9</v>
      </c>
      <c r="E10" s="3440" t="s">
        <v>1444</v>
      </c>
      <c r="F10" s="3441"/>
      <c r="G10" s="3441"/>
      <c r="H10" s="3441"/>
      <c r="I10" s="3441"/>
      <c r="J10" s="3441"/>
      <c r="K10" s="3441"/>
      <c r="L10" s="347"/>
      <c r="M10" s="348"/>
      <c r="N10" s="348"/>
      <c r="O10" s="348"/>
      <c r="P10" s="347"/>
      <c r="Q10" s="348"/>
      <c r="R10" s="349"/>
      <c r="S10" s="347"/>
      <c r="T10" s="347"/>
      <c r="U10" s="347"/>
      <c r="V10" s="2362"/>
      <c r="W10" s="350"/>
      <c r="X10" s="347"/>
      <c r="Y10" s="348"/>
      <c r="Z10" s="348"/>
      <c r="AA10" s="348"/>
      <c r="AB10" s="348"/>
      <c r="AC10" s="348"/>
      <c r="AD10" s="348"/>
      <c r="AE10" s="348"/>
      <c r="AF10" s="348"/>
      <c r="AG10" s="348"/>
      <c r="AH10" s="348"/>
      <c r="AI10" s="348"/>
      <c r="AJ10" s="348"/>
      <c r="AK10" s="348"/>
      <c r="AL10" s="348"/>
      <c r="AM10" s="348"/>
      <c r="AN10" s="348"/>
      <c r="AO10" s="3442"/>
      <c r="AP10" s="3442"/>
      <c r="AQ10" s="3443"/>
    </row>
    <row r="11" spans="1:46" ht="15" customHeight="1" x14ac:dyDescent="0.2">
      <c r="A11" s="351"/>
      <c r="B11" s="1982"/>
      <c r="C11" s="2021"/>
      <c r="D11" s="1985"/>
      <c r="E11" s="352"/>
      <c r="F11" s="323"/>
      <c r="G11" s="262">
        <v>29</v>
      </c>
      <c r="H11" s="3444" t="s">
        <v>1445</v>
      </c>
      <c r="I11" s="3445"/>
      <c r="J11" s="3445"/>
      <c r="K11" s="3445"/>
      <c r="L11" s="353"/>
      <c r="M11" s="354"/>
      <c r="N11" s="354"/>
      <c r="O11" s="354"/>
      <c r="P11" s="353"/>
      <c r="Q11" s="354"/>
      <c r="R11" s="355"/>
      <c r="S11" s="353"/>
      <c r="T11" s="353"/>
      <c r="U11" s="353"/>
      <c r="V11" s="2363"/>
      <c r="W11" s="356"/>
      <c r="X11" s="353"/>
      <c r="Y11" s="354"/>
      <c r="Z11" s="354"/>
      <c r="AA11" s="354"/>
      <c r="AB11" s="354"/>
      <c r="AC11" s="354"/>
      <c r="AD11" s="354"/>
      <c r="AE11" s="354"/>
      <c r="AF11" s="354"/>
      <c r="AG11" s="354"/>
      <c r="AH11" s="354"/>
      <c r="AI11" s="354"/>
      <c r="AJ11" s="354"/>
      <c r="AK11" s="354"/>
      <c r="AL11" s="354"/>
      <c r="AM11" s="354"/>
      <c r="AN11" s="354"/>
      <c r="AO11" s="3446"/>
      <c r="AP11" s="3446"/>
      <c r="AQ11" s="3447"/>
    </row>
    <row r="12" spans="1:46" s="369" customFormat="1" ht="80.25" customHeight="1" x14ac:dyDescent="0.2">
      <c r="A12" s="741"/>
      <c r="B12" s="951"/>
      <c r="C12" s="952"/>
      <c r="D12" s="741"/>
      <c r="E12" s="951"/>
      <c r="F12" s="952"/>
      <c r="G12" s="3398"/>
      <c r="H12" s="3421"/>
      <c r="I12" s="3422"/>
      <c r="J12" s="3391">
        <v>114</v>
      </c>
      <c r="K12" s="3402" t="s">
        <v>1446</v>
      </c>
      <c r="L12" s="3402" t="s">
        <v>1447</v>
      </c>
      <c r="M12" s="3393">
        <v>30</v>
      </c>
      <c r="N12" s="3402" t="s">
        <v>1448</v>
      </c>
      <c r="O12" s="3398">
        <v>45</v>
      </c>
      <c r="P12" s="3402" t="s">
        <v>1449</v>
      </c>
      <c r="Q12" s="3430">
        <f>SUM(V12:V14)/R12</f>
        <v>1</v>
      </c>
      <c r="R12" s="3408">
        <f>SUM(V12:V14)</f>
        <v>1249277717</v>
      </c>
      <c r="S12" s="3402" t="s">
        <v>1450</v>
      </c>
      <c r="T12" s="3402" t="s">
        <v>1451</v>
      </c>
      <c r="U12" s="3402" t="s">
        <v>1452</v>
      </c>
      <c r="V12" s="2364">
        <v>172896381</v>
      </c>
      <c r="W12" s="1039">
        <v>33</v>
      </c>
      <c r="X12" s="2001" t="s">
        <v>1453</v>
      </c>
      <c r="Y12" s="3398">
        <v>26</v>
      </c>
      <c r="Z12" s="3398">
        <v>26</v>
      </c>
      <c r="AA12" s="3383">
        <v>0</v>
      </c>
      <c r="AB12" s="3383">
        <v>0</v>
      </c>
      <c r="AC12" s="3383">
        <v>52</v>
      </c>
      <c r="AD12" s="3383">
        <v>0</v>
      </c>
      <c r="AE12" s="3383">
        <v>0</v>
      </c>
      <c r="AF12" s="3383">
        <v>0</v>
      </c>
      <c r="AG12" s="3383">
        <v>0</v>
      </c>
      <c r="AH12" s="3383">
        <v>0</v>
      </c>
      <c r="AI12" s="3383">
        <v>0</v>
      </c>
      <c r="AJ12" s="3383">
        <v>0</v>
      </c>
      <c r="AK12" s="3383">
        <v>0</v>
      </c>
      <c r="AL12" s="3383">
        <v>0</v>
      </c>
      <c r="AM12" s="3383">
        <v>0</v>
      </c>
      <c r="AN12" s="3383">
        <f>Y12+Z12</f>
        <v>52</v>
      </c>
      <c r="AO12" s="3385">
        <v>43466</v>
      </c>
      <c r="AP12" s="3385">
        <v>43830</v>
      </c>
      <c r="AQ12" s="3387" t="s">
        <v>1454</v>
      </c>
    </row>
    <row r="13" spans="1:46" s="369" customFormat="1" ht="48.75" customHeight="1" x14ac:dyDescent="0.25">
      <c r="A13" s="741"/>
      <c r="B13" s="951"/>
      <c r="C13" s="952"/>
      <c r="D13" s="741"/>
      <c r="E13" s="951"/>
      <c r="F13" s="952"/>
      <c r="G13" s="3399"/>
      <c r="H13" s="3419"/>
      <c r="I13" s="3420"/>
      <c r="J13" s="3392"/>
      <c r="K13" s="3406"/>
      <c r="L13" s="3406"/>
      <c r="M13" s="3394"/>
      <c r="N13" s="3406"/>
      <c r="O13" s="3399"/>
      <c r="P13" s="3406"/>
      <c r="Q13" s="3431"/>
      <c r="R13" s="3409"/>
      <c r="S13" s="3406"/>
      <c r="T13" s="3406"/>
      <c r="U13" s="3406"/>
      <c r="V13" s="2364">
        <v>1075686973</v>
      </c>
      <c r="W13" s="1039">
        <v>83</v>
      </c>
      <c r="X13" s="2001" t="s">
        <v>1455</v>
      </c>
      <c r="Y13" s="3399"/>
      <c r="Z13" s="3399"/>
      <c r="AA13" s="3384"/>
      <c r="AB13" s="3384"/>
      <c r="AC13" s="3384"/>
      <c r="AD13" s="3384"/>
      <c r="AE13" s="3384"/>
      <c r="AF13" s="3384"/>
      <c r="AG13" s="3384"/>
      <c r="AH13" s="3384"/>
      <c r="AI13" s="3384"/>
      <c r="AJ13" s="3384"/>
      <c r="AK13" s="3384"/>
      <c r="AL13" s="3384"/>
      <c r="AM13" s="3384"/>
      <c r="AN13" s="3384"/>
      <c r="AO13" s="3386"/>
      <c r="AP13" s="3386"/>
      <c r="AQ13" s="3388"/>
      <c r="AR13" s="1690"/>
      <c r="AS13" s="1690"/>
      <c r="AT13" s="1690"/>
    </row>
    <row r="14" spans="1:46" s="369" customFormat="1" ht="63" customHeight="1" x14ac:dyDescent="0.25">
      <c r="A14" s="741"/>
      <c r="B14" s="951"/>
      <c r="C14" s="952"/>
      <c r="D14" s="741"/>
      <c r="E14" s="951"/>
      <c r="F14" s="952"/>
      <c r="G14" s="3399"/>
      <c r="H14" s="3419"/>
      <c r="I14" s="3420"/>
      <c r="J14" s="3425"/>
      <c r="K14" s="3403"/>
      <c r="L14" s="3403"/>
      <c r="M14" s="3411"/>
      <c r="N14" s="3403"/>
      <c r="O14" s="3412"/>
      <c r="P14" s="3403"/>
      <c r="Q14" s="3432"/>
      <c r="R14" s="3410"/>
      <c r="S14" s="3403"/>
      <c r="T14" s="3414"/>
      <c r="U14" s="1145" t="s">
        <v>1456</v>
      </c>
      <c r="V14" s="2365">
        <f>694363</f>
        <v>694363</v>
      </c>
      <c r="W14" s="1039">
        <v>33</v>
      </c>
      <c r="X14" s="2001" t="s">
        <v>1453</v>
      </c>
      <c r="Y14" s="3412"/>
      <c r="Z14" s="3412"/>
      <c r="AA14" s="3404"/>
      <c r="AB14" s="3404"/>
      <c r="AC14" s="3404"/>
      <c r="AD14" s="3404"/>
      <c r="AE14" s="3404"/>
      <c r="AF14" s="3404"/>
      <c r="AG14" s="3404"/>
      <c r="AH14" s="3404"/>
      <c r="AI14" s="3404"/>
      <c r="AJ14" s="3404"/>
      <c r="AK14" s="3404"/>
      <c r="AL14" s="3404"/>
      <c r="AM14" s="3404"/>
      <c r="AN14" s="3404"/>
      <c r="AO14" s="3405"/>
      <c r="AP14" s="3405"/>
      <c r="AQ14" s="3401"/>
      <c r="AR14" s="1690"/>
      <c r="AS14" s="1690"/>
      <c r="AT14" s="1690"/>
    </row>
    <row r="15" spans="1:46" s="369" customFormat="1" ht="39" customHeight="1" x14ac:dyDescent="0.25">
      <c r="A15" s="741"/>
      <c r="B15" s="951"/>
      <c r="C15" s="952"/>
      <c r="D15" s="741"/>
      <c r="E15" s="951"/>
      <c r="F15" s="952"/>
      <c r="G15" s="3399"/>
      <c r="H15" s="3419"/>
      <c r="I15" s="3420"/>
      <c r="J15" s="3391">
        <v>114</v>
      </c>
      <c r="K15" s="2899" t="s">
        <v>1457</v>
      </c>
      <c r="L15" s="3402" t="s">
        <v>1458</v>
      </c>
      <c r="M15" s="3393">
        <v>30</v>
      </c>
      <c r="N15" s="3402" t="s">
        <v>1459</v>
      </c>
      <c r="O15" s="3398">
        <v>46</v>
      </c>
      <c r="P15" s="3402" t="s">
        <v>1460</v>
      </c>
      <c r="Q15" s="3430">
        <f>SUM(V15:V18)/R15</f>
        <v>0.46737569540763191</v>
      </c>
      <c r="R15" s="3383">
        <f>SUM(V15:V26)</f>
        <v>3213783215</v>
      </c>
      <c r="S15" s="3402" t="s">
        <v>1461</v>
      </c>
      <c r="T15" s="3434" t="s">
        <v>1462</v>
      </c>
      <c r="U15" s="2045" t="s">
        <v>1463</v>
      </c>
      <c r="V15" s="2366">
        <f>543106000-185044900-1199868-25208999</f>
        <v>331652233</v>
      </c>
      <c r="W15" s="2033">
        <v>20</v>
      </c>
      <c r="X15" s="2001" t="s">
        <v>61</v>
      </c>
      <c r="Y15" s="3398">
        <v>85275</v>
      </c>
      <c r="Z15" s="3398">
        <v>85275</v>
      </c>
      <c r="AA15" s="3383">
        <v>25580</v>
      </c>
      <c r="AB15" s="3383">
        <v>42638</v>
      </c>
      <c r="AC15" s="3383">
        <v>68221</v>
      </c>
      <c r="AD15" s="3383">
        <v>17055</v>
      </c>
      <c r="AE15" s="3383">
        <v>8528</v>
      </c>
      <c r="AF15" s="3383">
        <v>8527.5</v>
      </c>
      <c r="AG15" s="3383">
        <v>0</v>
      </c>
      <c r="AH15" s="3383">
        <v>0</v>
      </c>
      <c r="AI15" s="3383">
        <v>0</v>
      </c>
      <c r="AJ15" s="3383">
        <v>0</v>
      </c>
      <c r="AK15" s="1998"/>
      <c r="AL15" s="1998"/>
      <c r="AM15" s="1998"/>
      <c r="AN15" s="3383">
        <f>Y15+Z15</f>
        <v>170550</v>
      </c>
      <c r="AO15" s="3385">
        <v>43466</v>
      </c>
      <c r="AP15" s="3385">
        <v>43830</v>
      </c>
      <c r="AQ15" s="3383" t="s">
        <v>1464</v>
      </c>
      <c r="AR15" s="1690"/>
      <c r="AS15" s="1690"/>
      <c r="AT15" s="1690"/>
    </row>
    <row r="16" spans="1:46" s="369" customFormat="1" ht="27" customHeight="1" x14ac:dyDescent="0.25">
      <c r="A16" s="741"/>
      <c r="B16" s="951"/>
      <c r="C16" s="952"/>
      <c r="D16" s="741"/>
      <c r="E16" s="951"/>
      <c r="F16" s="952"/>
      <c r="G16" s="3399"/>
      <c r="H16" s="3419"/>
      <c r="I16" s="3420"/>
      <c r="J16" s="3392"/>
      <c r="K16" s="3397"/>
      <c r="L16" s="3406"/>
      <c r="M16" s="3394"/>
      <c r="N16" s="3406"/>
      <c r="O16" s="3399"/>
      <c r="P16" s="3406"/>
      <c r="Q16" s="3431"/>
      <c r="R16" s="3384"/>
      <c r="S16" s="3406"/>
      <c r="T16" s="3397"/>
      <c r="U16" s="3406" t="s">
        <v>1465</v>
      </c>
      <c r="V16" s="2367">
        <v>677784599</v>
      </c>
      <c r="W16" s="1144">
        <v>20</v>
      </c>
      <c r="X16" s="2045" t="s">
        <v>2552</v>
      </c>
      <c r="Y16" s="3400"/>
      <c r="Z16" s="3399"/>
      <c r="AA16" s="3384"/>
      <c r="AB16" s="3384"/>
      <c r="AC16" s="3384"/>
      <c r="AD16" s="3384"/>
      <c r="AE16" s="3384"/>
      <c r="AF16" s="3384"/>
      <c r="AG16" s="3384"/>
      <c r="AH16" s="3384"/>
      <c r="AI16" s="3384"/>
      <c r="AJ16" s="3384"/>
      <c r="AK16" s="1999"/>
      <c r="AL16" s="1999"/>
      <c r="AM16" s="1999"/>
      <c r="AN16" s="3384"/>
      <c r="AO16" s="3386"/>
      <c r="AP16" s="3386"/>
      <c r="AQ16" s="3384"/>
      <c r="AR16" s="1690"/>
      <c r="AS16" s="1690"/>
      <c r="AT16" s="1690"/>
    </row>
    <row r="17" spans="1:46" s="369" customFormat="1" ht="30" customHeight="1" x14ac:dyDescent="0.25">
      <c r="A17" s="741"/>
      <c r="B17" s="951"/>
      <c r="C17" s="952"/>
      <c r="D17" s="741"/>
      <c r="E17" s="951"/>
      <c r="F17" s="952"/>
      <c r="G17" s="3399"/>
      <c r="H17" s="3419"/>
      <c r="I17" s="3420"/>
      <c r="J17" s="3392"/>
      <c r="K17" s="3397"/>
      <c r="L17" s="3406"/>
      <c r="M17" s="3394"/>
      <c r="N17" s="3406"/>
      <c r="O17" s="3399"/>
      <c r="P17" s="3406"/>
      <c r="Q17" s="3431"/>
      <c r="R17" s="3384"/>
      <c r="S17" s="3406"/>
      <c r="T17" s="3397"/>
      <c r="U17" s="3403"/>
      <c r="V17" s="2367">
        <v>400000000</v>
      </c>
      <c r="W17" s="1146">
        <v>88</v>
      </c>
      <c r="X17" s="2368" t="s">
        <v>135</v>
      </c>
      <c r="Y17" s="3400"/>
      <c r="Z17" s="3399"/>
      <c r="AA17" s="3384"/>
      <c r="AB17" s="3384"/>
      <c r="AC17" s="3384"/>
      <c r="AD17" s="3384"/>
      <c r="AE17" s="3384"/>
      <c r="AF17" s="3384"/>
      <c r="AG17" s="3384"/>
      <c r="AH17" s="3384"/>
      <c r="AI17" s="3384"/>
      <c r="AJ17" s="3384"/>
      <c r="AK17" s="1999"/>
      <c r="AL17" s="1999"/>
      <c r="AM17" s="1999"/>
      <c r="AN17" s="3384"/>
      <c r="AO17" s="3386"/>
      <c r="AP17" s="3386"/>
      <c r="AQ17" s="3384"/>
      <c r="AR17" s="1690"/>
      <c r="AS17" s="1690"/>
      <c r="AT17" s="1690"/>
    </row>
    <row r="18" spans="1:46" s="369" customFormat="1" ht="44.25" customHeight="1" x14ac:dyDescent="0.25">
      <c r="A18" s="741"/>
      <c r="B18" s="951"/>
      <c r="C18" s="952"/>
      <c r="D18" s="741"/>
      <c r="E18" s="951"/>
      <c r="F18" s="952"/>
      <c r="G18" s="3399"/>
      <c r="H18" s="3419"/>
      <c r="I18" s="3420"/>
      <c r="J18" s="3425"/>
      <c r="K18" s="2900"/>
      <c r="L18" s="3403"/>
      <c r="M18" s="3411"/>
      <c r="N18" s="3406"/>
      <c r="O18" s="3399"/>
      <c r="P18" s="3406"/>
      <c r="Q18" s="3432"/>
      <c r="R18" s="3384"/>
      <c r="S18" s="3406"/>
      <c r="T18" s="2900"/>
      <c r="U18" s="2007" t="s">
        <v>1466</v>
      </c>
      <c r="V18" s="2367">
        <v>92607333</v>
      </c>
      <c r="W18" s="2050">
        <v>20</v>
      </c>
      <c r="X18" s="2002" t="s">
        <v>61</v>
      </c>
      <c r="Y18" s="3399"/>
      <c r="Z18" s="3399"/>
      <c r="AA18" s="3384"/>
      <c r="AB18" s="3384"/>
      <c r="AC18" s="3384"/>
      <c r="AD18" s="3384"/>
      <c r="AE18" s="3384"/>
      <c r="AF18" s="3384"/>
      <c r="AG18" s="3384"/>
      <c r="AH18" s="3384"/>
      <c r="AI18" s="3384"/>
      <c r="AJ18" s="3384"/>
      <c r="AK18" s="1999"/>
      <c r="AL18" s="1999"/>
      <c r="AM18" s="1999"/>
      <c r="AN18" s="3384"/>
      <c r="AO18" s="3386"/>
      <c r="AP18" s="3386"/>
      <c r="AQ18" s="3384"/>
      <c r="AR18" s="1690"/>
      <c r="AS18" s="1690"/>
      <c r="AT18" s="1690"/>
    </row>
    <row r="19" spans="1:46" s="369" customFormat="1" ht="44.25" customHeight="1" x14ac:dyDescent="0.25">
      <c r="A19" s="741"/>
      <c r="B19" s="951"/>
      <c r="C19" s="952"/>
      <c r="D19" s="741"/>
      <c r="E19" s="951"/>
      <c r="F19" s="952"/>
      <c r="G19" s="3399"/>
      <c r="H19" s="3419"/>
      <c r="I19" s="3420"/>
      <c r="J19" s="3391">
        <v>115</v>
      </c>
      <c r="K19" s="2791" t="s">
        <v>1467</v>
      </c>
      <c r="L19" s="3402" t="s">
        <v>1458</v>
      </c>
      <c r="M19" s="3393">
        <v>34</v>
      </c>
      <c r="N19" s="3406" t="s">
        <v>2553</v>
      </c>
      <c r="O19" s="3399"/>
      <c r="P19" s="3406"/>
      <c r="Q19" s="3430">
        <f>SUM(V19:V22)/R15</f>
        <v>0.45757094508939988</v>
      </c>
      <c r="R19" s="3384"/>
      <c r="S19" s="3406"/>
      <c r="T19" s="2899" t="s">
        <v>1468</v>
      </c>
      <c r="U19" s="2007" t="s">
        <v>1469</v>
      </c>
      <c r="V19" s="2366">
        <v>62591800</v>
      </c>
      <c r="W19" s="2033">
        <v>39</v>
      </c>
      <c r="X19" s="2001" t="s">
        <v>1470</v>
      </c>
      <c r="Y19" s="3399"/>
      <c r="Z19" s="3399"/>
      <c r="AA19" s="3384"/>
      <c r="AB19" s="3384"/>
      <c r="AC19" s="3384"/>
      <c r="AD19" s="3384"/>
      <c r="AE19" s="3384"/>
      <c r="AF19" s="3384"/>
      <c r="AG19" s="3384"/>
      <c r="AH19" s="3384"/>
      <c r="AI19" s="3384"/>
      <c r="AJ19" s="3384"/>
      <c r="AK19" s="1999"/>
      <c r="AL19" s="1999"/>
      <c r="AM19" s="1999"/>
      <c r="AN19" s="3384"/>
      <c r="AO19" s="3386"/>
      <c r="AP19" s="3386"/>
      <c r="AQ19" s="3384"/>
      <c r="AR19" s="1690"/>
      <c r="AS19" s="1690"/>
      <c r="AT19" s="1690"/>
    </row>
    <row r="20" spans="1:46" s="369" customFormat="1" ht="44.25" customHeight="1" x14ac:dyDescent="0.25">
      <c r="A20" s="741"/>
      <c r="B20" s="951"/>
      <c r="C20" s="952"/>
      <c r="D20" s="741"/>
      <c r="E20" s="951"/>
      <c r="F20" s="952"/>
      <c r="G20" s="3399"/>
      <c r="H20" s="3419"/>
      <c r="I20" s="3420"/>
      <c r="J20" s="3392"/>
      <c r="K20" s="2786"/>
      <c r="L20" s="3406"/>
      <c r="M20" s="3394"/>
      <c r="N20" s="3406"/>
      <c r="O20" s="3399"/>
      <c r="P20" s="3406"/>
      <c r="Q20" s="3431"/>
      <c r="R20" s="3384"/>
      <c r="S20" s="3406"/>
      <c r="T20" s="3397"/>
      <c r="U20" s="2007" t="s">
        <v>1471</v>
      </c>
      <c r="V20" s="2367">
        <v>133221409</v>
      </c>
      <c r="W20" s="2033">
        <v>39</v>
      </c>
      <c r="X20" s="2001" t="s">
        <v>1470</v>
      </c>
      <c r="Y20" s="3399"/>
      <c r="Z20" s="3399"/>
      <c r="AA20" s="3384"/>
      <c r="AB20" s="3384"/>
      <c r="AC20" s="3384"/>
      <c r="AD20" s="3384"/>
      <c r="AE20" s="3384"/>
      <c r="AF20" s="3384"/>
      <c r="AG20" s="3384"/>
      <c r="AH20" s="3384"/>
      <c r="AI20" s="3384"/>
      <c r="AJ20" s="3384"/>
      <c r="AK20" s="1999"/>
      <c r="AL20" s="1999"/>
      <c r="AM20" s="1999"/>
      <c r="AN20" s="3384"/>
      <c r="AO20" s="3386"/>
      <c r="AP20" s="3386"/>
      <c r="AQ20" s="3384"/>
      <c r="AR20" s="1690"/>
      <c r="AS20" s="1690"/>
      <c r="AT20" s="1690"/>
    </row>
    <row r="21" spans="1:46" s="369" customFormat="1" ht="44.25" customHeight="1" x14ac:dyDescent="0.25">
      <c r="A21" s="741"/>
      <c r="B21" s="951"/>
      <c r="C21" s="952"/>
      <c r="D21" s="741"/>
      <c r="E21" s="951"/>
      <c r="F21" s="952"/>
      <c r="G21" s="3399"/>
      <c r="H21" s="3419"/>
      <c r="I21" s="3420"/>
      <c r="J21" s="3392"/>
      <c r="K21" s="2786"/>
      <c r="L21" s="3406"/>
      <c r="M21" s="3394"/>
      <c r="N21" s="3406"/>
      <c r="O21" s="3399"/>
      <c r="P21" s="3406"/>
      <c r="Q21" s="3431"/>
      <c r="R21" s="3384"/>
      <c r="S21" s="3406"/>
      <c r="T21" s="3397"/>
      <c r="U21" s="3433" t="s">
        <v>1472</v>
      </c>
      <c r="V21" s="2367">
        <v>672140514</v>
      </c>
      <c r="W21" s="1148">
        <v>39</v>
      </c>
      <c r="X21" s="2001" t="s">
        <v>1470</v>
      </c>
      <c r="Y21" s="3399"/>
      <c r="Z21" s="3399"/>
      <c r="AA21" s="3384"/>
      <c r="AB21" s="3384"/>
      <c r="AC21" s="3384"/>
      <c r="AD21" s="3384"/>
      <c r="AE21" s="3384"/>
      <c r="AF21" s="3384"/>
      <c r="AG21" s="3384"/>
      <c r="AH21" s="3384"/>
      <c r="AI21" s="3384"/>
      <c r="AJ21" s="3384"/>
      <c r="AK21" s="1999"/>
      <c r="AL21" s="1999"/>
      <c r="AM21" s="1999"/>
      <c r="AN21" s="3384"/>
      <c r="AO21" s="3386"/>
      <c r="AP21" s="3386"/>
      <c r="AQ21" s="3384"/>
      <c r="AR21" s="1690"/>
      <c r="AS21" s="1690"/>
      <c r="AT21" s="1690"/>
    </row>
    <row r="22" spans="1:46" s="369" customFormat="1" ht="36.75" customHeight="1" x14ac:dyDescent="0.25">
      <c r="A22" s="741"/>
      <c r="B22" s="951"/>
      <c r="C22" s="952"/>
      <c r="D22" s="741"/>
      <c r="E22" s="951"/>
      <c r="F22" s="952"/>
      <c r="G22" s="3399"/>
      <c r="H22" s="3419"/>
      <c r="I22" s="3420"/>
      <c r="J22" s="3425"/>
      <c r="K22" s="2783"/>
      <c r="L22" s="3406"/>
      <c r="M22" s="3411"/>
      <c r="N22" s="3406"/>
      <c r="O22" s="3399"/>
      <c r="P22" s="3406"/>
      <c r="Q22" s="3432"/>
      <c r="R22" s="3384"/>
      <c r="S22" s="3406"/>
      <c r="T22" s="2900"/>
      <c r="U22" s="3390"/>
      <c r="V22" s="2367">
        <f>0+602580100</f>
        <v>602580100</v>
      </c>
      <c r="W22" s="1149">
        <v>83</v>
      </c>
      <c r="X22" s="2368" t="s">
        <v>1473</v>
      </c>
      <c r="Y22" s="3400"/>
      <c r="Z22" s="3399"/>
      <c r="AA22" s="3384"/>
      <c r="AB22" s="3384"/>
      <c r="AC22" s="3384"/>
      <c r="AD22" s="3384"/>
      <c r="AE22" s="3384"/>
      <c r="AF22" s="3384"/>
      <c r="AG22" s="3384"/>
      <c r="AH22" s="3384"/>
      <c r="AI22" s="3384"/>
      <c r="AJ22" s="3384"/>
      <c r="AK22" s="1999"/>
      <c r="AL22" s="1999"/>
      <c r="AM22" s="1999"/>
      <c r="AN22" s="3384"/>
      <c r="AO22" s="3386"/>
      <c r="AP22" s="3386"/>
      <c r="AQ22" s="3384"/>
      <c r="AR22" s="1690"/>
      <c r="AS22" s="1690"/>
      <c r="AT22" s="1690"/>
    </row>
    <row r="23" spans="1:46" s="362" customFormat="1" ht="49.5" customHeight="1" x14ac:dyDescent="0.25">
      <c r="A23" s="741"/>
      <c r="B23" s="951"/>
      <c r="C23" s="952"/>
      <c r="D23" s="741"/>
      <c r="E23" s="951"/>
      <c r="F23" s="952"/>
      <c r="G23" s="3399"/>
      <c r="H23" s="3419"/>
      <c r="I23" s="3420"/>
      <c r="J23" s="3391">
        <v>116</v>
      </c>
      <c r="K23" s="2899" t="s">
        <v>1474</v>
      </c>
      <c r="L23" s="3427" t="s">
        <v>1458</v>
      </c>
      <c r="M23" s="3393">
        <v>10</v>
      </c>
      <c r="N23" s="3406" t="s">
        <v>2554</v>
      </c>
      <c r="O23" s="3399"/>
      <c r="P23" s="3406"/>
      <c r="Q23" s="3430">
        <f>SUM(V23:V26)/R15</f>
        <v>7.5053359502968223E-2</v>
      </c>
      <c r="R23" s="3384"/>
      <c r="S23" s="3406"/>
      <c r="T23" s="2899" t="s">
        <v>1475</v>
      </c>
      <c r="U23" s="2003" t="s">
        <v>1469</v>
      </c>
      <c r="V23" s="2366">
        <v>48487433</v>
      </c>
      <c r="W23" s="2050">
        <v>41</v>
      </c>
      <c r="X23" s="2002" t="s">
        <v>1476</v>
      </c>
      <c r="Y23" s="3399"/>
      <c r="Z23" s="3399"/>
      <c r="AA23" s="3384"/>
      <c r="AB23" s="3384"/>
      <c r="AC23" s="3384"/>
      <c r="AD23" s="3384"/>
      <c r="AE23" s="3384"/>
      <c r="AF23" s="3384"/>
      <c r="AG23" s="3384"/>
      <c r="AH23" s="3384"/>
      <c r="AI23" s="3384"/>
      <c r="AJ23" s="3384"/>
      <c r="AK23" s="1999"/>
      <c r="AL23" s="1999"/>
      <c r="AM23" s="1999"/>
      <c r="AN23" s="3384"/>
      <c r="AO23" s="3386"/>
      <c r="AP23" s="3386"/>
      <c r="AQ23" s="3384"/>
      <c r="AR23" s="1690"/>
      <c r="AS23" s="1690"/>
      <c r="AT23" s="1690"/>
    </row>
    <row r="24" spans="1:46" s="362" customFormat="1" ht="42" customHeight="1" x14ac:dyDescent="0.2">
      <c r="A24" s="741"/>
      <c r="B24" s="951"/>
      <c r="C24" s="952"/>
      <c r="D24" s="741"/>
      <c r="E24" s="951"/>
      <c r="F24" s="952"/>
      <c r="G24" s="3399"/>
      <c r="H24" s="3419"/>
      <c r="I24" s="3420"/>
      <c r="J24" s="3392"/>
      <c r="K24" s="3397"/>
      <c r="L24" s="3427"/>
      <c r="M24" s="3394"/>
      <c r="N24" s="3406"/>
      <c r="O24" s="3399"/>
      <c r="P24" s="3406"/>
      <c r="Q24" s="3431"/>
      <c r="R24" s="3384"/>
      <c r="S24" s="3406"/>
      <c r="T24" s="3397"/>
      <c r="U24" s="2003" t="s">
        <v>1477</v>
      </c>
      <c r="V24" s="2367">
        <f>36454056-19454056+837227+1074900</f>
        <v>18912127</v>
      </c>
      <c r="W24" s="2033">
        <v>41</v>
      </c>
      <c r="X24" s="2001" t="s">
        <v>1476</v>
      </c>
      <c r="Y24" s="3399"/>
      <c r="Z24" s="3399"/>
      <c r="AA24" s="3384"/>
      <c r="AB24" s="3384"/>
      <c r="AC24" s="3384"/>
      <c r="AD24" s="3384"/>
      <c r="AE24" s="3384"/>
      <c r="AF24" s="3384"/>
      <c r="AG24" s="3384"/>
      <c r="AH24" s="3384"/>
      <c r="AI24" s="3384"/>
      <c r="AJ24" s="3384"/>
      <c r="AK24" s="1999"/>
      <c r="AL24" s="1999"/>
      <c r="AM24" s="1999"/>
      <c r="AN24" s="3384"/>
      <c r="AO24" s="3386"/>
      <c r="AP24" s="3386"/>
      <c r="AQ24" s="3384"/>
    </row>
    <row r="25" spans="1:46" s="362" customFormat="1" ht="42" customHeight="1" x14ac:dyDescent="0.2">
      <c r="A25" s="741"/>
      <c r="B25" s="951"/>
      <c r="C25" s="952"/>
      <c r="D25" s="741"/>
      <c r="E25" s="951"/>
      <c r="F25" s="952"/>
      <c r="G25" s="3399"/>
      <c r="H25" s="3419"/>
      <c r="I25" s="3420"/>
      <c r="J25" s="3392"/>
      <c r="K25" s="3397"/>
      <c r="L25" s="3427"/>
      <c r="M25" s="3394"/>
      <c r="N25" s="3406"/>
      <c r="O25" s="3399"/>
      <c r="P25" s="3406"/>
      <c r="Q25" s="3431"/>
      <c r="R25" s="3384"/>
      <c r="S25" s="3406"/>
      <c r="T25" s="3397"/>
      <c r="U25" s="3433" t="s">
        <v>1472</v>
      </c>
      <c r="V25" s="2367">
        <v>106191184</v>
      </c>
      <c r="W25" s="1144">
        <v>41</v>
      </c>
      <c r="X25" s="2045" t="s">
        <v>1476</v>
      </c>
      <c r="Y25" s="3400"/>
      <c r="Z25" s="3399"/>
      <c r="AA25" s="3384"/>
      <c r="AB25" s="3384"/>
      <c r="AC25" s="3384"/>
      <c r="AD25" s="3384"/>
      <c r="AE25" s="3384"/>
      <c r="AF25" s="3384"/>
      <c r="AG25" s="3384"/>
      <c r="AH25" s="3384"/>
      <c r="AI25" s="3384"/>
      <c r="AJ25" s="3384"/>
      <c r="AK25" s="1999"/>
      <c r="AL25" s="1999"/>
      <c r="AM25" s="1999"/>
      <c r="AN25" s="3384"/>
      <c r="AO25" s="3386"/>
      <c r="AP25" s="3386"/>
      <c r="AQ25" s="3384"/>
    </row>
    <row r="26" spans="1:46" s="362" customFormat="1" ht="48.75" customHeight="1" x14ac:dyDescent="0.2">
      <c r="A26" s="741"/>
      <c r="B26" s="951"/>
      <c r="C26" s="952"/>
      <c r="D26" s="741"/>
      <c r="E26" s="951"/>
      <c r="F26" s="952"/>
      <c r="G26" s="3412"/>
      <c r="H26" s="3423"/>
      <c r="I26" s="3424"/>
      <c r="J26" s="3425"/>
      <c r="K26" s="2900"/>
      <c r="L26" s="3427"/>
      <c r="M26" s="3411"/>
      <c r="N26" s="3403"/>
      <c r="O26" s="3412"/>
      <c r="P26" s="3403"/>
      <c r="Q26" s="3432"/>
      <c r="R26" s="3404"/>
      <c r="S26" s="3403"/>
      <c r="T26" s="2900"/>
      <c r="U26" s="3390"/>
      <c r="V26" s="2367">
        <f>0+67614483</f>
        <v>67614483</v>
      </c>
      <c r="W26" s="1149">
        <v>83</v>
      </c>
      <c r="X26" s="2368" t="s">
        <v>1473</v>
      </c>
      <c r="Y26" s="3435"/>
      <c r="Z26" s="3412"/>
      <c r="AA26" s="3404"/>
      <c r="AB26" s="3404"/>
      <c r="AC26" s="3404"/>
      <c r="AD26" s="3404"/>
      <c r="AE26" s="3404"/>
      <c r="AF26" s="3404"/>
      <c r="AG26" s="3404"/>
      <c r="AH26" s="3404"/>
      <c r="AI26" s="3404"/>
      <c r="AJ26" s="3404"/>
      <c r="AK26" s="2000"/>
      <c r="AL26" s="2000"/>
      <c r="AM26" s="2000"/>
      <c r="AN26" s="3404"/>
      <c r="AO26" s="3405"/>
      <c r="AP26" s="3405"/>
      <c r="AQ26" s="3404"/>
    </row>
    <row r="27" spans="1:46" s="362" customFormat="1" ht="27.75" customHeight="1" x14ac:dyDescent="0.2">
      <c r="A27" s="741"/>
      <c r="B27" s="951"/>
      <c r="C27" s="952"/>
      <c r="D27" s="741"/>
      <c r="E27" s="951"/>
      <c r="F27" s="952"/>
      <c r="G27" s="729">
        <v>30</v>
      </c>
      <c r="H27" s="3417" t="s">
        <v>1478</v>
      </c>
      <c r="I27" s="3418"/>
      <c r="J27" s="3418"/>
      <c r="K27" s="3418"/>
      <c r="L27" s="953"/>
      <c r="M27" s="954"/>
      <c r="N27" s="953"/>
      <c r="O27" s="955"/>
      <c r="P27" s="953"/>
      <c r="Q27" s="955"/>
      <c r="R27" s="956"/>
      <c r="S27" s="953"/>
      <c r="T27" s="953"/>
      <c r="U27" s="953"/>
      <c r="V27" s="2369"/>
      <c r="W27" s="1150"/>
      <c r="X27" s="2370"/>
      <c r="Y27" s="955"/>
      <c r="Z27" s="955"/>
      <c r="AA27" s="955"/>
      <c r="AB27" s="955"/>
      <c r="AC27" s="955"/>
      <c r="AD27" s="955"/>
      <c r="AE27" s="955"/>
      <c r="AF27" s="955"/>
      <c r="AG27" s="955"/>
      <c r="AH27" s="955"/>
      <c r="AI27" s="955"/>
      <c r="AJ27" s="955"/>
      <c r="AK27" s="955"/>
      <c r="AL27" s="955"/>
      <c r="AM27" s="955"/>
      <c r="AN27" s="955"/>
      <c r="AO27" s="955"/>
      <c r="AP27" s="955"/>
      <c r="AQ27" s="730"/>
    </row>
    <row r="28" spans="1:46" s="362" customFormat="1" ht="27" customHeight="1" x14ac:dyDescent="0.2">
      <c r="A28" s="741"/>
      <c r="B28" s="951"/>
      <c r="C28" s="952"/>
      <c r="D28" s="741"/>
      <c r="E28" s="951"/>
      <c r="F28" s="952"/>
      <c r="G28" s="380"/>
      <c r="H28" s="3421"/>
      <c r="I28" s="3422"/>
      <c r="J28" s="3391">
        <v>117</v>
      </c>
      <c r="K28" s="3402" t="s">
        <v>1479</v>
      </c>
      <c r="L28" s="3402" t="s">
        <v>1458</v>
      </c>
      <c r="M28" s="3393">
        <v>1</v>
      </c>
      <c r="N28" s="3402" t="s">
        <v>1480</v>
      </c>
      <c r="O28" s="3398">
        <v>47</v>
      </c>
      <c r="P28" s="3402" t="s">
        <v>1481</v>
      </c>
      <c r="Q28" s="3395">
        <f>(V28+V29+V30)/R28</f>
        <v>1</v>
      </c>
      <c r="R28" s="3408">
        <f>V28+V30</f>
        <v>79500000</v>
      </c>
      <c r="S28" s="3402" t="s">
        <v>1482</v>
      </c>
      <c r="T28" s="3402" t="s">
        <v>1483</v>
      </c>
      <c r="U28" s="3427" t="s">
        <v>1484</v>
      </c>
      <c r="V28" s="3428">
        <f>75525000-5525000</f>
        <v>70000000</v>
      </c>
      <c r="W28" s="3429">
        <v>20</v>
      </c>
      <c r="X28" s="3402" t="s">
        <v>61</v>
      </c>
      <c r="Y28" s="3398">
        <v>75</v>
      </c>
      <c r="Z28" s="3398">
        <v>75</v>
      </c>
      <c r="AA28" s="3383">
        <v>0</v>
      </c>
      <c r="AB28" s="3383">
        <v>0</v>
      </c>
      <c r="AC28" s="3383">
        <v>150</v>
      </c>
      <c r="AD28" s="3383">
        <v>0</v>
      </c>
      <c r="AE28" s="3383">
        <v>0</v>
      </c>
      <c r="AF28" s="3383">
        <v>0</v>
      </c>
      <c r="AG28" s="3383">
        <v>0</v>
      </c>
      <c r="AH28" s="3383">
        <v>0</v>
      </c>
      <c r="AI28" s="3383">
        <v>0</v>
      </c>
      <c r="AJ28" s="3383">
        <v>0</v>
      </c>
      <c r="AK28" s="1998"/>
      <c r="AL28" s="1998"/>
      <c r="AM28" s="1998"/>
      <c r="AN28" s="3383">
        <f>Y28+Z28</f>
        <v>150</v>
      </c>
      <c r="AO28" s="3385">
        <v>43466</v>
      </c>
      <c r="AP28" s="3385">
        <v>43830</v>
      </c>
      <c r="AQ28" s="3387" t="s">
        <v>1464</v>
      </c>
    </row>
    <row r="29" spans="1:46" s="362" customFormat="1" ht="34.5" customHeight="1" x14ac:dyDescent="0.2">
      <c r="A29" s="741"/>
      <c r="B29" s="951"/>
      <c r="C29" s="952"/>
      <c r="D29" s="741"/>
      <c r="E29" s="951"/>
      <c r="F29" s="952"/>
      <c r="G29" s="380"/>
      <c r="H29" s="3419"/>
      <c r="I29" s="3420"/>
      <c r="J29" s="3392"/>
      <c r="K29" s="3406"/>
      <c r="L29" s="3406"/>
      <c r="M29" s="3394"/>
      <c r="N29" s="3406"/>
      <c r="O29" s="3399"/>
      <c r="P29" s="3406"/>
      <c r="Q29" s="3396"/>
      <c r="R29" s="3409"/>
      <c r="S29" s="3406"/>
      <c r="T29" s="3406"/>
      <c r="U29" s="3427"/>
      <c r="V29" s="3428"/>
      <c r="W29" s="3429"/>
      <c r="X29" s="3403"/>
      <c r="Y29" s="3399"/>
      <c r="Z29" s="3399"/>
      <c r="AA29" s="3384"/>
      <c r="AB29" s="3384"/>
      <c r="AC29" s="3384"/>
      <c r="AD29" s="3384"/>
      <c r="AE29" s="3384"/>
      <c r="AF29" s="3384"/>
      <c r="AG29" s="3384"/>
      <c r="AH29" s="3384"/>
      <c r="AI29" s="3384"/>
      <c r="AJ29" s="3384"/>
      <c r="AK29" s="1999"/>
      <c r="AL29" s="1999"/>
      <c r="AM29" s="1999"/>
      <c r="AN29" s="3384"/>
      <c r="AO29" s="3386"/>
      <c r="AP29" s="3386"/>
      <c r="AQ29" s="3388"/>
    </row>
    <row r="30" spans="1:46" s="362" customFormat="1" ht="55.5" customHeight="1" x14ac:dyDescent="0.2">
      <c r="A30" s="741"/>
      <c r="B30" s="951"/>
      <c r="C30" s="952"/>
      <c r="D30" s="741"/>
      <c r="E30" s="951"/>
      <c r="F30" s="952"/>
      <c r="G30" s="380"/>
      <c r="H30" s="3423"/>
      <c r="I30" s="3424"/>
      <c r="J30" s="3425"/>
      <c r="K30" s="3403"/>
      <c r="L30" s="3403"/>
      <c r="M30" s="3411"/>
      <c r="N30" s="3403"/>
      <c r="O30" s="3412"/>
      <c r="P30" s="3403"/>
      <c r="Q30" s="3407"/>
      <c r="R30" s="3410"/>
      <c r="S30" s="3403"/>
      <c r="T30" s="3403"/>
      <c r="U30" s="2009" t="s">
        <v>1485</v>
      </c>
      <c r="V30" s="2367">
        <f>3975000+5525000</f>
        <v>9500000</v>
      </c>
      <c r="W30" s="2035">
        <v>20</v>
      </c>
      <c r="X30" s="2001" t="s">
        <v>61</v>
      </c>
      <c r="Y30" s="3412"/>
      <c r="Z30" s="3412"/>
      <c r="AA30" s="3404"/>
      <c r="AB30" s="3404"/>
      <c r="AC30" s="3404"/>
      <c r="AD30" s="3404"/>
      <c r="AE30" s="3404"/>
      <c r="AF30" s="3404"/>
      <c r="AG30" s="3404"/>
      <c r="AH30" s="3404"/>
      <c r="AI30" s="3404"/>
      <c r="AJ30" s="3404"/>
      <c r="AK30" s="2000"/>
      <c r="AL30" s="2000"/>
      <c r="AM30" s="2000"/>
      <c r="AN30" s="3404"/>
      <c r="AO30" s="3405"/>
      <c r="AP30" s="3405"/>
      <c r="AQ30" s="3401"/>
    </row>
    <row r="31" spans="1:46" s="362" customFormat="1" ht="27" customHeight="1" x14ac:dyDescent="0.2">
      <c r="A31" s="741"/>
      <c r="B31" s="951"/>
      <c r="C31" s="952"/>
      <c r="D31" s="741"/>
      <c r="E31" s="951"/>
      <c r="F31" s="952"/>
      <c r="G31" s="729">
        <v>31</v>
      </c>
      <c r="H31" s="3417" t="s">
        <v>1486</v>
      </c>
      <c r="I31" s="3418"/>
      <c r="J31" s="3418"/>
      <c r="K31" s="3418"/>
      <c r="L31" s="953"/>
      <c r="M31" s="954"/>
      <c r="N31" s="953"/>
      <c r="O31" s="955"/>
      <c r="P31" s="953"/>
      <c r="Q31" s="955"/>
      <c r="R31" s="956"/>
      <c r="S31" s="953"/>
      <c r="T31" s="953"/>
      <c r="U31" s="953"/>
      <c r="V31" s="2371"/>
      <c r="W31" s="2372"/>
      <c r="X31" s="953"/>
      <c r="Y31" s="955"/>
      <c r="Z31" s="955"/>
      <c r="AA31" s="955"/>
      <c r="AB31" s="955"/>
      <c r="AC31" s="955"/>
      <c r="AD31" s="955"/>
      <c r="AE31" s="955"/>
      <c r="AF31" s="955"/>
      <c r="AG31" s="955"/>
      <c r="AH31" s="955"/>
      <c r="AI31" s="955"/>
      <c r="AJ31" s="955"/>
      <c r="AK31" s="955"/>
      <c r="AL31" s="955"/>
      <c r="AM31" s="955"/>
      <c r="AN31" s="955"/>
      <c r="AO31" s="955"/>
      <c r="AP31" s="955"/>
      <c r="AQ31" s="730"/>
    </row>
    <row r="32" spans="1:46" s="362" customFormat="1" ht="51.75" customHeight="1" x14ac:dyDescent="0.2">
      <c r="A32" s="741"/>
      <c r="B32" s="951"/>
      <c r="C32" s="952"/>
      <c r="D32" s="741"/>
      <c r="E32" s="951"/>
      <c r="F32" s="952"/>
      <c r="G32" s="380"/>
      <c r="H32" s="3421"/>
      <c r="I32" s="3422"/>
      <c r="J32" s="3391">
        <v>118</v>
      </c>
      <c r="K32" s="2899" t="s">
        <v>1487</v>
      </c>
      <c r="L32" s="3402" t="s">
        <v>1458</v>
      </c>
      <c r="M32" s="3393">
        <v>4</v>
      </c>
      <c r="N32" s="3402" t="s">
        <v>1488</v>
      </c>
      <c r="O32" s="3398">
        <v>48</v>
      </c>
      <c r="P32" s="2899" t="s">
        <v>1489</v>
      </c>
      <c r="Q32" s="3395">
        <f>SUM(V32:V39)/R32</f>
        <v>1</v>
      </c>
      <c r="R32" s="3408">
        <f>SUM(V32:V39)</f>
        <v>245423575</v>
      </c>
      <c r="S32" s="3402" t="s">
        <v>1490</v>
      </c>
      <c r="T32" s="2899" t="s">
        <v>1491</v>
      </c>
      <c r="U32" s="2009" t="s">
        <v>1492</v>
      </c>
      <c r="V32" s="2367">
        <f>21698843-2698843</f>
        <v>19000000</v>
      </c>
      <c r="W32" s="2035">
        <v>34</v>
      </c>
      <c r="X32" s="2009" t="s">
        <v>1493</v>
      </c>
      <c r="Y32" s="3398">
        <v>50476</v>
      </c>
      <c r="Z32" s="3398">
        <v>50476</v>
      </c>
      <c r="AA32" s="3383">
        <v>42400</v>
      </c>
      <c r="AB32" s="3383">
        <v>30286</v>
      </c>
      <c r="AC32" s="3383">
        <v>18171</v>
      </c>
      <c r="AD32" s="3383">
        <v>10095</v>
      </c>
      <c r="AE32" s="3383">
        <v>0</v>
      </c>
      <c r="AF32" s="3383">
        <v>0</v>
      </c>
      <c r="AG32" s="3383">
        <v>0</v>
      </c>
      <c r="AH32" s="3383">
        <v>0</v>
      </c>
      <c r="AI32" s="3383">
        <v>0</v>
      </c>
      <c r="AJ32" s="3383">
        <v>0</v>
      </c>
      <c r="AK32" s="1998"/>
      <c r="AL32" s="1998"/>
      <c r="AM32" s="1998"/>
      <c r="AN32" s="3383">
        <f>Y32+Z32</f>
        <v>100952</v>
      </c>
      <c r="AO32" s="3385">
        <v>43466</v>
      </c>
      <c r="AP32" s="3385">
        <v>43830</v>
      </c>
      <c r="AQ32" s="3387" t="s">
        <v>1464</v>
      </c>
    </row>
    <row r="33" spans="1:43" s="362" customFormat="1" ht="61.5" customHeight="1" x14ac:dyDescent="0.2">
      <c r="A33" s="741"/>
      <c r="B33" s="951"/>
      <c r="C33" s="952"/>
      <c r="D33" s="741"/>
      <c r="E33" s="951"/>
      <c r="F33" s="952"/>
      <c r="G33" s="380"/>
      <c r="H33" s="3419"/>
      <c r="I33" s="3420"/>
      <c r="J33" s="3392"/>
      <c r="K33" s="3397"/>
      <c r="L33" s="3406"/>
      <c r="M33" s="3394"/>
      <c r="N33" s="3406"/>
      <c r="O33" s="3399"/>
      <c r="P33" s="3397"/>
      <c r="Q33" s="3396"/>
      <c r="R33" s="3409"/>
      <c r="S33" s="3406"/>
      <c r="T33" s="3397"/>
      <c r="U33" s="2009" t="s">
        <v>1494</v>
      </c>
      <c r="V33" s="2367">
        <f>11283398-1283398</f>
        <v>10000000</v>
      </c>
      <c r="W33" s="2035">
        <v>34</v>
      </c>
      <c r="X33" s="2009" t="s">
        <v>1493</v>
      </c>
      <c r="Y33" s="3399"/>
      <c r="Z33" s="3399"/>
      <c r="AA33" s="3384"/>
      <c r="AB33" s="3384"/>
      <c r="AC33" s="3384"/>
      <c r="AD33" s="3384"/>
      <c r="AE33" s="3384"/>
      <c r="AF33" s="3384"/>
      <c r="AG33" s="3384"/>
      <c r="AH33" s="3384"/>
      <c r="AI33" s="3384"/>
      <c r="AJ33" s="3384"/>
      <c r="AK33" s="1999"/>
      <c r="AL33" s="1999"/>
      <c r="AM33" s="1999"/>
      <c r="AN33" s="3384"/>
      <c r="AO33" s="3386"/>
      <c r="AP33" s="3386"/>
      <c r="AQ33" s="3388"/>
    </row>
    <row r="34" spans="1:43" s="362" customFormat="1" ht="40.5" customHeight="1" x14ac:dyDescent="0.2">
      <c r="A34" s="741"/>
      <c r="B34" s="951"/>
      <c r="C34" s="952"/>
      <c r="D34" s="741"/>
      <c r="E34" s="951"/>
      <c r="F34" s="952"/>
      <c r="G34" s="380"/>
      <c r="H34" s="3419"/>
      <c r="I34" s="3420"/>
      <c r="J34" s="3392"/>
      <c r="K34" s="3397"/>
      <c r="L34" s="3406"/>
      <c r="M34" s="3394"/>
      <c r="N34" s="3406"/>
      <c r="O34" s="3399"/>
      <c r="P34" s="3397"/>
      <c r="Q34" s="3396"/>
      <c r="R34" s="3409"/>
      <c r="S34" s="3406"/>
      <c r="T34" s="3397"/>
      <c r="U34" s="2009" t="s">
        <v>1495</v>
      </c>
      <c r="V34" s="2367">
        <f>26906565-26906565</f>
        <v>0</v>
      </c>
      <c r="W34" s="2035">
        <v>34</v>
      </c>
      <c r="X34" s="2009" t="s">
        <v>1493</v>
      </c>
      <c r="Y34" s="3399"/>
      <c r="Z34" s="3399"/>
      <c r="AA34" s="3384"/>
      <c r="AB34" s="3384"/>
      <c r="AC34" s="3384"/>
      <c r="AD34" s="3384"/>
      <c r="AE34" s="3384"/>
      <c r="AF34" s="3384"/>
      <c r="AG34" s="3384"/>
      <c r="AH34" s="3384"/>
      <c r="AI34" s="3384"/>
      <c r="AJ34" s="3384"/>
      <c r="AK34" s="1999"/>
      <c r="AL34" s="1999"/>
      <c r="AM34" s="1999"/>
      <c r="AN34" s="3384"/>
      <c r="AO34" s="3386"/>
      <c r="AP34" s="3386"/>
      <c r="AQ34" s="3388"/>
    </row>
    <row r="35" spans="1:43" s="362" customFormat="1" ht="48" customHeight="1" x14ac:dyDescent="0.2">
      <c r="A35" s="741"/>
      <c r="B35" s="951"/>
      <c r="C35" s="952"/>
      <c r="D35" s="741"/>
      <c r="E35" s="951"/>
      <c r="F35" s="952"/>
      <c r="G35" s="380"/>
      <c r="H35" s="3419"/>
      <c r="I35" s="3420"/>
      <c r="J35" s="3392"/>
      <c r="K35" s="3397"/>
      <c r="L35" s="3406"/>
      <c r="M35" s="3394"/>
      <c r="N35" s="3406"/>
      <c r="O35" s="3399"/>
      <c r="P35" s="3397"/>
      <c r="Q35" s="3396"/>
      <c r="R35" s="3409"/>
      <c r="S35" s="3406"/>
      <c r="T35" s="3397"/>
      <c r="U35" s="2009" t="s">
        <v>1496</v>
      </c>
      <c r="V35" s="2367">
        <f>21698843-7698843</f>
        <v>14000000</v>
      </c>
      <c r="W35" s="2035">
        <v>34</v>
      </c>
      <c r="X35" s="2009" t="s">
        <v>1493</v>
      </c>
      <c r="Y35" s="3399"/>
      <c r="Z35" s="3399"/>
      <c r="AA35" s="3384"/>
      <c r="AB35" s="3384"/>
      <c r="AC35" s="3384"/>
      <c r="AD35" s="3384"/>
      <c r="AE35" s="3384"/>
      <c r="AF35" s="3384"/>
      <c r="AG35" s="3384"/>
      <c r="AH35" s="3384"/>
      <c r="AI35" s="3384"/>
      <c r="AJ35" s="3384"/>
      <c r="AK35" s="1999"/>
      <c r="AL35" s="1999"/>
      <c r="AM35" s="1999"/>
      <c r="AN35" s="3384"/>
      <c r="AO35" s="3386"/>
      <c r="AP35" s="3386"/>
      <c r="AQ35" s="3388"/>
    </row>
    <row r="36" spans="1:43" s="362" customFormat="1" ht="75.75" customHeight="1" x14ac:dyDescent="0.2">
      <c r="A36" s="741"/>
      <c r="B36" s="951"/>
      <c r="C36" s="952"/>
      <c r="D36" s="741"/>
      <c r="E36" s="951"/>
      <c r="F36" s="952"/>
      <c r="G36" s="380"/>
      <c r="H36" s="3419"/>
      <c r="I36" s="3420"/>
      <c r="J36" s="3392"/>
      <c r="K36" s="3397"/>
      <c r="L36" s="3406"/>
      <c r="M36" s="3394"/>
      <c r="N36" s="3406"/>
      <c r="O36" s="3399"/>
      <c r="P36" s="3397"/>
      <c r="Q36" s="3396"/>
      <c r="R36" s="3409"/>
      <c r="S36" s="3406"/>
      <c r="T36" s="2900"/>
      <c r="U36" s="2003" t="s">
        <v>1497</v>
      </c>
      <c r="V36" s="2373">
        <f>0+28350000</f>
        <v>28350000</v>
      </c>
      <c r="W36" s="2035">
        <v>159</v>
      </c>
      <c r="X36" s="2009" t="s">
        <v>1498</v>
      </c>
      <c r="Y36" s="3399"/>
      <c r="Z36" s="3399"/>
      <c r="AA36" s="3384"/>
      <c r="AB36" s="3384"/>
      <c r="AC36" s="3384"/>
      <c r="AD36" s="3384"/>
      <c r="AE36" s="3384"/>
      <c r="AF36" s="3384"/>
      <c r="AG36" s="3384"/>
      <c r="AH36" s="3384"/>
      <c r="AI36" s="3384"/>
      <c r="AJ36" s="3384"/>
      <c r="AK36" s="1999"/>
      <c r="AL36" s="1999"/>
      <c r="AM36" s="1999"/>
      <c r="AN36" s="3384"/>
      <c r="AO36" s="3386"/>
      <c r="AP36" s="3386"/>
      <c r="AQ36" s="3388"/>
    </row>
    <row r="37" spans="1:43" s="362" customFormat="1" ht="42" customHeight="1" x14ac:dyDescent="0.2">
      <c r="A37" s="741"/>
      <c r="B37" s="951"/>
      <c r="C37" s="952"/>
      <c r="D37" s="741"/>
      <c r="E37" s="951"/>
      <c r="F37" s="952"/>
      <c r="G37" s="380"/>
      <c r="H37" s="3419"/>
      <c r="I37" s="3420"/>
      <c r="J37" s="3392"/>
      <c r="K37" s="3397"/>
      <c r="L37" s="3406"/>
      <c r="M37" s="3394"/>
      <c r="N37" s="3406"/>
      <c r="O37" s="3399"/>
      <c r="P37" s="3397"/>
      <c r="Q37" s="3396"/>
      <c r="R37" s="3409"/>
      <c r="S37" s="3406"/>
      <c r="T37" s="2899" t="s">
        <v>1499</v>
      </c>
      <c r="U37" s="3389" t="s">
        <v>1500</v>
      </c>
      <c r="V37" s="2373">
        <f>26038612-8482831</f>
        <v>17555781</v>
      </c>
      <c r="W37" s="2035">
        <v>34</v>
      </c>
      <c r="X37" s="2009" t="s">
        <v>1501</v>
      </c>
      <c r="Y37" s="3399"/>
      <c r="Z37" s="3399"/>
      <c r="AA37" s="3384"/>
      <c r="AB37" s="3384"/>
      <c r="AC37" s="3384"/>
      <c r="AD37" s="3384"/>
      <c r="AE37" s="3384"/>
      <c r="AF37" s="3384"/>
      <c r="AG37" s="3384"/>
      <c r="AH37" s="3384"/>
      <c r="AI37" s="3384"/>
      <c r="AJ37" s="3384"/>
      <c r="AK37" s="1999"/>
      <c r="AL37" s="1999"/>
      <c r="AM37" s="1999"/>
      <c r="AN37" s="3384"/>
      <c r="AO37" s="3386"/>
      <c r="AP37" s="3386"/>
      <c r="AQ37" s="3388"/>
    </row>
    <row r="38" spans="1:43" s="362" customFormat="1" ht="42" customHeight="1" x14ac:dyDescent="0.2">
      <c r="A38" s="741"/>
      <c r="B38" s="951"/>
      <c r="C38" s="952"/>
      <c r="D38" s="741"/>
      <c r="E38" s="951"/>
      <c r="F38" s="952"/>
      <c r="G38" s="380"/>
      <c r="H38" s="3419"/>
      <c r="I38" s="3420"/>
      <c r="J38" s="3392"/>
      <c r="K38" s="3397"/>
      <c r="L38" s="3406"/>
      <c r="M38" s="3394"/>
      <c r="N38" s="3406"/>
      <c r="O38" s="3399"/>
      <c r="P38" s="3397"/>
      <c r="Q38" s="3396"/>
      <c r="R38" s="3409"/>
      <c r="S38" s="3406"/>
      <c r="T38" s="3397"/>
      <c r="U38" s="3426"/>
      <c r="V38" s="2373">
        <f>0+43482831</f>
        <v>43482831</v>
      </c>
      <c r="W38" s="2035">
        <v>83</v>
      </c>
      <c r="X38" s="2009" t="s">
        <v>1502</v>
      </c>
      <c r="Y38" s="3399"/>
      <c r="Z38" s="3399"/>
      <c r="AA38" s="3384"/>
      <c r="AB38" s="3384"/>
      <c r="AC38" s="3384"/>
      <c r="AD38" s="3384"/>
      <c r="AE38" s="3384"/>
      <c r="AF38" s="3384"/>
      <c r="AG38" s="3384"/>
      <c r="AH38" s="3384"/>
      <c r="AI38" s="3384"/>
      <c r="AJ38" s="3384"/>
      <c r="AK38" s="1999"/>
      <c r="AL38" s="1999"/>
      <c r="AM38" s="1999"/>
      <c r="AN38" s="3384"/>
      <c r="AO38" s="3386"/>
      <c r="AP38" s="3386"/>
      <c r="AQ38" s="3388"/>
    </row>
    <row r="39" spans="1:43" s="362" customFormat="1" ht="59.25" customHeight="1" x14ac:dyDescent="0.2">
      <c r="A39" s="741"/>
      <c r="B39" s="951"/>
      <c r="C39" s="952"/>
      <c r="D39" s="741"/>
      <c r="E39" s="951"/>
      <c r="F39" s="952"/>
      <c r="G39" s="380"/>
      <c r="H39" s="3423"/>
      <c r="I39" s="3424"/>
      <c r="J39" s="3425"/>
      <c r="K39" s="2900"/>
      <c r="L39" s="3403"/>
      <c r="M39" s="3411"/>
      <c r="N39" s="3403"/>
      <c r="O39" s="3412"/>
      <c r="P39" s="2900"/>
      <c r="Q39" s="3407"/>
      <c r="R39" s="3410"/>
      <c r="S39" s="3403"/>
      <c r="T39" s="2900"/>
      <c r="U39" s="2003" t="s">
        <v>1503</v>
      </c>
      <c r="V39" s="2373">
        <f>65964483+47070480</f>
        <v>113034963</v>
      </c>
      <c r="W39" s="2035">
        <v>34</v>
      </c>
      <c r="X39" s="2009" t="s">
        <v>1493</v>
      </c>
      <c r="Y39" s="3412"/>
      <c r="Z39" s="3412"/>
      <c r="AA39" s="3404"/>
      <c r="AB39" s="3404"/>
      <c r="AC39" s="3404"/>
      <c r="AD39" s="3404"/>
      <c r="AE39" s="3404"/>
      <c r="AF39" s="3404"/>
      <c r="AG39" s="3404"/>
      <c r="AH39" s="3404"/>
      <c r="AI39" s="3404"/>
      <c r="AJ39" s="3404"/>
      <c r="AK39" s="2000"/>
      <c r="AL39" s="2000"/>
      <c r="AM39" s="2000"/>
      <c r="AN39" s="3404"/>
      <c r="AO39" s="3405"/>
      <c r="AP39" s="3405"/>
      <c r="AQ39" s="3401"/>
    </row>
    <row r="40" spans="1:43" s="362" customFormat="1" ht="27" customHeight="1" x14ac:dyDescent="0.25">
      <c r="A40" s="957"/>
      <c r="B40" s="2037"/>
      <c r="C40" s="958"/>
      <c r="D40" s="959">
        <v>10</v>
      </c>
      <c r="E40" s="3415" t="s">
        <v>1504</v>
      </c>
      <c r="F40" s="3416"/>
      <c r="G40" s="3416"/>
      <c r="H40" s="3416"/>
      <c r="I40" s="3416"/>
      <c r="J40" s="3416"/>
      <c r="K40" s="3416"/>
      <c r="L40" s="960"/>
      <c r="M40" s="961"/>
      <c r="N40" s="960"/>
      <c r="O40" s="962"/>
      <c r="P40" s="960"/>
      <c r="Q40" s="962"/>
      <c r="R40" s="963"/>
      <c r="S40" s="960"/>
      <c r="T40" s="960"/>
      <c r="U40" s="960"/>
      <c r="V40" s="2374"/>
      <c r="W40" s="964"/>
      <c r="X40" s="960"/>
      <c r="Y40" s="962"/>
      <c r="Z40" s="962"/>
      <c r="AA40" s="962"/>
      <c r="AB40" s="962"/>
      <c r="AC40" s="962"/>
      <c r="AD40" s="962"/>
      <c r="AE40" s="962"/>
      <c r="AF40" s="962"/>
      <c r="AG40" s="962"/>
      <c r="AH40" s="962"/>
      <c r="AI40" s="962"/>
      <c r="AJ40" s="962"/>
      <c r="AK40" s="962"/>
      <c r="AL40" s="962"/>
      <c r="AM40" s="962"/>
      <c r="AN40" s="962"/>
      <c r="AO40" s="962"/>
      <c r="AP40" s="962"/>
      <c r="AQ40" s="965"/>
    </row>
    <row r="41" spans="1:43" s="362" customFormat="1" ht="27" customHeight="1" x14ac:dyDescent="0.25">
      <c r="A41" s="966"/>
      <c r="B41" s="2038"/>
      <c r="C41" s="2038"/>
      <c r="D41" s="957"/>
      <c r="E41" s="967"/>
      <c r="F41" s="958"/>
      <c r="G41" s="729">
        <v>32</v>
      </c>
      <c r="H41" s="3417" t="s">
        <v>1505</v>
      </c>
      <c r="I41" s="3418"/>
      <c r="J41" s="3418"/>
      <c r="K41" s="3418"/>
      <c r="L41" s="3418"/>
      <c r="M41" s="968"/>
      <c r="N41" s="947"/>
      <c r="O41" s="969"/>
      <c r="P41" s="947"/>
      <c r="Q41" s="969"/>
      <c r="R41" s="970"/>
      <c r="S41" s="947"/>
      <c r="T41" s="947"/>
      <c r="U41" s="947"/>
      <c r="V41" s="2375"/>
      <c r="W41" s="971"/>
      <c r="X41" s="947"/>
      <c r="Y41" s="969"/>
      <c r="Z41" s="969"/>
      <c r="AA41" s="969"/>
      <c r="AB41" s="969"/>
      <c r="AC41" s="969"/>
      <c r="AD41" s="969"/>
      <c r="AE41" s="969"/>
      <c r="AF41" s="969"/>
      <c r="AG41" s="969"/>
      <c r="AH41" s="969"/>
      <c r="AI41" s="969"/>
      <c r="AJ41" s="969"/>
      <c r="AK41" s="969"/>
      <c r="AL41" s="969"/>
      <c r="AM41" s="969"/>
      <c r="AN41" s="969"/>
      <c r="AO41" s="969"/>
      <c r="AP41" s="969"/>
      <c r="AQ41" s="972"/>
    </row>
    <row r="42" spans="1:43" s="362" customFormat="1" ht="48" customHeight="1" x14ac:dyDescent="0.2">
      <c r="A42" s="741"/>
      <c r="B42" s="951"/>
      <c r="C42" s="951"/>
      <c r="D42" s="741"/>
      <c r="E42" s="3419"/>
      <c r="F42" s="3420"/>
      <c r="G42" s="380"/>
      <c r="H42" s="3421"/>
      <c r="I42" s="3422"/>
      <c r="J42" s="3391">
        <v>119</v>
      </c>
      <c r="K42" s="3402" t="s">
        <v>1506</v>
      </c>
      <c r="L42" s="3402" t="s">
        <v>1458</v>
      </c>
      <c r="M42" s="3393">
        <v>7</v>
      </c>
      <c r="N42" s="3398" t="s">
        <v>1507</v>
      </c>
      <c r="O42" s="3398">
        <v>49</v>
      </c>
      <c r="P42" s="3402" t="s">
        <v>1508</v>
      </c>
      <c r="Q42" s="3395">
        <f>SUM(V42:V48)/R42</f>
        <v>1</v>
      </c>
      <c r="R42" s="3408">
        <f>SUM(V42:V48)</f>
        <v>542559393</v>
      </c>
      <c r="S42" s="3402" t="s">
        <v>1509</v>
      </c>
      <c r="T42" s="3402" t="s">
        <v>1510</v>
      </c>
      <c r="U42" s="3402" t="s">
        <v>1511</v>
      </c>
      <c r="V42" s="2367">
        <f>175000000-8217634</f>
        <v>166782366</v>
      </c>
      <c r="W42" s="2035">
        <v>47</v>
      </c>
      <c r="X42" s="2009" t="s">
        <v>1512</v>
      </c>
      <c r="Y42" s="3398">
        <v>85278</v>
      </c>
      <c r="Z42" s="3398">
        <v>85277</v>
      </c>
      <c r="AA42" s="3383">
        <v>17056</v>
      </c>
      <c r="AB42" s="3383">
        <v>34111</v>
      </c>
      <c r="AC42" s="3383">
        <v>85278</v>
      </c>
      <c r="AD42" s="3383">
        <v>25582</v>
      </c>
      <c r="AE42" s="3383">
        <v>4263.875</v>
      </c>
      <c r="AF42" s="3383">
        <v>4263.875</v>
      </c>
      <c r="AG42" s="3383">
        <v>0</v>
      </c>
      <c r="AH42" s="3383">
        <v>0</v>
      </c>
      <c r="AI42" s="3383">
        <v>0</v>
      </c>
      <c r="AJ42" s="3383">
        <v>0</v>
      </c>
      <c r="AK42" s="1998"/>
      <c r="AL42" s="1998"/>
      <c r="AM42" s="1998"/>
      <c r="AN42" s="3383">
        <f>Y42+Z42</f>
        <v>170555</v>
      </c>
      <c r="AO42" s="3385">
        <v>43466</v>
      </c>
      <c r="AP42" s="3385">
        <v>43830</v>
      </c>
      <c r="AQ42" s="3387" t="s">
        <v>1464</v>
      </c>
    </row>
    <row r="43" spans="1:43" s="362" customFormat="1" ht="48" customHeight="1" x14ac:dyDescent="0.2">
      <c r="A43" s="741"/>
      <c r="B43" s="951"/>
      <c r="C43" s="951"/>
      <c r="D43" s="741"/>
      <c r="E43" s="3419"/>
      <c r="F43" s="3420"/>
      <c r="G43" s="380"/>
      <c r="H43" s="3419"/>
      <c r="I43" s="3420"/>
      <c r="J43" s="3392"/>
      <c r="K43" s="3406"/>
      <c r="L43" s="3406"/>
      <c r="M43" s="3394"/>
      <c r="N43" s="3399"/>
      <c r="O43" s="3399"/>
      <c r="P43" s="3406"/>
      <c r="Q43" s="3396"/>
      <c r="R43" s="3409"/>
      <c r="S43" s="3406"/>
      <c r="T43" s="3406"/>
      <c r="U43" s="3406"/>
      <c r="V43" s="2366">
        <v>61380526</v>
      </c>
      <c r="W43" s="2033">
        <v>20</v>
      </c>
      <c r="X43" s="2009" t="s">
        <v>1513</v>
      </c>
      <c r="Y43" s="3399"/>
      <c r="Z43" s="3399"/>
      <c r="AA43" s="3384"/>
      <c r="AB43" s="3384"/>
      <c r="AC43" s="3384"/>
      <c r="AD43" s="3384"/>
      <c r="AE43" s="3384"/>
      <c r="AF43" s="3384"/>
      <c r="AG43" s="3384"/>
      <c r="AH43" s="3384"/>
      <c r="AI43" s="3384"/>
      <c r="AJ43" s="3384"/>
      <c r="AK43" s="1999"/>
      <c r="AL43" s="1999"/>
      <c r="AM43" s="1999"/>
      <c r="AN43" s="3384"/>
      <c r="AO43" s="3386"/>
      <c r="AP43" s="3386"/>
      <c r="AQ43" s="3388"/>
    </row>
    <row r="44" spans="1:43" s="362" customFormat="1" ht="51" customHeight="1" x14ac:dyDescent="0.2">
      <c r="A44" s="741"/>
      <c r="B44" s="951"/>
      <c r="C44" s="951"/>
      <c r="D44" s="741"/>
      <c r="E44" s="3419"/>
      <c r="F44" s="3420"/>
      <c r="G44" s="380"/>
      <c r="H44" s="3419"/>
      <c r="I44" s="3420"/>
      <c r="J44" s="3392"/>
      <c r="K44" s="3406"/>
      <c r="L44" s="3406"/>
      <c r="M44" s="3394"/>
      <c r="N44" s="3399"/>
      <c r="O44" s="3399"/>
      <c r="P44" s="3406"/>
      <c r="Q44" s="3396"/>
      <c r="R44" s="3409"/>
      <c r="S44" s="3406"/>
      <c r="T44" s="3406"/>
      <c r="U44" s="3414"/>
      <c r="V44" s="2376">
        <f>0+219596501</f>
        <v>219596501</v>
      </c>
      <c r="W44" s="1147">
        <v>93</v>
      </c>
      <c r="X44" s="2003" t="s">
        <v>1514</v>
      </c>
      <c r="Y44" s="3400"/>
      <c r="Z44" s="3399"/>
      <c r="AA44" s="3384"/>
      <c r="AB44" s="3384"/>
      <c r="AC44" s="3384"/>
      <c r="AD44" s="3384"/>
      <c r="AE44" s="3384"/>
      <c r="AF44" s="3384"/>
      <c r="AG44" s="3384"/>
      <c r="AH44" s="3384"/>
      <c r="AI44" s="3384"/>
      <c r="AJ44" s="3384"/>
      <c r="AK44" s="1999"/>
      <c r="AL44" s="1999"/>
      <c r="AM44" s="1999"/>
      <c r="AN44" s="3384"/>
      <c r="AO44" s="3386"/>
      <c r="AP44" s="3386"/>
      <c r="AQ44" s="3388"/>
    </row>
    <row r="45" spans="1:43" s="362" customFormat="1" ht="27" customHeight="1" x14ac:dyDescent="0.2">
      <c r="A45" s="741"/>
      <c r="B45" s="951"/>
      <c r="C45" s="951"/>
      <c r="D45" s="741"/>
      <c r="E45" s="3419"/>
      <c r="F45" s="3420"/>
      <c r="G45" s="380"/>
      <c r="H45" s="3419"/>
      <c r="I45" s="3420"/>
      <c r="J45" s="3392"/>
      <c r="K45" s="3406"/>
      <c r="L45" s="3406"/>
      <c r="M45" s="3394"/>
      <c r="N45" s="3399"/>
      <c r="O45" s="3399"/>
      <c r="P45" s="3406"/>
      <c r="Q45" s="3396"/>
      <c r="R45" s="3409"/>
      <c r="S45" s="3406"/>
      <c r="T45" s="3406"/>
      <c r="U45" s="855" t="s">
        <v>1515</v>
      </c>
      <c r="V45" s="2377">
        <v>1000000</v>
      </c>
      <c r="W45" s="1152">
        <v>47</v>
      </c>
      <c r="X45" s="2003" t="s">
        <v>1512</v>
      </c>
      <c r="Y45" s="3399"/>
      <c r="Z45" s="3399"/>
      <c r="AA45" s="3384"/>
      <c r="AB45" s="3384"/>
      <c r="AC45" s="3384"/>
      <c r="AD45" s="3384"/>
      <c r="AE45" s="3384"/>
      <c r="AF45" s="3384"/>
      <c r="AG45" s="3384"/>
      <c r="AH45" s="3384"/>
      <c r="AI45" s="3384"/>
      <c r="AJ45" s="3384"/>
      <c r="AK45" s="1999"/>
      <c r="AL45" s="1999"/>
      <c r="AM45" s="1999"/>
      <c r="AN45" s="3384"/>
      <c r="AO45" s="3386"/>
      <c r="AP45" s="3386"/>
      <c r="AQ45" s="3388"/>
    </row>
    <row r="46" spans="1:43" s="362" customFormat="1" ht="48" customHeight="1" x14ac:dyDescent="0.2">
      <c r="A46" s="741"/>
      <c r="B46" s="951"/>
      <c r="C46" s="951"/>
      <c r="D46" s="741"/>
      <c r="E46" s="3419"/>
      <c r="F46" s="3420"/>
      <c r="G46" s="380"/>
      <c r="H46" s="3419"/>
      <c r="I46" s="3420"/>
      <c r="J46" s="3392"/>
      <c r="K46" s="3406"/>
      <c r="L46" s="3406"/>
      <c r="M46" s="3394"/>
      <c r="N46" s="3399"/>
      <c r="O46" s="3399"/>
      <c r="P46" s="3406"/>
      <c r="Q46" s="3396"/>
      <c r="R46" s="3409"/>
      <c r="S46" s="3406"/>
      <c r="T46" s="3403"/>
      <c r="U46" s="370" t="s">
        <v>1516</v>
      </c>
      <c r="V46" s="2378">
        <f>33800000+5613000</f>
        <v>39413000</v>
      </c>
      <c r="W46" s="2035">
        <v>20</v>
      </c>
      <c r="X46" s="2003" t="s">
        <v>1513</v>
      </c>
      <c r="Y46" s="3399"/>
      <c r="Z46" s="3399"/>
      <c r="AA46" s="3384"/>
      <c r="AB46" s="3384"/>
      <c r="AC46" s="3384"/>
      <c r="AD46" s="3384"/>
      <c r="AE46" s="3384"/>
      <c r="AF46" s="3384"/>
      <c r="AG46" s="3384"/>
      <c r="AH46" s="3384"/>
      <c r="AI46" s="3384"/>
      <c r="AJ46" s="3384"/>
      <c r="AK46" s="1999"/>
      <c r="AL46" s="1999"/>
      <c r="AM46" s="1999"/>
      <c r="AN46" s="3384"/>
      <c r="AO46" s="3386"/>
      <c r="AP46" s="3386"/>
      <c r="AQ46" s="3388"/>
    </row>
    <row r="47" spans="1:43" s="362" customFormat="1" ht="33" customHeight="1" x14ac:dyDescent="0.2">
      <c r="A47" s="741"/>
      <c r="B47" s="951"/>
      <c r="C47" s="951"/>
      <c r="D47" s="741"/>
      <c r="E47" s="3419"/>
      <c r="F47" s="3420"/>
      <c r="G47" s="380"/>
      <c r="H47" s="3419"/>
      <c r="I47" s="3420"/>
      <c r="J47" s="3392"/>
      <c r="K47" s="3406"/>
      <c r="L47" s="3406"/>
      <c r="M47" s="3394"/>
      <c r="N47" s="3399"/>
      <c r="O47" s="3399"/>
      <c r="P47" s="3406"/>
      <c r="Q47" s="3396"/>
      <c r="R47" s="3409"/>
      <c r="S47" s="3406"/>
      <c r="T47" s="3402" t="s">
        <v>1517</v>
      </c>
      <c r="U47" s="3402" t="s">
        <v>1518</v>
      </c>
      <c r="V47" s="2366">
        <f>54000000-5613000</f>
        <v>48387000</v>
      </c>
      <c r="W47" s="2035">
        <v>20</v>
      </c>
      <c r="X47" s="2003" t="s">
        <v>1513</v>
      </c>
      <c r="Y47" s="3399"/>
      <c r="Z47" s="3399"/>
      <c r="AA47" s="3384"/>
      <c r="AB47" s="3384"/>
      <c r="AC47" s="3384"/>
      <c r="AD47" s="3384"/>
      <c r="AE47" s="3384"/>
      <c r="AF47" s="3384"/>
      <c r="AG47" s="3384"/>
      <c r="AH47" s="3384"/>
      <c r="AI47" s="3384"/>
      <c r="AJ47" s="3384"/>
      <c r="AK47" s="1999"/>
      <c r="AL47" s="1999"/>
      <c r="AM47" s="1999"/>
      <c r="AN47" s="3384"/>
      <c r="AO47" s="3386"/>
      <c r="AP47" s="3386"/>
      <c r="AQ47" s="3388"/>
    </row>
    <row r="48" spans="1:43" s="362" customFormat="1" ht="37.5" customHeight="1" x14ac:dyDescent="0.2">
      <c r="A48" s="741"/>
      <c r="B48" s="951"/>
      <c r="C48" s="951"/>
      <c r="D48" s="741"/>
      <c r="E48" s="3419"/>
      <c r="F48" s="3420"/>
      <c r="G48" s="380"/>
      <c r="H48" s="3423"/>
      <c r="I48" s="3424"/>
      <c r="J48" s="3425"/>
      <c r="K48" s="3403"/>
      <c r="L48" s="3403"/>
      <c r="M48" s="3411"/>
      <c r="N48" s="3412"/>
      <c r="O48" s="3412"/>
      <c r="P48" s="3403"/>
      <c r="Q48" s="3407"/>
      <c r="R48" s="3410"/>
      <c r="S48" s="3403"/>
      <c r="T48" s="3403"/>
      <c r="U48" s="3403"/>
      <c r="V48" s="2366">
        <v>6000000</v>
      </c>
      <c r="W48" s="2035">
        <v>47</v>
      </c>
      <c r="X48" s="2009" t="s">
        <v>1519</v>
      </c>
      <c r="Y48" s="3412"/>
      <c r="Z48" s="3412"/>
      <c r="AA48" s="3404"/>
      <c r="AB48" s="3404"/>
      <c r="AC48" s="3404"/>
      <c r="AD48" s="3404"/>
      <c r="AE48" s="3404"/>
      <c r="AF48" s="3404"/>
      <c r="AG48" s="3404"/>
      <c r="AH48" s="3404"/>
      <c r="AI48" s="3404"/>
      <c r="AJ48" s="3404"/>
      <c r="AK48" s="2000"/>
      <c r="AL48" s="2000"/>
      <c r="AM48" s="2000"/>
      <c r="AN48" s="3404"/>
      <c r="AO48" s="3405"/>
      <c r="AP48" s="3405"/>
      <c r="AQ48" s="3401"/>
    </row>
    <row r="49" spans="1:43" s="362" customFormat="1" ht="27" customHeight="1" x14ac:dyDescent="0.2">
      <c r="A49" s="1997"/>
      <c r="B49" s="2044"/>
      <c r="C49" s="2044"/>
      <c r="D49" s="1997"/>
      <c r="E49" s="3419"/>
      <c r="F49" s="3420"/>
      <c r="G49" s="729">
        <v>32</v>
      </c>
      <c r="H49" s="3417" t="s">
        <v>1505</v>
      </c>
      <c r="I49" s="3418"/>
      <c r="J49" s="3418"/>
      <c r="K49" s="3418"/>
      <c r="L49" s="3418"/>
      <c r="M49" s="954"/>
      <c r="N49" s="953"/>
      <c r="O49" s="955"/>
      <c r="P49" s="953"/>
      <c r="Q49" s="955"/>
      <c r="R49" s="956"/>
      <c r="S49" s="953"/>
      <c r="T49" s="953"/>
      <c r="U49" s="953"/>
      <c r="V49" s="2379"/>
      <c r="W49" s="2372"/>
      <c r="X49" s="953"/>
      <c r="Y49" s="955"/>
      <c r="Z49" s="955"/>
      <c r="AA49" s="955"/>
      <c r="AB49" s="955"/>
      <c r="AC49" s="955"/>
      <c r="AD49" s="955"/>
      <c r="AE49" s="955"/>
      <c r="AF49" s="955"/>
      <c r="AG49" s="955"/>
      <c r="AH49" s="955"/>
      <c r="AI49" s="955"/>
      <c r="AJ49" s="955"/>
      <c r="AK49" s="955"/>
      <c r="AL49" s="955"/>
      <c r="AM49" s="955"/>
      <c r="AN49" s="955"/>
      <c r="AO49" s="955"/>
      <c r="AP49" s="955"/>
      <c r="AQ49" s="730"/>
    </row>
    <row r="50" spans="1:43" s="362" customFormat="1" ht="38.25" customHeight="1" x14ac:dyDescent="0.2">
      <c r="A50" s="741"/>
      <c r="B50" s="951"/>
      <c r="C50" s="951"/>
      <c r="D50" s="741"/>
      <c r="E50" s="3419"/>
      <c r="F50" s="3420"/>
      <c r="G50" s="380"/>
      <c r="H50" s="3421"/>
      <c r="I50" s="3422"/>
      <c r="J50" s="3391">
        <v>120</v>
      </c>
      <c r="K50" s="2791" t="s">
        <v>1520</v>
      </c>
      <c r="L50" s="3402" t="s">
        <v>1458</v>
      </c>
      <c r="M50" s="3393">
        <v>2</v>
      </c>
      <c r="N50" s="3398" t="s">
        <v>1521</v>
      </c>
      <c r="O50" s="3398">
        <v>50</v>
      </c>
      <c r="P50" s="3402" t="s">
        <v>1522</v>
      </c>
      <c r="Q50" s="3395">
        <f>(V50+V51+V52)/R50</f>
        <v>0.46469303182579563</v>
      </c>
      <c r="R50" s="3408">
        <f>SUM(V50:V55)</f>
        <v>119400000</v>
      </c>
      <c r="S50" s="3402" t="s">
        <v>1523</v>
      </c>
      <c r="T50" s="3413" t="s">
        <v>1524</v>
      </c>
      <c r="U50" s="2009" t="s">
        <v>1525</v>
      </c>
      <c r="V50" s="2367">
        <f>20000000-7000000</f>
        <v>13000000</v>
      </c>
      <c r="W50" s="2035">
        <v>20</v>
      </c>
      <c r="X50" s="2009" t="s">
        <v>1526</v>
      </c>
      <c r="Y50" s="3398">
        <v>142127</v>
      </c>
      <c r="Z50" s="3398">
        <v>142127</v>
      </c>
      <c r="AA50" s="3383">
        <v>85276</v>
      </c>
      <c r="AB50" s="3383">
        <v>85276</v>
      </c>
      <c r="AC50" s="3383">
        <v>99489</v>
      </c>
      <c r="AD50" s="3383">
        <v>14212.7</v>
      </c>
      <c r="AE50" s="3383">
        <v>0</v>
      </c>
      <c r="AF50" s="3383">
        <v>0</v>
      </c>
      <c r="AG50" s="3383">
        <v>0</v>
      </c>
      <c r="AH50" s="3383">
        <v>0</v>
      </c>
      <c r="AI50" s="3383">
        <v>0</v>
      </c>
      <c r="AJ50" s="3383">
        <v>0</v>
      </c>
      <c r="AK50" s="1998"/>
      <c r="AL50" s="1998"/>
      <c r="AM50" s="1998"/>
      <c r="AN50" s="3383">
        <f>Y50+Z50</f>
        <v>284254</v>
      </c>
      <c r="AO50" s="3385">
        <v>43466</v>
      </c>
      <c r="AP50" s="3385">
        <v>43830</v>
      </c>
      <c r="AQ50" s="3387" t="s">
        <v>1464</v>
      </c>
    </row>
    <row r="51" spans="1:43" s="362" customFormat="1" ht="38.25" customHeight="1" x14ac:dyDescent="0.2">
      <c r="A51" s="741"/>
      <c r="B51" s="951"/>
      <c r="C51" s="951"/>
      <c r="D51" s="741"/>
      <c r="E51" s="3419"/>
      <c r="F51" s="3420"/>
      <c r="G51" s="380"/>
      <c r="H51" s="3419"/>
      <c r="I51" s="3420"/>
      <c r="J51" s="3392"/>
      <c r="K51" s="2786"/>
      <c r="L51" s="3406"/>
      <c r="M51" s="3394"/>
      <c r="N51" s="3399"/>
      <c r="O51" s="3399"/>
      <c r="P51" s="3406"/>
      <c r="Q51" s="3396"/>
      <c r="R51" s="3409"/>
      <c r="S51" s="3406"/>
      <c r="T51" s="3413"/>
      <c r="U51" s="3389" t="s">
        <v>1527</v>
      </c>
      <c r="V51" s="2378">
        <v>2484348</v>
      </c>
      <c r="W51" s="2033">
        <v>20</v>
      </c>
      <c r="X51" s="2001" t="s">
        <v>1526</v>
      </c>
      <c r="Y51" s="3399"/>
      <c r="Z51" s="3399"/>
      <c r="AA51" s="3384"/>
      <c r="AB51" s="3384"/>
      <c r="AC51" s="3384"/>
      <c r="AD51" s="3384"/>
      <c r="AE51" s="3384"/>
      <c r="AF51" s="3384"/>
      <c r="AG51" s="3384"/>
      <c r="AH51" s="3384"/>
      <c r="AI51" s="3384"/>
      <c r="AJ51" s="3384"/>
      <c r="AK51" s="1999"/>
      <c r="AL51" s="1999"/>
      <c r="AM51" s="1999"/>
      <c r="AN51" s="3384"/>
      <c r="AO51" s="3386"/>
      <c r="AP51" s="3386"/>
      <c r="AQ51" s="3388"/>
    </row>
    <row r="52" spans="1:43" s="362" customFormat="1" ht="45" customHeight="1" x14ac:dyDescent="0.2">
      <c r="A52" s="741"/>
      <c r="B52" s="951"/>
      <c r="C52" s="951"/>
      <c r="D52" s="741"/>
      <c r="E52" s="3419"/>
      <c r="F52" s="3420"/>
      <c r="G52" s="380"/>
      <c r="H52" s="3419"/>
      <c r="I52" s="3420"/>
      <c r="J52" s="3392"/>
      <c r="K52" s="2786"/>
      <c r="L52" s="3406"/>
      <c r="M52" s="3394"/>
      <c r="N52" s="3399"/>
      <c r="O52" s="3399"/>
      <c r="P52" s="3406"/>
      <c r="Q52" s="3396"/>
      <c r="R52" s="3409"/>
      <c r="S52" s="3406"/>
      <c r="T52" s="3413"/>
      <c r="U52" s="3390"/>
      <c r="V52" s="2380">
        <f>0+40000000</f>
        <v>40000000</v>
      </c>
      <c r="W52" s="1147">
        <v>88</v>
      </c>
      <c r="X52" s="1971" t="s">
        <v>1528</v>
      </c>
      <c r="Y52" s="3400"/>
      <c r="Z52" s="3399"/>
      <c r="AA52" s="3384"/>
      <c r="AB52" s="3384"/>
      <c r="AC52" s="3384"/>
      <c r="AD52" s="3384"/>
      <c r="AE52" s="3384"/>
      <c r="AF52" s="3384"/>
      <c r="AG52" s="3384"/>
      <c r="AH52" s="3384"/>
      <c r="AI52" s="3384"/>
      <c r="AJ52" s="3384"/>
      <c r="AK52" s="1999"/>
      <c r="AL52" s="1999"/>
      <c r="AM52" s="1999"/>
      <c r="AN52" s="3384"/>
      <c r="AO52" s="3386"/>
      <c r="AP52" s="3386"/>
      <c r="AQ52" s="3388"/>
    </row>
    <row r="53" spans="1:43" s="362" customFormat="1" ht="27" customHeight="1" x14ac:dyDescent="0.2">
      <c r="A53" s="741"/>
      <c r="B53" s="951"/>
      <c r="C53" s="951"/>
      <c r="D53" s="741"/>
      <c r="E53" s="3419"/>
      <c r="F53" s="3420"/>
      <c r="G53" s="380"/>
      <c r="H53" s="3419"/>
      <c r="I53" s="3420"/>
      <c r="J53" s="3391">
        <v>121</v>
      </c>
      <c r="K53" s="2791" t="s">
        <v>1529</v>
      </c>
      <c r="L53" s="3406"/>
      <c r="M53" s="3393">
        <v>4</v>
      </c>
      <c r="N53" s="3399"/>
      <c r="O53" s="3399"/>
      <c r="P53" s="3406"/>
      <c r="Q53" s="3395">
        <f>(V53+V54+V55)/R50</f>
        <v>0.53530696817420431</v>
      </c>
      <c r="R53" s="3409"/>
      <c r="S53" s="3406"/>
      <c r="T53" s="2899" t="s">
        <v>1530</v>
      </c>
      <c r="U53" s="2003" t="s">
        <v>1531</v>
      </c>
      <c r="V53" s="2373">
        <f>5558000-5558000</f>
        <v>0</v>
      </c>
      <c r="W53" s="2034">
        <v>20</v>
      </c>
      <c r="X53" s="2003" t="s">
        <v>1526</v>
      </c>
      <c r="Y53" s="3399"/>
      <c r="Z53" s="3399"/>
      <c r="AA53" s="3384"/>
      <c r="AB53" s="3384"/>
      <c r="AC53" s="3384"/>
      <c r="AD53" s="3384"/>
      <c r="AE53" s="3384"/>
      <c r="AF53" s="3384"/>
      <c r="AG53" s="3384"/>
      <c r="AH53" s="3384"/>
      <c r="AI53" s="3384"/>
      <c r="AJ53" s="3384"/>
      <c r="AK53" s="1999"/>
      <c r="AL53" s="1999"/>
      <c r="AM53" s="1999"/>
      <c r="AN53" s="3384"/>
      <c r="AO53" s="3386"/>
      <c r="AP53" s="3386"/>
      <c r="AQ53" s="3388"/>
    </row>
    <row r="54" spans="1:43" s="362" customFormat="1" ht="36.75" customHeight="1" x14ac:dyDescent="0.2">
      <c r="A54" s="741"/>
      <c r="B54" s="951"/>
      <c r="C54" s="951"/>
      <c r="D54" s="741"/>
      <c r="E54" s="3419"/>
      <c r="F54" s="3420"/>
      <c r="G54" s="380"/>
      <c r="H54" s="3419"/>
      <c r="I54" s="3420"/>
      <c r="J54" s="3392"/>
      <c r="K54" s="2786"/>
      <c r="L54" s="3406"/>
      <c r="M54" s="3394"/>
      <c r="N54" s="3399"/>
      <c r="O54" s="3399"/>
      <c r="P54" s="3406"/>
      <c r="Q54" s="3396"/>
      <c r="R54" s="3409"/>
      <c r="S54" s="3406"/>
      <c r="T54" s="3397"/>
      <c r="U54" s="2003" t="s">
        <v>1532</v>
      </c>
      <c r="V54" s="2373">
        <f>31760000+23772000-2484348</f>
        <v>53047652</v>
      </c>
      <c r="W54" s="2035">
        <v>20</v>
      </c>
      <c r="X54" s="2009" t="s">
        <v>1526</v>
      </c>
      <c r="Y54" s="3399"/>
      <c r="Z54" s="3399"/>
      <c r="AA54" s="3384"/>
      <c r="AB54" s="3384"/>
      <c r="AC54" s="3384"/>
      <c r="AD54" s="3384"/>
      <c r="AE54" s="3384"/>
      <c r="AF54" s="3384"/>
      <c r="AG54" s="3384"/>
      <c r="AH54" s="3384"/>
      <c r="AI54" s="3384"/>
      <c r="AJ54" s="3384"/>
      <c r="AK54" s="1999"/>
      <c r="AL54" s="1999"/>
      <c r="AM54" s="1999"/>
      <c r="AN54" s="3384"/>
      <c r="AO54" s="3386"/>
      <c r="AP54" s="3386"/>
      <c r="AQ54" s="3388"/>
    </row>
    <row r="55" spans="1:43" s="362" customFormat="1" ht="36" customHeight="1" thickBot="1" x14ac:dyDescent="0.25">
      <c r="A55" s="741"/>
      <c r="B55" s="2381"/>
      <c r="C55" s="2381"/>
      <c r="D55" s="741"/>
      <c r="E55" s="3419"/>
      <c r="F55" s="3420"/>
      <c r="G55" s="380"/>
      <c r="H55" s="3419"/>
      <c r="I55" s="3420"/>
      <c r="J55" s="3392"/>
      <c r="K55" s="2786"/>
      <c r="L55" s="3406"/>
      <c r="M55" s="3394"/>
      <c r="N55" s="3399"/>
      <c r="O55" s="3399"/>
      <c r="P55" s="3406"/>
      <c r="Q55" s="3396"/>
      <c r="R55" s="3409"/>
      <c r="S55" s="3406"/>
      <c r="T55" s="3397"/>
      <c r="U55" s="2002" t="s">
        <v>1533</v>
      </c>
      <c r="V55" s="2378">
        <f>2382000+8486000</f>
        <v>10868000</v>
      </c>
      <c r="W55" s="2033">
        <v>20</v>
      </c>
      <c r="X55" s="2001" t="s">
        <v>1526</v>
      </c>
      <c r="Y55" s="3399"/>
      <c r="Z55" s="3399"/>
      <c r="AA55" s="3384"/>
      <c r="AB55" s="3384"/>
      <c r="AC55" s="3384"/>
      <c r="AD55" s="3384"/>
      <c r="AE55" s="3384"/>
      <c r="AF55" s="3384"/>
      <c r="AG55" s="3384"/>
      <c r="AH55" s="3384"/>
      <c r="AI55" s="3384"/>
      <c r="AJ55" s="3384"/>
      <c r="AK55" s="1999"/>
      <c r="AL55" s="1999"/>
      <c r="AM55" s="1999"/>
      <c r="AN55" s="3384"/>
      <c r="AO55" s="3386"/>
      <c r="AP55" s="3386"/>
      <c r="AQ55" s="3388"/>
    </row>
    <row r="56" spans="1:43" s="362" customFormat="1" ht="27" customHeight="1" thickBot="1" x14ac:dyDescent="0.25">
      <c r="A56" s="2382"/>
      <c r="B56" s="2383"/>
      <c r="C56" s="2383"/>
      <c r="D56" s="2383"/>
      <c r="E56" s="3380" t="s">
        <v>945</v>
      </c>
      <c r="F56" s="3381"/>
      <c r="G56" s="2383"/>
      <c r="H56" s="2383"/>
      <c r="I56" s="2383"/>
      <c r="J56" s="2384"/>
      <c r="K56" s="2385"/>
      <c r="L56" s="2385"/>
      <c r="M56" s="2383"/>
      <c r="N56" s="2386"/>
      <c r="O56" s="2383"/>
      <c r="P56" s="2387"/>
      <c r="Q56" s="2388"/>
      <c r="R56" s="2389">
        <f>SUM(R12:R55)</f>
        <v>5449943900</v>
      </c>
      <c r="S56" s="2385"/>
      <c r="T56" s="2385"/>
      <c r="U56" s="2385"/>
      <c r="V56" s="2390">
        <f>SUM(V12:V55)</f>
        <v>5449943900</v>
      </c>
      <c r="W56" s="2391"/>
      <c r="X56" s="2385"/>
      <c r="Y56" s="2383"/>
      <c r="Z56" s="2383"/>
      <c r="AA56" s="2392"/>
      <c r="AB56" s="2393"/>
      <c r="AC56" s="2392"/>
      <c r="AD56" s="2392"/>
      <c r="AE56" s="2392"/>
      <c r="AF56" s="2392"/>
      <c r="AG56" s="2392"/>
      <c r="AH56" s="2392"/>
      <c r="AI56" s="2392"/>
      <c r="AJ56" s="2392"/>
      <c r="AK56" s="2392"/>
      <c r="AL56" s="2392"/>
      <c r="AM56" s="2392"/>
      <c r="AN56" s="2392"/>
      <c r="AO56" s="2394"/>
      <c r="AP56" s="2394"/>
      <c r="AQ56" s="2395"/>
    </row>
    <row r="57" spans="1:43" s="362" customFormat="1" ht="27" customHeight="1" x14ac:dyDescent="0.2">
      <c r="A57" s="389"/>
      <c r="K57" s="390"/>
      <c r="L57" s="369"/>
      <c r="M57" s="369"/>
      <c r="N57" s="369"/>
      <c r="O57" s="391"/>
      <c r="P57" s="390"/>
      <c r="Q57" s="392"/>
      <c r="R57" s="396"/>
      <c r="S57" s="390"/>
      <c r="T57" s="390"/>
      <c r="U57" s="390"/>
      <c r="V57" s="2396"/>
      <c r="W57" s="393"/>
      <c r="X57" s="390"/>
      <c r="AO57" s="690"/>
      <c r="AP57" s="395"/>
      <c r="AQ57" s="691"/>
    </row>
    <row r="58" spans="1:43" s="1690" customFormat="1" ht="40.5" customHeight="1" x14ac:dyDescent="0.25">
      <c r="A58" s="2397"/>
      <c r="B58" s="2397"/>
      <c r="C58" s="2397"/>
      <c r="D58" s="2397"/>
      <c r="E58" s="2397"/>
      <c r="F58" s="2397"/>
      <c r="G58" s="2397"/>
      <c r="H58" s="2397"/>
      <c r="I58" s="2397"/>
      <c r="J58" s="2397"/>
      <c r="K58" s="2397"/>
      <c r="L58" s="2397"/>
      <c r="M58" s="2397"/>
      <c r="V58" s="2398"/>
      <c r="X58" s="2399"/>
    </row>
    <row r="59" spans="1:43" s="362" customFormat="1" ht="27" customHeight="1" x14ac:dyDescent="0.2">
      <c r="A59" s="389"/>
      <c r="K59" s="390"/>
      <c r="L59" s="369"/>
      <c r="M59" s="369"/>
      <c r="N59" s="369"/>
      <c r="O59" s="391"/>
      <c r="P59" s="390"/>
      <c r="Q59" s="392"/>
      <c r="R59" s="396"/>
      <c r="S59" s="390"/>
      <c r="T59" s="390"/>
      <c r="U59" s="390"/>
      <c r="V59" s="2396"/>
      <c r="W59" s="393"/>
      <c r="X59" s="390"/>
      <c r="AO59" s="690"/>
      <c r="AP59" s="395"/>
      <c r="AQ59" s="691"/>
    </row>
    <row r="60" spans="1:43" s="362" customFormat="1" ht="27" customHeight="1" x14ac:dyDescent="0.2">
      <c r="A60" s="389"/>
      <c r="K60" s="390"/>
      <c r="L60" s="369"/>
      <c r="M60" s="369"/>
      <c r="N60" s="369"/>
      <c r="O60" s="391"/>
      <c r="P60" s="390"/>
      <c r="Q60" s="392"/>
      <c r="R60" s="396"/>
      <c r="S60" s="390"/>
      <c r="T60" s="390"/>
      <c r="U60" s="390"/>
      <c r="V60" s="2396"/>
      <c r="W60" s="393"/>
      <c r="X60" s="390"/>
      <c r="AO60" s="690"/>
      <c r="AP60" s="395"/>
      <c r="AQ60" s="691"/>
    </row>
    <row r="61" spans="1:43" s="362" customFormat="1" ht="27" customHeight="1" x14ac:dyDescent="0.2">
      <c r="A61" s="389"/>
      <c r="K61" s="3382" t="s">
        <v>1534</v>
      </c>
      <c r="L61" s="3382"/>
      <c r="M61" s="369"/>
      <c r="N61" s="369"/>
      <c r="O61" s="391"/>
      <c r="P61" s="390"/>
      <c r="Q61" s="392"/>
      <c r="R61" s="396"/>
      <c r="S61" s="390"/>
      <c r="T61" s="390"/>
      <c r="U61" s="390"/>
      <c r="V61" s="2396"/>
      <c r="W61" s="393"/>
      <c r="X61" s="390"/>
      <c r="AO61" s="690"/>
      <c r="AP61" s="395"/>
      <c r="AQ61" s="691"/>
    </row>
    <row r="62" spans="1:43" s="362" customFormat="1" ht="27" customHeight="1" x14ac:dyDescent="0.2">
      <c r="A62" s="389"/>
      <c r="K62" s="3382" t="s">
        <v>1535</v>
      </c>
      <c r="L62" s="3382"/>
      <c r="M62" s="369"/>
      <c r="N62" s="369"/>
      <c r="O62" s="391"/>
      <c r="P62" s="390"/>
      <c r="Q62" s="392"/>
      <c r="R62" s="396"/>
      <c r="S62" s="390"/>
      <c r="T62" s="390"/>
      <c r="U62" s="390"/>
      <c r="V62" s="2396"/>
      <c r="W62" s="393"/>
      <c r="X62" s="390"/>
      <c r="AO62" s="690"/>
      <c r="AP62" s="395"/>
      <c r="AQ62" s="691"/>
    </row>
    <row r="63" spans="1:43" s="362" customFormat="1" ht="27" customHeight="1" x14ac:dyDescent="0.2">
      <c r="A63" s="389"/>
      <c r="K63" s="390"/>
      <c r="L63" s="369"/>
      <c r="M63" s="369"/>
      <c r="N63" s="369"/>
      <c r="O63" s="391"/>
      <c r="P63" s="390"/>
      <c r="Q63" s="392"/>
      <c r="R63" s="396"/>
      <c r="S63" s="390"/>
      <c r="T63" s="390"/>
      <c r="U63" s="390"/>
      <c r="V63" s="2396"/>
      <c r="W63" s="393"/>
      <c r="X63" s="390"/>
      <c r="AO63" s="690"/>
      <c r="AP63" s="395"/>
      <c r="AQ63" s="691"/>
    </row>
    <row r="64" spans="1:43" s="362" customFormat="1" ht="27" customHeight="1" x14ac:dyDescent="0.2">
      <c r="A64" s="389"/>
      <c r="K64" s="390"/>
      <c r="L64" s="369"/>
      <c r="M64" s="369"/>
      <c r="N64" s="369"/>
      <c r="O64" s="391"/>
      <c r="P64" s="390"/>
      <c r="Q64" s="392"/>
      <c r="R64" s="396"/>
      <c r="S64" s="390"/>
      <c r="T64" s="390"/>
      <c r="U64" s="390"/>
      <c r="V64" s="2396"/>
      <c r="W64" s="393"/>
      <c r="X64" s="390"/>
      <c r="AO64" s="690"/>
      <c r="AP64" s="395"/>
      <c r="AQ64" s="691"/>
    </row>
    <row r="65" spans="1:43" s="362" customFormat="1" ht="27" customHeight="1" x14ac:dyDescent="0.2">
      <c r="A65" s="389"/>
      <c r="K65" s="390"/>
      <c r="L65" s="369"/>
      <c r="M65" s="369"/>
      <c r="N65" s="369"/>
      <c r="O65" s="391"/>
      <c r="P65" s="390"/>
      <c r="Q65" s="392"/>
      <c r="R65" s="396"/>
      <c r="S65" s="390"/>
      <c r="T65" s="390"/>
      <c r="U65" s="390"/>
      <c r="V65" s="2396"/>
      <c r="W65" s="393"/>
      <c r="X65" s="390"/>
      <c r="AO65" s="690"/>
      <c r="AP65" s="395"/>
      <c r="AQ65" s="691"/>
    </row>
    <row r="66" spans="1:43" s="362" customFormat="1" ht="27" customHeight="1" x14ac:dyDescent="0.2">
      <c r="A66" s="389"/>
      <c r="K66" s="390"/>
      <c r="L66" s="369"/>
      <c r="M66" s="369"/>
      <c r="N66" s="369"/>
      <c r="O66" s="391"/>
      <c r="P66" s="390"/>
      <c r="Q66" s="392"/>
      <c r="R66" s="396"/>
      <c r="S66" s="390"/>
      <c r="T66" s="390"/>
      <c r="U66" s="390"/>
      <c r="V66" s="2396"/>
      <c r="W66" s="393"/>
      <c r="X66" s="390"/>
      <c r="AO66" s="690"/>
      <c r="AP66" s="395"/>
      <c r="AQ66" s="691"/>
    </row>
    <row r="67" spans="1:43" s="362" customFormat="1" ht="27" customHeight="1" x14ac:dyDescent="0.2">
      <c r="A67" s="389"/>
      <c r="K67" s="390"/>
      <c r="L67" s="369"/>
      <c r="M67" s="369"/>
      <c r="N67" s="369"/>
      <c r="O67" s="391"/>
      <c r="P67" s="390"/>
      <c r="Q67" s="392"/>
      <c r="R67" s="396"/>
      <c r="S67" s="390"/>
      <c r="T67" s="390"/>
      <c r="U67" s="390"/>
      <c r="V67" s="2396"/>
      <c r="W67" s="393"/>
      <c r="X67" s="390"/>
      <c r="AO67" s="690"/>
      <c r="AP67" s="395"/>
      <c r="AQ67" s="691"/>
    </row>
    <row r="68" spans="1:43" s="362" customFormat="1" ht="27" customHeight="1" x14ac:dyDescent="0.2">
      <c r="A68" s="389"/>
      <c r="K68" s="390"/>
      <c r="L68" s="369"/>
      <c r="M68" s="369"/>
      <c r="N68" s="369"/>
      <c r="O68" s="391"/>
      <c r="P68" s="390"/>
      <c r="Q68" s="392"/>
      <c r="R68" s="396"/>
      <c r="S68" s="390"/>
      <c r="T68" s="390"/>
      <c r="U68" s="390"/>
      <c r="V68" s="2396"/>
      <c r="W68" s="393"/>
      <c r="X68" s="390"/>
      <c r="AO68" s="690"/>
      <c r="AP68" s="395"/>
      <c r="AQ68" s="691"/>
    </row>
    <row r="69" spans="1:43" s="362" customFormat="1" ht="27" customHeight="1" x14ac:dyDescent="0.2">
      <c r="A69" s="389"/>
      <c r="K69" s="390"/>
      <c r="L69" s="369"/>
      <c r="M69" s="369"/>
      <c r="N69" s="369"/>
      <c r="O69" s="391"/>
      <c r="P69" s="390"/>
      <c r="Q69" s="392"/>
      <c r="R69" s="396"/>
      <c r="S69" s="390"/>
      <c r="T69" s="390"/>
      <c r="U69" s="390"/>
      <c r="V69" s="2396"/>
      <c r="W69" s="393"/>
      <c r="X69" s="390"/>
      <c r="AO69" s="690"/>
      <c r="AP69" s="395"/>
      <c r="AQ69" s="691"/>
    </row>
    <row r="70" spans="1:43" s="362" customFormat="1" ht="27" customHeight="1" x14ac:dyDescent="0.2">
      <c r="A70" s="389"/>
      <c r="K70" s="390"/>
      <c r="L70" s="369"/>
      <c r="M70" s="369"/>
      <c r="N70" s="369"/>
      <c r="O70" s="391"/>
      <c r="P70" s="390"/>
      <c r="Q70" s="392"/>
      <c r="R70" s="396"/>
      <c r="S70" s="390"/>
      <c r="T70" s="390"/>
      <c r="U70" s="390"/>
      <c r="V70" s="2396"/>
      <c r="W70" s="393"/>
      <c r="X70" s="390"/>
      <c r="AO70" s="690"/>
      <c r="AP70" s="395"/>
      <c r="AQ70" s="691"/>
    </row>
    <row r="71" spans="1:43" s="362" customFormat="1" ht="27" customHeight="1" x14ac:dyDescent="0.2">
      <c r="A71" s="389"/>
      <c r="K71" s="390"/>
      <c r="L71" s="369"/>
      <c r="M71" s="369"/>
      <c r="N71" s="369"/>
      <c r="O71" s="391"/>
      <c r="P71" s="390"/>
      <c r="Q71" s="392"/>
      <c r="R71" s="396"/>
      <c r="S71" s="390"/>
      <c r="T71" s="390"/>
      <c r="U71" s="390"/>
      <c r="V71" s="2396"/>
      <c r="W71" s="393"/>
      <c r="X71" s="390"/>
      <c r="AO71" s="690"/>
      <c r="AP71" s="395"/>
      <c r="AQ71" s="691"/>
    </row>
    <row r="72" spans="1:43" s="362" customFormat="1" ht="27" customHeight="1" x14ac:dyDescent="0.2">
      <c r="A72" s="389"/>
      <c r="K72" s="390"/>
      <c r="L72" s="369"/>
      <c r="M72" s="369"/>
      <c r="N72" s="369"/>
      <c r="O72" s="391"/>
      <c r="P72" s="390"/>
      <c r="Q72" s="392"/>
      <c r="R72" s="396"/>
      <c r="S72" s="390"/>
      <c r="T72" s="390"/>
      <c r="U72" s="390"/>
      <c r="V72" s="2396"/>
      <c r="W72" s="393"/>
      <c r="X72" s="390"/>
      <c r="AO72" s="690"/>
      <c r="AP72" s="395"/>
      <c r="AQ72" s="691"/>
    </row>
    <row r="73" spans="1:43" s="362" customFormat="1" ht="27" customHeight="1" x14ac:dyDescent="0.2">
      <c r="A73" s="389"/>
      <c r="K73" s="390"/>
      <c r="L73" s="369"/>
      <c r="M73" s="369"/>
      <c r="N73" s="369"/>
      <c r="O73" s="391"/>
      <c r="P73" s="390"/>
      <c r="Q73" s="392"/>
      <c r="R73" s="396"/>
      <c r="S73" s="390"/>
      <c r="T73" s="390"/>
      <c r="U73" s="390"/>
      <c r="V73" s="2396"/>
      <c r="W73" s="393"/>
      <c r="X73" s="390"/>
      <c r="AO73" s="690"/>
      <c r="AP73" s="395"/>
      <c r="AQ73" s="691"/>
    </row>
    <row r="74" spans="1:43" s="362" customFormat="1" ht="27" customHeight="1" x14ac:dyDescent="0.2">
      <c r="A74" s="389"/>
      <c r="K74" s="390"/>
      <c r="L74" s="369"/>
      <c r="M74" s="369"/>
      <c r="N74" s="369"/>
      <c r="O74" s="391"/>
      <c r="P74" s="390"/>
      <c r="Q74" s="392"/>
      <c r="R74" s="396"/>
      <c r="S74" s="390"/>
      <c r="T74" s="390"/>
      <c r="U74" s="390"/>
      <c r="V74" s="2396"/>
      <c r="W74" s="393"/>
      <c r="X74" s="390"/>
      <c r="AO74" s="690"/>
      <c r="AP74" s="395"/>
      <c r="AQ74" s="691"/>
    </row>
    <row r="75" spans="1:43" s="362" customFormat="1" ht="27" customHeight="1" x14ac:dyDescent="0.2">
      <c r="A75" s="389"/>
      <c r="K75" s="390"/>
      <c r="L75" s="369"/>
      <c r="M75" s="369"/>
      <c r="N75" s="369"/>
      <c r="O75" s="391"/>
      <c r="P75" s="390"/>
      <c r="Q75" s="392"/>
      <c r="R75" s="396"/>
      <c r="S75" s="390"/>
      <c r="T75" s="390"/>
      <c r="U75" s="390"/>
      <c r="V75" s="2396"/>
      <c r="W75" s="393"/>
      <c r="X75" s="390"/>
      <c r="AO75" s="690"/>
      <c r="AP75" s="395"/>
      <c r="AQ75" s="691"/>
    </row>
    <row r="76" spans="1:43" s="362" customFormat="1" ht="27" customHeight="1" x14ac:dyDescent="0.2">
      <c r="A76" s="389"/>
      <c r="K76" s="390"/>
      <c r="L76" s="369"/>
      <c r="M76" s="369"/>
      <c r="N76" s="369"/>
      <c r="O76" s="391"/>
      <c r="P76" s="390"/>
      <c r="Q76" s="392"/>
      <c r="R76" s="396"/>
      <c r="S76" s="390"/>
      <c r="T76" s="390"/>
      <c r="U76" s="390"/>
      <c r="V76" s="2396"/>
      <c r="W76" s="393"/>
      <c r="X76" s="390"/>
      <c r="AO76" s="690"/>
      <c r="AP76" s="395"/>
      <c r="AQ76" s="691"/>
    </row>
    <row r="77" spans="1:43" s="362" customFormat="1" ht="27" customHeight="1" x14ac:dyDescent="0.2">
      <c r="A77" s="389"/>
      <c r="K77" s="390"/>
      <c r="L77" s="369"/>
      <c r="M77" s="369"/>
      <c r="N77" s="369"/>
      <c r="O77" s="391"/>
      <c r="P77" s="390"/>
      <c r="Q77" s="392"/>
      <c r="R77" s="396"/>
      <c r="S77" s="390"/>
      <c r="T77" s="390"/>
      <c r="U77" s="390"/>
      <c r="V77" s="2396"/>
      <c r="W77" s="393"/>
      <c r="X77" s="390"/>
      <c r="AO77" s="690"/>
      <c r="AP77" s="395"/>
      <c r="AQ77" s="691"/>
    </row>
    <row r="78" spans="1:43" s="362" customFormat="1" ht="27" customHeight="1" x14ac:dyDescent="0.2">
      <c r="A78" s="389"/>
      <c r="K78" s="390"/>
      <c r="L78" s="369"/>
      <c r="M78" s="369"/>
      <c r="N78" s="369"/>
      <c r="O78" s="391"/>
      <c r="P78" s="390"/>
      <c r="Q78" s="392"/>
      <c r="R78" s="396"/>
      <c r="S78" s="390"/>
      <c r="T78" s="390"/>
      <c r="U78" s="390"/>
      <c r="V78" s="2396"/>
      <c r="W78" s="393"/>
      <c r="X78" s="390"/>
      <c r="AO78" s="690"/>
      <c r="AP78" s="395"/>
      <c r="AQ78" s="691"/>
    </row>
    <row r="79" spans="1:43" s="362" customFormat="1" ht="27" customHeight="1" x14ac:dyDescent="0.2">
      <c r="A79" s="389"/>
      <c r="K79" s="390"/>
      <c r="L79" s="369"/>
      <c r="M79" s="369"/>
      <c r="N79" s="369"/>
      <c r="O79" s="391"/>
      <c r="P79" s="390"/>
      <c r="Q79" s="392"/>
      <c r="R79" s="396"/>
      <c r="S79" s="390"/>
      <c r="T79" s="390"/>
      <c r="U79" s="390"/>
      <c r="V79" s="2396"/>
      <c r="W79" s="393"/>
      <c r="X79" s="390"/>
      <c r="AO79" s="690"/>
      <c r="AP79" s="395"/>
      <c r="AQ79" s="691"/>
    </row>
    <row r="80" spans="1:43" s="362" customFormat="1" ht="27" customHeight="1" x14ac:dyDescent="0.2">
      <c r="A80" s="389"/>
      <c r="K80" s="390"/>
      <c r="L80" s="369"/>
      <c r="M80" s="369"/>
      <c r="N80" s="369"/>
      <c r="O80" s="391"/>
      <c r="P80" s="390"/>
      <c r="Q80" s="392"/>
      <c r="R80" s="396"/>
      <c r="S80" s="390"/>
      <c r="T80" s="390"/>
      <c r="U80" s="390"/>
      <c r="V80" s="2396"/>
      <c r="W80" s="393"/>
      <c r="X80" s="390"/>
      <c r="AO80" s="690"/>
      <c r="AP80" s="395"/>
      <c r="AQ80" s="691"/>
    </row>
    <row r="81" spans="1:43" s="362" customFormat="1" ht="27" customHeight="1" x14ac:dyDescent="0.2">
      <c r="A81" s="389"/>
      <c r="K81" s="390"/>
      <c r="L81" s="369"/>
      <c r="M81" s="369"/>
      <c r="N81" s="369"/>
      <c r="O81" s="391"/>
      <c r="P81" s="390"/>
      <c r="Q81" s="392"/>
      <c r="R81" s="396"/>
      <c r="S81" s="390"/>
      <c r="T81" s="390"/>
      <c r="U81" s="390"/>
      <c r="V81" s="2396"/>
      <c r="W81" s="393"/>
      <c r="X81" s="390"/>
      <c r="AO81" s="690"/>
      <c r="AP81" s="395"/>
      <c r="AQ81" s="691"/>
    </row>
    <row r="82" spans="1:43" s="362" customFormat="1" ht="27" customHeight="1" x14ac:dyDescent="0.2">
      <c r="A82" s="389"/>
      <c r="K82" s="390"/>
      <c r="L82" s="369"/>
      <c r="M82" s="369"/>
      <c r="N82" s="369"/>
      <c r="O82" s="391"/>
      <c r="P82" s="390"/>
      <c r="Q82" s="392"/>
      <c r="R82" s="396"/>
      <c r="S82" s="390"/>
      <c r="T82" s="390"/>
      <c r="U82" s="390"/>
      <c r="V82" s="2396"/>
      <c r="W82" s="393"/>
      <c r="X82" s="390"/>
      <c r="AO82" s="690"/>
      <c r="AP82" s="395"/>
      <c r="AQ82" s="691"/>
    </row>
    <row r="83" spans="1:43" s="362" customFormat="1" ht="27" customHeight="1" x14ac:dyDescent="0.2">
      <c r="A83" s="389"/>
      <c r="K83" s="390"/>
      <c r="L83" s="369"/>
      <c r="M83" s="369"/>
      <c r="N83" s="369"/>
      <c r="O83" s="391"/>
      <c r="P83" s="390"/>
      <c r="Q83" s="392"/>
      <c r="R83" s="396"/>
      <c r="S83" s="390"/>
      <c r="T83" s="390"/>
      <c r="U83" s="390"/>
      <c r="V83" s="2396"/>
      <c r="W83" s="393"/>
      <c r="X83" s="390"/>
      <c r="AO83" s="690"/>
      <c r="AP83" s="395"/>
      <c r="AQ83" s="691"/>
    </row>
    <row r="84" spans="1:43" s="362" customFormat="1" ht="27" customHeight="1" x14ac:dyDescent="0.2">
      <c r="A84" s="389"/>
      <c r="K84" s="390"/>
      <c r="L84" s="369"/>
      <c r="M84" s="369"/>
      <c r="N84" s="369"/>
      <c r="O84" s="391"/>
      <c r="P84" s="390"/>
      <c r="Q84" s="392"/>
      <c r="R84" s="396"/>
      <c r="S84" s="390"/>
      <c r="T84" s="390"/>
      <c r="U84" s="390"/>
      <c r="V84" s="2396"/>
      <c r="W84" s="393"/>
      <c r="X84" s="390"/>
      <c r="AO84" s="690"/>
      <c r="AP84" s="395"/>
      <c r="AQ84" s="691"/>
    </row>
    <row r="85" spans="1:43" s="362" customFormat="1" ht="27" customHeight="1" x14ac:dyDescent="0.2">
      <c r="A85" s="389"/>
      <c r="K85" s="390"/>
      <c r="L85" s="369"/>
      <c r="M85" s="369"/>
      <c r="N85" s="369"/>
      <c r="O85" s="391"/>
      <c r="P85" s="390"/>
      <c r="Q85" s="392"/>
      <c r="R85" s="396"/>
      <c r="S85" s="390"/>
      <c r="T85" s="390"/>
      <c r="U85" s="390"/>
      <c r="V85" s="2396"/>
      <c r="W85" s="393"/>
      <c r="X85" s="390"/>
      <c r="AO85" s="690"/>
      <c r="AP85" s="395"/>
      <c r="AQ85" s="691"/>
    </row>
    <row r="86" spans="1:43" s="362" customFormat="1" ht="27" customHeight="1" x14ac:dyDescent="0.2">
      <c r="A86" s="389"/>
      <c r="K86" s="390"/>
      <c r="L86" s="369"/>
      <c r="M86" s="369"/>
      <c r="N86" s="369"/>
      <c r="O86" s="391"/>
      <c r="P86" s="390"/>
      <c r="Q86" s="392"/>
      <c r="R86" s="396"/>
      <c r="S86" s="390"/>
      <c r="T86" s="390"/>
      <c r="U86" s="390"/>
      <c r="V86" s="2396"/>
      <c r="W86" s="393"/>
      <c r="X86" s="390"/>
      <c r="AO86" s="690"/>
      <c r="AP86" s="395"/>
      <c r="AQ86" s="691"/>
    </row>
    <row r="87" spans="1:43" s="362" customFormat="1" ht="27" customHeight="1" x14ac:dyDescent="0.2">
      <c r="A87" s="389"/>
      <c r="K87" s="390"/>
      <c r="L87" s="369"/>
      <c r="M87" s="369"/>
      <c r="N87" s="369"/>
      <c r="O87" s="391"/>
      <c r="P87" s="390"/>
      <c r="Q87" s="392"/>
      <c r="R87" s="396"/>
      <c r="S87" s="390"/>
      <c r="T87" s="390"/>
      <c r="U87" s="390"/>
      <c r="V87" s="2396"/>
      <c r="W87" s="393"/>
      <c r="X87" s="390"/>
      <c r="AO87" s="690"/>
      <c r="AP87" s="395"/>
      <c r="AQ87" s="691"/>
    </row>
    <row r="88" spans="1:43" s="362" customFormat="1" ht="27" customHeight="1" x14ac:dyDescent="0.2">
      <c r="A88" s="389"/>
      <c r="K88" s="390"/>
      <c r="L88" s="369"/>
      <c r="M88" s="369"/>
      <c r="N88" s="369"/>
      <c r="O88" s="391"/>
      <c r="P88" s="390"/>
      <c r="Q88" s="392"/>
      <c r="R88" s="396"/>
      <c r="S88" s="390"/>
      <c r="T88" s="390"/>
      <c r="U88" s="390"/>
      <c r="V88" s="2396"/>
      <c r="W88" s="393"/>
      <c r="X88" s="390"/>
      <c r="AO88" s="690"/>
      <c r="AP88" s="395"/>
      <c r="AQ88" s="691"/>
    </row>
    <row r="89" spans="1:43" s="362" customFormat="1" ht="27" customHeight="1" x14ac:dyDescent="0.2">
      <c r="A89" s="389"/>
      <c r="K89" s="390"/>
      <c r="L89" s="369"/>
      <c r="M89" s="369"/>
      <c r="N89" s="369"/>
      <c r="O89" s="391"/>
      <c r="P89" s="390"/>
      <c r="Q89" s="392"/>
      <c r="R89" s="396"/>
      <c r="S89" s="390"/>
      <c r="T89" s="390"/>
      <c r="U89" s="390"/>
      <c r="V89" s="2396"/>
      <c r="W89" s="393"/>
      <c r="X89" s="390"/>
      <c r="AO89" s="690"/>
      <c r="AP89" s="395"/>
      <c r="AQ89" s="691"/>
    </row>
    <row r="90" spans="1:43" s="362" customFormat="1" ht="27" customHeight="1" x14ac:dyDescent="0.2">
      <c r="A90" s="389"/>
      <c r="K90" s="390"/>
      <c r="L90" s="369"/>
      <c r="M90" s="369"/>
      <c r="N90" s="369"/>
      <c r="O90" s="391"/>
      <c r="P90" s="390"/>
      <c r="Q90" s="392"/>
      <c r="R90" s="396"/>
      <c r="S90" s="390"/>
      <c r="T90" s="390"/>
      <c r="U90" s="390"/>
      <c r="V90" s="2396"/>
      <c r="W90" s="393"/>
      <c r="X90" s="390"/>
      <c r="AO90" s="690"/>
      <c r="AP90" s="395"/>
      <c r="AQ90" s="691"/>
    </row>
    <row r="91" spans="1:43" s="362" customFormat="1" ht="27" customHeight="1" x14ac:dyDescent="0.2">
      <c r="A91" s="389"/>
      <c r="K91" s="390"/>
      <c r="L91" s="369"/>
      <c r="M91" s="369"/>
      <c r="N91" s="369"/>
      <c r="O91" s="391"/>
      <c r="P91" s="390"/>
      <c r="Q91" s="392"/>
      <c r="R91" s="396"/>
      <c r="S91" s="390"/>
      <c r="T91" s="390"/>
      <c r="U91" s="390"/>
      <c r="V91" s="2396"/>
      <c r="W91" s="393"/>
      <c r="X91" s="390"/>
      <c r="AO91" s="690"/>
      <c r="AP91" s="395"/>
      <c r="AQ91" s="691"/>
    </row>
    <row r="92" spans="1:43" s="362" customFormat="1" ht="27" customHeight="1" x14ac:dyDescent="0.2">
      <c r="A92" s="389"/>
      <c r="K92" s="390"/>
      <c r="L92" s="369"/>
      <c r="M92" s="369"/>
      <c r="N92" s="369"/>
      <c r="O92" s="391"/>
      <c r="P92" s="390"/>
      <c r="Q92" s="392"/>
      <c r="R92" s="396"/>
      <c r="S92" s="390"/>
      <c r="T92" s="390"/>
      <c r="U92" s="390"/>
      <c r="V92" s="2396"/>
      <c r="W92" s="393"/>
      <c r="X92" s="390"/>
      <c r="AO92" s="690"/>
      <c r="AP92" s="395"/>
      <c r="AQ92" s="691"/>
    </row>
    <row r="93" spans="1:43" s="362" customFormat="1" ht="27" customHeight="1" x14ac:dyDescent="0.2">
      <c r="A93" s="389"/>
      <c r="K93" s="390"/>
      <c r="L93" s="369"/>
      <c r="M93" s="369"/>
      <c r="N93" s="369"/>
      <c r="O93" s="391"/>
      <c r="P93" s="390"/>
      <c r="Q93" s="392"/>
      <c r="R93" s="396"/>
      <c r="S93" s="390"/>
      <c r="T93" s="390"/>
      <c r="U93" s="390"/>
      <c r="V93" s="2396"/>
      <c r="W93" s="393"/>
      <c r="X93" s="390"/>
      <c r="AO93" s="690"/>
      <c r="AP93" s="395"/>
      <c r="AQ93" s="691"/>
    </row>
    <row r="94" spans="1:43" s="362" customFormat="1" ht="27" customHeight="1" x14ac:dyDescent="0.2">
      <c r="A94" s="389"/>
      <c r="K94" s="390"/>
      <c r="L94" s="369"/>
      <c r="M94" s="369"/>
      <c r="N94" s="369"/>
      <c r="O94" s="391"/>
      <c r="P94" s="390"/>
      <c r="Q94" s="392"/>
      <c r="R94" s="396"/>
      <c r="S94" s="390"/>
      <c r="T94" s="390"/>
      <c r="U94" s="390"/>
      <c r="V94" s="2396"/>
      <c r="W94" s="393"/>
      <c r="X94" s="390"/>
      <c r="AO94" s="690"/>
      <c r="AP94" s="395"/>
      <c r="AQ94" s="691"/>
    </row>
    <row r="95" spans="1:43" s="362" customFormat="1" ht="27" customHeight="1" x14ac:dyDescent="0.2">
      <c r="A95" s="389"/>
      <c r="K95" s="390"/>
      <c r="L95" s="369"/>
      <c r="M95" s="369"/>
      <c r="N95" s="369"/>
      <c r="O95" s="391"/>
      <c r="P95" s="390"/>
      <c r="Q95" s="392"/>
      <c r="R95" s="396"/>
      <c r="S95" s="390"/>
      <c r="T95" s="390"/>
      <c r="U95" s="390"/>
      <c r="V95" s="2396"/>
      <c r="W95" s="393"/>
      <c r="X95" s="390"/>
      <c r="AO95" s="690"/>
      <c r="AP95" s="395"/>
      <c r="AQ95" s="691"/>
    </row>
    <row r="96" spans="1:43" s="362" customFormat="1" ht="27" customHeight="1" x14ac:dyDescent="0.2">
      <c r="A96" s="389"/>
      <c r="K96" s="390"/>
      <c r="L96" s="369"/>
      <c r="M96" s="369"/>
      <c r="N96" s="369"/>
      <c r="O96" s="391"/>
      <c r="P96" s="390"/>
      <c r="Q96" s="392"/>
      <c r="R96" s="396"/>
      <c r="S96" s="390"/>
      <c r="T96" s="390"/>
      <c r="U96" s="390"/>
      <c r="V96" s="2396"/>
      <c r="W96" s="393"/>
      <c r="X96" s="390"/>
      <c r="AO96" s="690"/>
      <c r="AP96" s="395"/>
      <c r="AQ96" s="691"/>
    </row>
    <row r="97" spans="1:43" s="362" customFormat="1" ht="27" customHeight="1" x14ac:dyDescent="0.2">
      <c r="A97" s="389"/>
      <c r="K97" s="390"/>
      <c r="L97" s="369"/>
      <c r="M97" s="369"/>
      <c r="N97" s="369"/>
      <c r="O97" s="391"/>
      <c r="P97" s="390"/>
      <c r="Q97" s="392"/>
      <c r="R97" s="396"/>
      <c r="S97" s="390"/>
      <c r="T97" s="390"/>
      <c r="U97" s="390"/>
      <c r="V97" s="2396"/>
      <c r="W97" s="393"/>
      <c r="X97" s="390"/>
      <c r="AO97" s="690"/>
      <c r="AP97" s="395"/>
      <c r="AQ97" s="691"/>
    </row>
    <row r="98" spans="1:43" s="362" customFormat="1" ht="27" customHeight="1" x14ac:dyDescent="0.2">
      <c r="A98" s="389"/>
      <c r="K98" s="390"/>
      <c r="L98" s="369"/>
      <c r="M98" s="369"/>
      <c r="N98" s="369"/>
      <c r="O98" s="391"/>
      <c r="P98" s="390"/>
      <c r="Q98" s="392"/>
      <c r="R98" s="396"/>
      <c r="S98" s="390"/>
      <c r="T98" s="390"/>
      <c r="U98" s="390"/>
      <c r="V98" s="2396"/>
      <c r="W98" s="393"/>
      <c r="X98" s="390"/>
      <c r="AO98" s="690"/>
      <c r="AP98" s="395"/>
      <c r="AQ98" s="691"/>
    </row>
    <row r="99" spans="1:43" s="362" customFormat="1" ht="27" customHeight="1" x14ac:dyDescent="0.2">
      <c r="A99" s="389"/>
      <c r="K99" s="390"/>
      <c r="L99" s="369"/>
      <c r="M99" s="369"/>
      <c r="N99" s="369"/>
      <c r="O99" s="391"/>
      <c r="P99" s="390"/>
      <c r="Q99" s="392"/>
      <c r="R99" s="396"/>
      <c r="S99" s="390"/>
      <c r="T99" s="390"/>
      <c r="U99" s="390"/>
      <c r="V99" s="2396"/>
      <c r="W99" s="393"/>
      <c r="X99" s="390"/>
      <c r="AO99" s="690"/>
      <c r="AP99" s="395"/>
      <c r="AQ99" s="691"/>
    </row>
    <row r="100" spans="1:43" s="362" customFormat="1" ht="27" customHeight="1" x14ac:dyDescent="0.2">
      <c r="A100" s="389"/>
      <c r="K100" s="390"/>
      <c r="L100" s="369"/>
      <c r="M100" s="369"/>
      <c r="N100" s="369"/>
      <c r="O100" s="391"/>
      <c r="P100" s="390"/>
      <c r="Q100" s="392"/>
      <c r="R100" s="396"/>
      <c r="S100" s="390"/>
      <c r="T100" s="390"/>
      <c r="U100" s="390"/>
      <c r="V100" s="2396"/>
      <c r="W100" s="393"/>
      <c r="X100" s="390"/>
      <c r="AO100" s="690"/>
      <c r="AP100" s="395"/>
      <c r="AQ100" s="691"/>
    </row>
    <row r="101" spans="1:43" s="362" customFormat="1" ht="27" customHeight="1" x14ac:dyDescent="0.2">
      <c r="A101" s="389"/>
      <c r="K101" s="390"/>
      <c r="L101" s="369"/>
      <c r="M101" s="369"/>
      <c r="N101" s="369"/>
      <c r="O101" s="391"/>
      <c r="P101" s="390"/>
      <c r="Q101" s="392"/>
      <c r="R101" s="396"/>
      <c r="S101" s="390"/>
      <c r="T101" s="390"/>
      <c r="U101" s="390"/>
      <c r="V101" s="2396"/>
      <c r="W101" s="393"/>
      <c r="X101" s="390"/>
      <c r="AO101" s="690"/>
      <c r="AP101" s="395"/>
      <c r="AQ101" s="691"/>
    </row>
    <row r="102" spans="1:43" s="362" customFormat="1" ht="27" customHeight="1" x14ac:dyDescent="0.2">
      <c r="A102" s="389"/>
      <c r="K102" s="390"/>
      <c r="L102" s="369"/>
      <c r="M102" s="369"/>
      <c r="N102" s="369"/>
      <c r="O102" s="391"/>
      <c r="P102" s="390"/>
      <c r="Q102" s="392"/>
      <c r="R102" s="396"/>
      <c r="S102" s="390"/>
      <c r="T102" s="390"/>
      <c r="U102" s="390"/>
      <c r="V102" s="2396"/>
      <c r="W102" s="393"/>
      <c r="X102" s="390"/>
      <c r="AO102" s="690"/>
      <c r="AP102" s="395"/>
      <c r="AQ102" s="691"/>
    </row>
    <row r="103" spans="1:43" s="362" customFormat="1" ht="27" customHeight="1" x14ac:dyDescent="0.2">
      <c r="A103" s="389"/>
      <c r="K103" s="390"/>
      <c r="L103" s="369"/>
      <c r="M103" s="369"/>
      <c r="N103" s="369"/>
      <c r="O103" s="391"/>
      <c r="P103" s="390"/>
      <c r="Q103" s="392"/>
      <c r="R103" s="396"/>
      <c r="S103" s="390"/>
      <c r="T103" s="390"/>
      <c r="U103" s="390"/>
      <c r="V103" s="2396"/>
      <c r="W103" s="393"/>
      <c r="X103" s="390"/>
      <c r="AO103" s="690"/>
      <c r="AP103" s="395"/>
      <c r="AQ103" s="691"/>
    </row>
    <row r="104" spans="1:43" s="362" customFormat="1" ht="27" customHeight="1" x14ac:dyDescent="0.2">
      <c r="A104" s="389"/>
      <c r="K104" s="390"/>
      <c r="L104" s="369"/>
      <c r="M104" s="369"/>
      <c r="N104" s="369"/>
      <c r="O104" s="391"/>
      <c r="P104" s="390"/>
      <c r="Q104" s="392"/>
      <c r="R104" s="396"/>
      <c r="S104" s="390"/>
      <c r="T104" s="390"/>
      <c r="U104" s="390"/>
      <c r="V104" s="2396"/>
      <c r="W104" s="393"/>
      <c r="X104" s="390"/>
      <c r="AO104" s="690"/>
      <c r="AP104" s="395"/>
      <c r="AQ104" s="691"/>
    </row>
    <row r="105" spans="1:43" s="362" customFormat="1" ht="27" customHeight="1" x14ac:dyDescent="0.2">
      <c r="A105" s="389"/>
      <c r="K105" s="390"/>
      <c r="L105" s="369"/>
      <c r="M105" s="369"/>
      <c r="N105" s="369"/>
      <c r="O105" s="391"/>
      <c r="P105" s="390"/>
      <c r="Q105" s="392"/>
      <c r="R105" s="396"/>
      <c r="S105" s="390"/>
      <c r="T105" s="390"/>
      <c r="U105" s="390"/>
      <c r="V105" s="2396"/>
      <c r="W105" s="393"/>
      <c r="X105" s="390"/>
      <c r="AO105" s="690"/>
      <c r="AP105" s="395"/>
      <c r="AQ105" s="691"/>
    </row>
    <row r="106" spans="1:43" s="362" customFormat="1" ht="27" customHeight="1" x14ac:dyDescent="0.2">
      <c r="A106" s="389"/>
      <c r="K106" s="390"/>
      <c r="L106" s="369"/>
      <c r="M106" s="369"/>
      <c r="N106" s="369"/>
      <c r="O106" s="391"/>
      <c r="P106" s="390"/>
      <c r="Q106" s="392"/>
      <c r="R106" s="396"/>
      <c r="S106" s="390"/>
      <c r="T106" s="390"/>
      <c r="U106" s="390"/>
      <c r="V106" s="2396"/>
      <c r="W106" s="393"/>
      <c r="X106" s="390"/>
      <c r="AO106" s="690"/>
      <c r="AP106" s="395"/>
      <c r="AQ106" s="691"/>
    </row>
    <row r="107" spans="1:43" s="362" customFormat="1" ht="27" customHeight="1" x14ac:dyDescent="0.2">
      <c r="A107" s="389"/>
      <c r="K107" s="390"/>
      <c r="L107" s="369"/>
      <c r="M107" s="369"/>
      <c r="N107" s="369"/>
      <c r="O107" s="391"/>
      <c r="P107" s="390"/>
      <c r="Q107" s="392"/>
      <c r="R107" s="396"/>
      <c r="S107" s="390"/>
      <c r="T107" s="390"/>
      <c r="U107" s="390"/>
      <c r="V107" s="2396"/>
      <c r="W107" s="393"/>
      <c r="X107" s="390"/>
      <c r="AO107" s="690"/>
      <c r="AP107" s="395"/>
      <c r="AQ107" s="691"/>
    </row>
    <row r="108" spans="1:43" s="362" customFormat="1" ht="27" customHeight="1" x14ac:dyDescent="0.2">
      <c r="A108" s="389"/>
      <c r="K108" s="390"/>
      <c r="L108" s="369"/>
      <c r="M108" s="369"/>
      <c r="N108" s="369"/>
      <c r="O108" s="391"/>
      <c r="P108" s="390"/>
      <c r="Q108" s="392"/>
      <c r="R108" s="396"/>
      <c r="S108" s="390"/>
      <c r="T108" s="390"/>
      <c r="U108" s="390"/>
      <c r="V108" s="2396"/>
      <c r="W108" s="393"/>
      <c r="X108" s="390"/>
      <c r="AO108" s="690"/>
      <c r="AP108" s="395"/>
      <c r="AQ108" s="691"/>
    </row>
    <row r="109" spans="1:43" s="362" customFormat="1" ht="27" customHeight="1" x14ac:dyDescent="0.2">
      <c r="A109" s="389"/>
      <c r="K109" s="390"/>
      <c r="L109" s="369"/>
      <c r="M109" s="369"/>
      <c r="N109" s="369"/>
      <c r="O109" s="391"/>
      <c r="P109" s="390"/>
      <c r="Q109" s="392"/>
      <c r="R109" s="396"/>
      <c r="S109" s="390"/>
      <c r="T109" s="390"/>
      <c r="U109" s="390"/>
      <c r="V109" s="2396"/>
      <c r="W109" s="393"/>
      <c r="X109" s="390"/>
      <c r="AO109" s="690"/>
      <c r="AP109" s="395"/>
      <c r="AQ109" s="691"/>
    </row>
    <row r="110" spans="1:43" s="362" customFormat="1" ht="27" customHeight="1" x14ac:dyDescent="0.2">
      <c r="A110" s="389"/>
      <c r="K110" s="390"/>
      <c r="L110" s="369"/>
      <c r="M110" s="369"/>
      <c r="N110" s="369"/>
      <c r="O110" s="391"/>
      <c r="P110" s="390"/>
      <c r="Q110" s="392"/>
      <c r="R110" s="396"/>
      <c r="S110" s="390"/>
      <c r="T110" s="390"/>
      <c r="U110" s="390"/>
      <c r="V110" s="2396"/>
      <c r="W110" s="393"/>
      <c r="X110" s="390"/>
      <c r="AO110" s="690"/>
      <c r="AP110" s="395"/>
      <c r="AQ110" s="691"/>
    </row>
    <row r="111" spans="1:43" s="362" customFormat="1" ht="27" customHeight="1" x14ac:dyDescent="0.2">
      <c r="A111" s="389"/>
      <c r="K111" s="390"/>
      <c r="L111" s="369"/>
      <c r="M111" s="369"/>
      <c r="N111" s="369"/>
      <c r="O111" s="391"/>
      <c r="P111" s="390"/>
      <c r="Q111" s="392"/>
      <c r="R111" s="396"/>
      <c r="S111" s="390"/>
      <c r="T111" s="390"/>
      <c r="U111" s="390"/>
      <c r="V111" s="2396"/>
      <c r="W111" s="393"/>
      <c r="X111" s="390"/>
      <c r="AO111" s="690"/>
      <c r="AP111" s="395"/>
      <c r="AQ111" s="691"/>
    </row>
    <row r="112" spans="1:43" s="362" customFormat="1" ht="27" customHeight="1" x14ac:dyDescent="0.2">
      <c r="A112" s="389"/>
      <c r="K112" s="390"/>
      <c r="L112" s="369"/>
      <c r="M112" s="369"/>
      <c r="N112" s="369"/>
      <c r="O112" s="391"/>
      <c r="P112" s="390"/>
      <c r="Q112" s="392"/>
      <c r="R112" s="396"/>
      <c r="S112" s="390"/>
      <c r="T112" s="390"/>
      <c r="U112" s="390"/>
      <c r="V112" s="2396"/>
      <c r="W112" s="393"/>
      <c r="X112" s="390"/>
      <c r="AO112" s="690"/>
      <c r="AP112" s="395"/>
      <c r="AQ112" s="691"/>
    </row>
    <row r="113" spans="1:43" s="362" customFormat="1" ht="27" customHeight="1" x14ac:dyDescent="0.2">
      <c r="A113" s="389"/>
      <c r="K113" s="390"/>
      <c r="L113" s="369"/>
      <c r="M113" s="369"/>
      <c r="N113" s="369"/>
      <c r="O113" s="391"/>
      <c r="P113" s="390"/>
      <c r="Q113" s="392"/>
      <c r="R113" s="396"/>
      <c r="S113" s="390"/>
      <c r="T113" s="390"/>
      <c r="U113" s="390"/>
      <c r="V113" s="2396"/>
      <c r="W113" s="393"/>
      <c r="X113" s="390"/>
      <c r="AO113" s="690"/>
      <c r="AP113" s="395"/>
      <c r="AQ113" s="691"/>
    </row>
    <row r="114" spans="1:43" s="362" customFormat="1" ht="27" customHeight="1" x14ac:dyDescent="0.2">
      <c r="A114" s="389"/>
      <c r="K114" s="390"/>
      <c r="L114" s="369"/>
      <c r="M114" s="369"/>
      <c r="N114" s="369"/>
      <c r="O114" s="391"/>
      <c r="P114" s="390"/>
      <c r="Q114" s="392"/>
      <c r="R114" s="396"/>
      <c r="S114" s="390"/>
      <c r="T114" s="390"/>
      <c r="U114" s="390"/>
      <c r="V114" s="2396"/>
      <c r="W114" s="393"/>
      <c r="X114" s="390"/>
      <c r="AO114" s="690"/>
      <c r="AP114" s="395"/>
      <c r="AQ114" s="691"/>
    </row>
    <row r="115" spans="1:43" s="362" customFormat="1" ht="27" customHeight="1" x14ac:dyDescent="0.2">
      <c r="A115" s="389"/>
      <c r="K115" s="390"/>
      <c r="L115" s="369"/>
      <c r="M115" s="369"/>
      <c r="N115" s="369"/>
      <c r="O115" s="391"/>
      <c r="P115" s="390"/>
      <c r="Q115" s="392"/>
      <c r="R115" s="396"/>
      <c r="S115" s="390"/>
      <c r="T115" s="390"/>
      <c r="U115" s="390"/>
      <c r="V115" s="2396"/>
      <c r="W115" s="393"/>
      <c r="X115" s="390"/>
      <c r="AO115" s="690"/>
      <c r="AP115" s="395"/>
      <c r="AQ115" s="691"/>
    </row>
    <row r="116" spans="1:43" s="362" customFormat="1" ht="27" customHeight="1" x14ac:dyDescent="0.2">
      <c r="A116" s="389"/>
      <c r="K116" s="390"/>
      <c r="L116" s="369"/>
      <c r="M116" s="369"/>
      <c r="N116" s="369"/>
      <c r="O116" s="391"/>
      <c r="P116" s="390"/>
      <c r="Q116" s="392"/>
      <c r="R116" s="396"/>
      <c r="S116" s="390"/>
      <c r="T116" s="390"/>
      <c r="U116" s="390"/>
      <c r="V116" s="2396"/>
      <c r="W116" s="393"/>
      <c r="X116" s="390"/>
      <c r="AO116" s="690"/>
      <c r="AP116" s="395"/>
      <c r="AQ116" s="691"/>
    </row>
    <row r="117" spans="1:43" s="362" customFormat="1" ht="27" customHeight="1" x14ac:dyDescent="0.2">
      <c r="A117" s="389"/>
      <c r="K117" s="390"/>
      <c r="L117" s="369"/>
      <c r="M117" s="369"/>
      <c r="N117" s="369"/>
      <c r="O117" s="391"/>
      <c r="P117" s="390"/>
      <c r="Q117" s="392"/>
      <c r="R117" s="396"/>
      <c r="S117" s="390"/>
      <c r="T117" s="390"/>
      <c r="U117" s="390"/>
      <c r="V117" s="2396"/>
      <c r="W117" s="393"/>
      <c r="X117" s="390"/>
      <c r="AO117" s="690"/>
      <c r="AP117" s="395"/>
      <c r="AQ117" s="691"/>
    </row>
    <row r="118" spans="1:43" s="362" customFormat="1" ht="27" customHeight="1" x14ac:dyDescent="0.2">
      <c r="A118" s="389"/>
      <c r="K118" s="390"/>
      <c r="L118" s="369"/>
      <c r="M118" s="369"/>
      <c r="N118" s="369"/>
      <c r="O118" s="391"/>
      <c r="P118" s="390"/>
      <c r="Q118" s="392"/>
      <c r="R118" s="396"/>
      <c r="S118" s="390"/>
      <c r="T118" s="390"/>
      <c r="U118" s="390"/>
      <c r="V118" s="2396"/>
      <c r="W118" s="393"/>
      <c r="X118" s="390"/>
      <c r="AO118" s="690"/>
      <c r="AP118" s="395"/>
      <c r="AQ118" s="691"/>
    </row>
    <row r="119" spans="1:43" s="362" customFormat="1" ht="27" customHeight="1" x14ac:dyDescent="0.2">
      <c r="A119" s="389"/>
      <c r="K119" s="390"/>
      <c r="L119" s="369"/>
      <c r="M119" s="369"/>
      <c r="N119" s="369"/>
      <c r="O119" s="391"/>
      <c r="P119" s="390"/>
      <c r="Q119" s="392"/>
      <c r="R119" s="396"/>
      <c r="S119" s="390"/>
      <c r="T119" s="390"/>
      <c r="U119" s="390"/>
      <c r="V119" s="2396"/>
      <c r="W119" s="393"/>
      <c r="X119" s="390"/>
      <c r="AO119" s="690"/>
      <c r="AP119" s="395"/>
      <c r="AQ119" s="691"/>
    </row>
    <row r="120" spans="1:43" s="362" customFormat="1" ht="27" customHeight="1" x14ac:dyDescent="0.2">
      <c r="A120" s="389"/>
      <c r="K120" s="390"/>
      <c r="L120" s="369"/>
      <c r="M120" s="369"/>
      <c r="N120" s="369"/>
      <c r="O120" s="391"/>
      <c r="P120" s="390"/>
      <c r="Q120" s="392"/>
      <c r="R120" s="396"/>
      <c r="S120" s="390"/>
      <c r="T120" s="390"/>
      <c r="U120" s="390"/>
      <c r="V120" s="2396"/>
      <c r="W120" s="393"/>
      <c r="X120" s="390"/>
      <c r="AO120" s="690"/>
      <c r="AP120" s="395"/>
      <c r="AQ120" s="691"/>
    </row>
    <row r="121" spans="1:43" s="362" customFormat="1" ht="27" customHeight="1" x14ac:dyDescent="0.2">
      <c r="A121" s="389"/>
      <c r="K121" s="390"/>
      <c r="L121" s="369"/>
      <c r="M121" s="369"/>
      <c r="N121" s="369"/>
      <c r="O121" s="391"/>
      <c r="P121" s="390"/>
      <c r="Q121" s="392"/>
      <c r="R121" s="396"/>
      <c r="S121" s="390"/>
      <c r="T121" s="390"/>
      <c r="U121" s="390"/>
      <c r="V121" s="2396"/>
      <c r="W121" s="393"/>
      <c r="X121" s="390"/>
      <c r="AO121" s="690"/>
      <c r="AP121" s="395"/>
      <c r="AQ121" s="691"/>
    </row>
    <row r="122" spans="1:43" s="362" customFormat="1" ht="27" customHeight="1" x14ac:dyDescent="0.2">
      <c r="A122" s="389"/>
      <c r="K122" s="390"/>
      <c r="L122" s="369"/>
      <c r="M122" s="369"/>
      <c r="N122" s="369"/>
      <c r="O122" s="391"/>
      <c r="P122" s="390"/>
      <c r="Q122" s="392"/>
      <c r="R122" s="396"/>
      <c r="S122" s="390"/>
      <c r="T122" s="390"/>
      <c r="U122" s="390"/>
      <c r="V122" s="2396"/>
      <c r="W122" s="393"/>
      <c r="X122" s="390"/>
      <c r="AO122" s="690"/>
      <c r="AP122" s="395"/>
      <c r="AQ122" s="691"/>
    </row>
    <row r="123" spans="1:43" s="362" customFormat="1" ht="27" customHeight="1" x14ac:dyDescent="0.2">
      <c r="A123" s="389"/>
      <c r="K123" s="390"/>
      <c r="L123" s="369"/>
      <c r="M123" s="369"/>
      <c r="N123" s="369"/>
      <c r="O123" s="391"/>
      <c r="P123" s="390"/>
      <c r="Q123" s="392"/>
      <c r="R123" s="396"/>
      <c r="S123" s="390"/>
      <c r="T123" s="390"/>
      <c r="U123" s="390"/>
      <c r="V123" s="2396"/>
      <c r="W123" s="393"/>
      <c r="X123" s="390"/>
      <c r="AO123" s="690"/>
      <c r="AP123" s="395"/>
      <c r="AQ123" s="691"/>
    </row>
    <row r="124" spans="1:43" s="362" customFormat="1" ht="27" customHeight="1" x14ac:dyDescent="0.2">
      <c r="A124" s="389"/>
      <c r="K124" s="390"/>
      <c r="L124" s="369"/>
      <c r="M124" s="369"/>
      <c r="N124" s="369"/>
      <c r="O124" s="391"/>
      <c r="P124" s="390"/>
      <c r="Q124" s="392"/>
      <c r="R124" s="396"/>
      <c r="S124" s="390"/>
      <c r="T124" s="390"/>
      <c r="U124" s="390"/>
      <c r="V124" s="2396"/>
      <c r="W124" s="393"/>
      <c r="X124" s="390"/>
      <c r="AO124" s="690"/>
      <c r="AP124" s="395"/>
      <c r="AQ124" s="691"/>
    </row>
    <row r="125" spans="1:43" s="362" customFormat="1" ht="27" customHeight="1" x14ac:dyDescent="0.2">
      <c r="A125" s="389"/>
      <c r="K125" s="390"/>
      <c r="L125" s="369"/>
      <c r="M125" s="369"/>
      <c r="N125" s="369"/>
      <c r="O125" s="391"/>
      <c r="P125" s="390"/>
      <c r="Q125" s="392"/>
      <c r="R125" s="396"/>
      <c r="S125" s="390"/>
      <c r="T125" s="390"/>
      <c r="U125" s="390"/>
      <c r="V125" s="2396"/>
      <c r="W125" s="393"/>
      <c r="X125" s="390"/>
      <c r="AO125" s="690"/>
      <c r="AP125" s="395"/>
      <c r="AQ125" s="691"/>
    </row>
    <row r="126" spans="1:43" s="362" customFormat="1" ht="27" customHeight="1" x14ac:dyDescent="0.2">
      <c r="A126" s="389"/>
      <c r="K126" s="390"/>
      <c r="L126" s="369"/>
      <c r="M126" s="369"/>
      <c r="N126" s="369"/>
      <c r="O126" s="391"/>
      <c r="P126" s="390"/>
      <c r="Q126" s="392"/>
      <c r="R126" s="396"/>
      <c r="S126" s="390"/>
      <c r="T126" s="390"/>
      <c r="U126" s="390"/>
      <c r="V126" s="2396"/>
      <c r="W126" s="393"/>
      <c r="X126" s="390"/>
      <c r="AO126" s="690"/>
      <c r="AP126" s="395"/>
      <c r="AQ126" s="691"/>
    </row>
    <row r="127" spans="1:43" s="362" customFormat="1" ht="27" customHeight="1" x14ac:dyDescent="0.2">
      <c r="A127" s="389"/>
      <c r="K127" s="390"/>
      <c r="L127" s="369"/>
      <c r="M127" s="369"/>
      <c r="N127" s="369"/>
      <c r="O127" s="391"/>
      <c r="P127" s="390"/>
      <c r="Q127" s="392"/>
      <c r="R127" s="396"/>
      <c r="S127" s="390"/>
      <c r="T127" s="390"/>
      <c r="U127" s="390"/>
      <c r="V127" s="2396"/>
      <c r="W127" s="393"/>
      <c r="X127" s="390"/>
      <c r="AO127" s="690"/>
      <c r="AP127" s="395"/>
      <c r="AQ127" s="691"/>
    </row>
    <row r="128" spans="1:43" s="362" customFormat="1" ht="27" customHeight="1" x14ac:dyDescent="0.2">
      <c r="A128" s="389"/>
      <c r="K128" s="390"/>
      <c r="L128" s="369"/>
      <c r="M128" s="369"/>
      <c r="N128" s="369"/>
      <c r="O128" s="391"/>
      <c r="P128" s="390"/>
      <c r="Q128" s="392"/>
      <c r="R128" s="396"/>
      <c r="S128" s="390"/>
      <c r="T128" s="390"/>
      <c r="U128" s="390"/>
      <c r="V128" s="2396"/>
      <c r="W128" s="393"/>
      <c r="X128" s="390"/>
      <c r="AO128" s="690"/>
      <c r="AP128" s="395"/>
      <c r="AQ128" s="691"/>
    </row>
    <row r="129" spans="1:43" s="362" customFormat="1" ht="27" customHeight="1" x14ac:dyDescent="0.2">
      <c r="A129" s="389"/>
      <c r="K129" s="390"/>
      <c r="L129" s="369"/>
      <c r="M129" s="369"/>
      <c r="N129" s="369"/>
      <c r="O129" s="391"/>
      <c r="P129" s="390"/>
      <c r="Q129" s="392"/>
      <c r="R129" s="396"/>
      <c r="S129" s="390"/>
      <c r="T129" s="390"/>
      <c r="U129" s="390"/>
      <c r="V129" s="2396"/>
      <c r="W129" s="393"/>
      <c r="X129" s="390"/>
      <c r="AO129" s="690"/>
      <c r="AP129" s="395"/>
      <c r="AQ129" s="691"/>
    </row>
    <row r="130" spans="1:43" s="362" customFormat="1" ht="27" customHeight="1" x14ac:dyDescent="0.2">
      <c r="A130" s="389"/>
      <c r="K130" s="390"/>
      <c r="L130" s="369"/>
      <c r="M130" s="369"/>
      <c r="N130" s="369"/>
      <c r="O130" s="391"/>
      <c r="P130" s="390"/>
      <c r="Q130" s="392"/>
      <c r="R130" s="396"/>
      <c r="S130" s="390"/>
      <c r="T130" s="390"/>
      <c r="U130" s="390"/>
      <c r="V130" s="2396"/>
      <c r="W130" s="393"/>
      <c r="X130" s="390"/>
      <c r="AO130" s="690"/>
      <c r="AP130" s="395"/>
      <c r="AQ130" s="691"/>
    </row>
    <row r="131" spans="1:43" s="362" customFormat="1" ht="27" customHeight="1" x14ac:dyDescent="0.2">
      <c r="A131" s="389"/>
      <c r="K131" s="390"/>
      <c r="L131" s="369"/>
      <c r="M131" s="369"/>
      <c r="N131" s="369"/>
      <c r="O131" s="391"/>
      <c r="P131" s="390"/>
      <c r="Q131" s="392"/>
      <c r="R131" s="396"/>
      <c r="S131" s="390"/>
      <c r="T131" s="390"/>
      <c r="U131" s="390"/>
      <c r="V131" s="2396"/>
      <c r="W131" s="393"/>
      <c r="X131" s="390"/>
      <c r="AO131" s="690"/>
      <c r="AP131" s="395"/>
      <c r="AQ131" s="691"/>
    </row>
    <row r="132" spans="1:43" s="362" customFormat="1" ht="27" customHeight="1" x14ac:dyDescent="0.2">
      <c r="A132" s="389"/>
      <c r="K132" s="390"/>
      <c r="L132" s="369"/>
      <c r="M132" s="369"/>
      <c r="N132" s="369"/>
      <c r="O132" s="391"/>
      <c r="P132" s="390"/>
      <c r="Q132" s="392"/>
      <c r="R132" s="396"/>
      <c r="S132" s="390"/>
      <c r="T132" s="390"/>
      <c r="U132" s="390"/>
      <c r="V132" s="2396"/>
      <c r="W132" s="393"/>
      <c r="X132" s="390"/>
      <c r="AO132" s="690"/>
      <c r="AP132" s="395"/>
      <c r="AQ132" s="691"/>
    </row>
    <row r="133" spans="1:43" s="362" customFormat="1" ht="27" customHeight="1" x14ac:dyDescent="0.2">
      <c r="A133" s="389"/>
      <c r="K133" s="390"/>
      <c r="L133" s="369"/>
      <c r="M133" s="369"/>
      <c r="N133" s="369"/>
      <c r="O133" s="391"/>
      <c r="P133" s="390"/>
      <c r="Q133" s="392"/>
      <c r="R133" s="396"/>
      <c r="S133" s="390"/>
      <c r="T133" s="390"/>
      <c r="U133" s="390"/>
      <c r="V133" s="2396"/>
      <c r="W133" s="393"/>
      <c r="X133" s="390"/>
      <c r="AO133" s="690"/>
      <c r="AP133" s="395"/>
      <c r="AQ133" s="691"/>
    </row>
    <row r="134" spans="1:43" s="362" customFormat="1" ht="27" customHeight="1" x14ac:dyDescent="0.2">
      <c r="A134" s="389"/>
      <c r="K134" s="390"/>
      <c r="L134" s="369"/>
      <c r="M134" s="369"/>
      <c r="N134" s="369"/>
      <c r="O134" s="391"/>
      <c r="P134" s="390"/>
      <c r="Q134" s="392"/>
      <c r="R134" s="396"/>
      <c r="S134" s="390"/>
      <c r="T134" s="390"/>
      <c r="U134" s="390"/>
      <c r="V134" s="2396"/>
      <c r="W134" s="393"/>
      <c r="X134" s="390"/>
      <c r="AO134" s="690"/>
      <c r="AP134" s="395"/>
      <c r="AQ134" s="691"/>
    </row>
    <row r="135" spans="1:43" s="362" customFormat="1" ht="27" customHeight="1" x14ac:dyDescent="0.2">
      <c r="A135" s="389"/>
      <c r="K135" s="390"/>
      <c r="L135" s="369"/>
      <c r="M135" s="369"/>
      <c r="N135" s="369"/>
      <c r="O135" s="391"/>
      <c r="P135" s="390"/>
      <c r="Q135" s="392"/>
      <c r="R135" s="396"/>
      <c r="S135" s="390"/>
      <c r="T135" s="390"/>
      <c r="U135" s="390"/>
      <c r="V135" s="2396"/>
      <c r="W135" s="393"/>
      <c r="X135" s="390"/>
      <c r="AO135" s="690"/>
      <c r="AP135" s="395"/>
      <c r="AQ135" s="691"/>
    </row>
    <row r="136" spans="1:43" s="362" customFormat="1" ht="27" customHeight="1" x14ac:dyDescent="0.2">
      <c r="A136" s="389"/>
      <c r="K136" s="390"/>
      <c r="L136" s="369"/>
      <c r="M136" s="369"/>
      <c r="N136" s="369"/>
      <c r="O136" s="391"/>
      <c r="P136" s="390"/>
      <c r="Q136" s="392"/>
      <c r="R136" s="396"/>
      <c r="S136" s="390"/>
      <c r="T136" s="390"/>
      <c r="U136" s="390"/>
      <c r="V136" s="2396"/>
      <c r="W136" s="393"/>
      <c r="X136" s="390"/>
      <c r="AO136" s="690"/>
      <c r="AP136" s="395"/>
      <c r="AQ136" s="691"/>
    </row>
    <row r="137" spans="1:43" s="362" customFormat="1" ht="27" customHeight="1" x14ac:dyDescent="0.2">
      <c r="A137" s="389"/>
      <c r="K137" s="390"/>
      <c r="L137" s="369"/>
      <c r="M137" s="369"/>
      <c r="N137" s="369"/>
      <c r="O137" s="391"/>
      <c r="P137" s="390"/>
      <c r="Q137" s="392"/>
      <c r="R137" s="396"/>
      <c r="S137" s="390"/>
      <c r="T137" s="390"/>
      <c r="U137" s="390"/>
      <c r="V137" s="2396"/>
      <c r="W137" s="393"/>
      <c r="X137" s="390"/>
      <c r="AO137" s="690"/>
      <c r="AP137" s="395"/>
      <c r="AQ137" s="691"/>
    </row>
    <row r="138" spans="1:43" s="362" customFormat="1" ht="27" customHeight="1" x14ac:dyDescent="0.2">
      <c r="A138" s="389"/>
      <c r="K138" s="390"/>
      <c r="L138" s="369"/>
      <c r="M138" s="369"/>
      <c r="N138" s="369"/>
      <c r="O138" s="391"/>
      <c r="P138" s="390"/>
      <c r="Q138" s="392"/>
      <c r="R138" s="396"/>
      <c r="S138" s="390"/>
      <c r="T138" s="390"/>
      <c r="U138" s="390"/>
      <c r="V138" s="2396"/>
      <c r="W138" s="393"/>
      <c r="X138" s="390"/>
      <c r="AO138" s="690"/>
      <c r="AP138" s="395"/>
      <c r="AQ138" s="691"/>
    </row>
    <row r="139" spans="1:43" s="362" customFormat="1" ht="27" customHeight="1" x14ac:dyDescent="0.2">
      <c r="A139" s="389"/>
      <c r="K139" s="390"/>
      <c r="L139" s="369"/>
      <c r="M139" s="369"/>
      <c r="N139" s="369"/>
      <c r="O139" s="391"/>
      <c r="P139" s="390"/>
      <c r="Q139" s="392"/>
      <c r="R139" s="396"/>
      <c r="S139" s="390"/>
      <c r="T139" s="390"/>
      <c r="U139" s="390"/>
      <c r="V139" s="2396"/>
      <c r="W139" s="393"/>
      <c r="X139" s="390"/>
      <c r="AO139" s="690"/>
      <c r="AP139" s="395"/>
      <c r="AQ139" s="691"/>
    </row>
    <row r="140" spans="1:43" s="362" customFormat="1" ht="27" customHeight="1" x14ac:dyDescent="0.2">
      <c r="A140" s="389"/>
      <c r="K140" s="390"/>
      <c r="L140" s="369"/>
      <c r="M140" s="369"/>
      <c r="N140" s="369"/>
      <c r="O140" s="391"/>
      <c r="P140" s="390"/>
      <c r="Q140" s="392"/>
      <c r="R140" s="396"/>
      <c r="S140" s="390"/>
      <c r="T140" s="390"/>
      <c r="U140" s="390"/>
      <c r="V140" s="2396"/>
      <c r="W140" s="393"/>
      <c r="X140" s="390"/>
      <c r="AO140" s="690"/>
      <c r="AP140" s="395"/>
      <c r="AQ140" s="691"/>
    </row>
    <row r="141" spans="1:43" s="362" customFormat="1" ht="27" customHeight="1" x14ac:dyDescent="0.2">
      <c r="A141" s="389"/>
      <c r="K141" s="390"/>
      <c r="L141" s="369"/>
      <c r="M141" s="369"/>
      <c r="N141" s="369"/>
      <c r="O141" s="391"/>
      <c r="P141" s="390"/>
      <c r="Q141" s="392"/>
      <c r="R141" s="396"/>
      <c r="S141" s="390"/>
      <c r="T141" s="390"/>
      <c r="U141" s="390"/>
      <c r="V141" s="2396"/>
      <c r="W141" s="393"/>
      <c r="X141" s="390"/>
      <c r="AO141" s="690"/>
      <c r="AP141" s="395"/>
      <c r="AQ141" s="691"/>
    </row>
    <row r="142" spans="1:43" s="362" customFormat="1" ht="27" customHeight="1" x14ac:dyDescent="0.2">
      <c r="A142" s="389"/>
      <c r="K142" s="390"/>
      <c r="L142" s="369"/>
      <c r="M142" s="369"/>
      <c r="N142" s="369"/>
      <c r="O142" s="391"/>
      <c r="P142" s="390"/>
      <c r="Q142" s="392"/>
      <c r="R142" s="396"/>
      <c r="S142" s="390"/>
      <c r="T142" s="390"/>
      <c r="U142" s="390"/>
      <c r="V142" s="2396"/>
      <c r="W142" s="393"/>
      <c r="X142" s="390"/>
      <c r="AO142" s="690"/>
      <c r="AP142" s="395"/>
      <c r="AQ142" s="691"/>
    </row>
    <row r="143" spans="1:43" s="362" customFormat="1" ht="27" customHeight="1" x14ac:dyDescent="0.2">
      <c r="A143" s="389"/>
      <c r="K143" s="390"/>
      <c r="L143" s="369"/>
      <c r="M143" s="369"/>
      <c r="N143" s="369"/>
      <c r="O143" s="391"/>
      <c r="P143" s="390"/>
      <c r="Q143" s="392"/>
      <c r="R143" s="396"/>
      <c r="S143" s="390"/>
      <c r="T143" s="390"/>
      <c r="U143" s="390"/>
      <c r="V143" s="2396"/>
      <c r="W143" s="393"/>
      <c r="X143" s="390"/>
      <c r="AO143" s="690"/>
      <c r="AP143" s="395"/>
      <c r="AQ143" s="691"/>
    </row>
    <row r="144" spans="1:43" s="362" customFormat="1" ht="27" customHeight="1" x14ac:dyDescent="0.2">
      <c r="A144" s="389"/>
      <c r="K144" s="390"/>
      <c r="L144" s="369"/>
      <c r="M144" s="369"/>
      <c r="N144" s="369"/>
      <c r="O144" s="391"/>
      <c r="P144" s="390"/>
      <c r="Q144" s="392"/>
      <c r="R144" s="396"/>
      <c r="S144" s="390"/>
      <c r="T144" s="390"/>
      <c r="U144" s="390"/>
      <c r="V144" s="2396"/>
      <c r="W144" s="393"/>
      <c r="X144" s="390"/>
      <c r="AO144" s="690"/>
      <c r="AP144" s="395"/>
      <c r="AQ144" s="691"/>
    </row>
    <row r="145" spans="1:43" s="362" customFormat="1" ht="27" customHeight="1" x14ac:dyDescent="0.2">
      <c r="A145" s="389"/>
      <c r="K145" s="390"/>
      <c r="L145" s="369"/>
      <c r="M145" s="369"/>
      <c r="N145" s="369"/>
      <c r="O145" s="391"/>
      <c r="P145" s="390"/>
      <c r="Q145" s="392"/>
      <c r="R145" s="396"/>
      <c r="S145" s="390"/>
      <c r="T145" s="390"/>
      <c r="U145" s="390"/>
      <c r="V145" s="2396"/>
      <c r="W145" s="393"/>
      <c r="X145" s="390"/>
      <c r="AO145" s="690"/>
      <c r="AP145" s="395"/>
      <c r="AQ145" s="691"/>
    </row>
    <row r="146" spans="1:43" s="362" customFormat="1" ht="27" customHeight="1" x14ac:dyDescent="0.2">
      <c r="A146" s="389"/>
      <c r="K146" s="390"/>
      <c r="L146" s="369"/>
      <c r="M146" s="369"/>
      <c r="N146" s="369"/>
      <c r="O146" s="391"/>
      <c r="P146" s="390"/>
      <c r="Q146" s="392"/>
      <c r="R146" s="396"/>
      <c r="S146" s="390"/>
      <c r="T146" s="390"/>
      <c r="U146" s="390"/>
      <c r="V146" s="2396"/>
      <c r="W146" s="393"/>
      <c r="X146" s="390"/>
      <c r="AO146" s="690"/>
      <c r="AP146" s="395"/>
      <c r="AQ146" s="691"/>
    </row>
    <row r="147" spans="1:43" s="362" customFormat="1" ht="27" customHeight="1" x14ac:dyDescent="0.2">
      <c r="A147" s="389"/>
      <c r="K147" s="390"/>
      <c r="L147" s="369"/>
      <c r="M147" s="369"/>
      <c r="N147" s="369"/>
      <c r="O147" s="391"/>
      <c r="P147" s="390"/>
      <c r="Q147" s="392"/>
      <c r="R147" s="396"/>
      <c r="S147" s="390"/>
      <c r="T147" s="390"/>
      <c r="U147" s="390"/>
      <c r="V147" s="2396"/>
      <c r="W147" s="393"/>
      <c r="X147" s="390"/>
      <c r="AO147" s="690"/>
      <c r="AP147" s="395"/>
      <c r="AQ147" s="691"/>
    </row>
    <row r="148" spans="1:43" s="362" customFormat="1" ht="27" customHeight="1" x14ac:dyDescent="0.2">
      <c r="A148" s="389"/>
      <c r="K148" s="390"/>
      <c r="L148" s="369"/>
      <c r="M148" s="369"/>
      <c r="N148" s="369"/>
      <c r="O148" s="391"/>
      <c r="P148" s="390"/>
      <c r="Q148" s="392"/>
      <c r="R148" s="396"/>
      <c r="S148" s="390"/>
      <c r="T148" s="390"/>
      <c r="U148" s="390"/>
      <c r="V148" s="2396"/>
      <c r="W148" s="393"/>
      <c r="X148" s="390"/>
      <c r="AO148" s="690"/>
      <c r="AP148" s="395"/>
      <c r="AQ148" s="691"/>
    </row>
    <row r="149" spans="1:43" s="362" customFormat="1" ht="27" customHeight="1" x14ac:dyDescent="0.2">
      <c r="A149" s="389"/>
      <c r="K149" s="390"/>
      <c r="L149" s="369"/>
      <c r="M149" s="369"/>
      <c r="N149" s="369"/>
      <c r="O149" s="391"/>
      <c r="P149" s="390"/>
      <c r="Q149" s="392"/>
      <c r="R149" s="396"/>
      <c r="S149" s="390"/>
      <c r="T149" s="390"/>
      <c r="U149" s="390"/>
      <c r="V149" s="2396"/>
      <c r="W149" s="393"/>
      <c r="X149" s="390"/>
      <c r="AO149" s="690"/>
      <c r="AP149" s="395"/>
      <c r="AQ149" s="691"/>
    </row>
    <row r="150" spans="1:43" s="362" customFormat="1" ht="27" customHeight="1" x14ac:dyDescent="0.2">
      <c r="A150" s="389"/>
      <c r="K150" s="390"/>
      <c r="L150" s="369"/>
      <c r="M150" s="369"/>
      <c r="N150" s="369"/>
      <c r="O150" s="391"/>
      <c r="P150" s="390"/>
      <c r="Q150" s="392"/>
      <c r="R150" s="396"/>
      <c r="S150" s="390"/>
      <c r="T150" s="390"/>
      <c r="U150" s="390"/>
      <c r="V150" s="2396"/>
      <c r="W150" s="393"/>
      <c r="X150" s="390"/>
      <c r="AO150" s="690"/>
      <c r="AP150" s="395"/>
      <c r="AQ150" s="691"/>
    </row>
    <row r="151" spans="1:43" s="362" customFormat="1" ht="27" customHeight="1" x14ac:dyDescent="0.2">
      <c r="A151" s="389"/>
      <c r="K151" s="390"/>
      <c r="L151" s="369"/>
      <c r="M151" s="369"/>
      <c r="N151" s="369"/>
      <c r="O151" s="391"/>
      <c r="P151" s="390"/>
      <c r="Q151" s="392"/>
      <c r="R151" s="396"/>
      <c r="S151" s="390"/>
      <c r="T151" s="390"/>
      <c r="U151" s="390"/>
      <c r="V151" s="2396"/>
      <c r="W151" s="393"/>
      <c r="X151" s="390"/>
      <c r="AO151" s="690"/>
      <c r="AP151" s="395"/>
      <c r="AQ151" s="691"/>
    </row>
    <row r="152" spans="1:43" s="362" customFormat="1" ht="27" customHeight="1" x14ac:dyDescent="0.2">
      <c r="A152" s="389"/>
      <c r="K152" s="390"/>
      <c r="L152" s="369"/>
      <c r="M152" s="369"/>
      <c r="N152" s="369"/>
      <c r="O152" s="391"/>
      <c r="P152" s="390"/>
      <c r="Q152" s="392"/>
      <c r="R152" s="396"/>
      <c r="S152" s="390"/>
      <c r="T152" s="390"/>
      <c r="U152" s="390"/>
      <c r="V152" s="2396"/>
      <c r="W152" s="393"/>
      <c r="X152" s="390"/>
      <c r="AO152" s="690"/>
      <c r="AP152" s="395"/>
      <c r="AQ152" s="691"/>
    </row>
    <row r="153" spans="1:43" s="362" customFormat="1" ht="27" customHeight="1" x14ac:dyDescent="0.2">
      <c r="A153" s="389"/>
      <c r="K153" s="390"/>
      <c r="L153" s="369"/>
      <c r="M153" s="369"/>
      <c r="N153" s="369"/>
      <c r="O153" s="391"/>
      <c r="P153" s="390"/>
      <c r="Q153" s="392"/>
      <c r="R153" s="396"/>
      <c r="S153" s="390"/>
      <c r="T153" s="390"/>
      <c r="U153" s="390"/>
      <c r="V153" s="2396"/>
      <c r="W153" s="393"/>
      <c r="X153" s="390"/>
      <c r="AO153" s="690"/>
      <c r="AP153" s="395"/>
      <c r="AQ153" s="691"/>
    </row>
    <row r="154" spans="1:43" s="362" customFormat="1" ht="27" customHeight="1" x14ac:dyDescent="0.2">
      <c r="A154" s="389"/>
      <c r="K154" s="390"/>
      <c r="L154" s="369"/>
      <c r="M154" s="369"/>
      <c r="N154" s="369"/>
      <c r="O154" s="391"/>
      <c r="P154" s="390"/>
      <c r="Q154" s="392"/>
      <c r="R154" s="396"/>
      <c r="S154" s="390"/>
      <c r="T154" s="390"/>
      <c r="U154" s="390"/>
      <c r="V154" s="2396"/>
      <c r="W154" s="393"/>
      <c r="X154" s="390"/>
      <c r="AO154" s="690"/>
      <c r="AP154" s="395"/>
      <c r="AQ154" s="691"/>
    </row>
    <row r="155" spans="1:43" s="362" customFormat="1" ht="27" customHeight="1" x14ac:dyDescent="0.2">
      <c r="A155" s="389"/>
      <c r="K155" s="390"/>
      <c r="L155" s="369"/>
      <c r="M155" s="369"/>
      <c r="N155" s="369"/>
      <c r="O155" s="391"/>
      <c r="P155" s="390"/>
      <c r="Q155" s="392"/>
      <c r="R155" s="396"/>
      <c r="S155" s="390"/>
      <c r="T155" s="390"/>
      <c r="U155" s="390"/>
      <c r="V155" s="2396"/>
      <c r="W155" s="393"/>
      <c r="X155" s="390"/>
      <c r="AO155" s="690"/>
      <c r="AP155" s="395"/>
      <c r="AQ155" s="691"/>
    </row>
    <row r="156" spans="1:43" s="362" customFormat="1" ht="27" customHeight="1" x14ac:dyDescent="0.2">
      <c r="A156" s="389"/>
      <c r="K156" s="390"/>
      <c r="L156" s="369"/>
      <c r="M156" s="369"/>
      <c r="N156" s="369"/>
      <c r="O156" s="391"/>
      <c r="P156" s="390"/>
      <c r="Q156" s="392"/>
      <c r="R156" s="396"/>
      <c r="S156" s="390"/>
      <c r="T156" s="390"/>
      <c r="U156" s="390"/>
      <c r="V156" s="2396"/>
      <c r="W156" s="393"/>
      <c r="X156" s="390"/>
      <c r="AO156" s="690"/>
      <c r="AP156" s="395"/>
      <c r="AQ156" s="691"/>
    </row>
    <row r="157" spans="1:43" s="362" customFormat="1" ht="27" customHeight="1" x14ac:dyDescent="0.2">
      <c r="A157" s="389"/>
      <c r="K157" s="390"/>
      <c r="L157" s="369"/>
      <c r="M157" s="369"/>
      <c r="N157" s="369"/>
      <c r="O157" s="391"/>
      <c r="P157" s="390"/>
      <c r="Q157" s="392"/>
      <c r="R157" s="396"/>
      <c r="S157" s="390"/>
      <c r="T157" s="390"/>
      <c r="U157" s="390"/>
      <c r="V157" s="2396"/>
      <c r="W157" s="393"/>
      <c r="X157" s="390"/>
      <c r="AO157" s="690"/>
      <c r="AP157" s="395"/>
      <c r="AQ157" s="691"/>
    </row>
    <row r="158" spans="1:43" s="362" customFormat="1" ht="27" customHeight="1" x14ac:dyDescent="0.2">
      <c r="A158" s="389"/>
      <c r="K158" s="390"/>
      <c r="L158" s="369"/>
      <c r="M158" s="369"/>
      <c r="N158" s="369"/>
      <c r="O158" s="391"/>
      <c r="P158" s="390"/>
      <c r="Q158" s="392"/>
      <c r="R158" s="396"/>
      <c r="S158" s="390"/>
      <c r="T158" s="390"/>
      <c r="U158" s="390"/>
      <c r="V158" s="2396"/>
      <c r="W158" s="393"/>
      <c r="X158" s="390"/>
      <c r="AO158" s="690"/>
      <c r="AP158" s="395"/>
      <c r="AQ158" s="691"/>
    </row>
    <row r="159" spans="1:43" s="362" customFormat="1" ht="27" customHeight="1" x14ac:dyDescent="0.2">
      <c r="A159" s="389"/>
      <c r="K159" s="390"/>
      <c r="L159" s="369"/>
      <c r="M159" s="369"/>
      <c r="N159" s="369"/>
      <c r="O159" s="391"/>
      <c r="P159" s="390"/>
      <c r="Q159" s="392"/>
      <c r="R159" s="396"/>
      <c r="S159" s="390"/>
      <c r="T159" s="390"/>
      <c r="U159" s="390"/>
      <c r="V159" s="2396"/>
      <c r="W159" s="393"/>
      <c r="X159" s="390"/>
      <c r="AO159" s="690"/>
      <c r="AP159" s="395"/>
      <c r="AQ159" s="691"/>
    </row>
    <row r="160" spans="1:43" s="362" customFormat="1" ht="27" customHeight="1" x14ac:dyDescent="0.2">
      <c r="A160" s="389"/>
      <c r="K160" s="390"/>
      <c r="L160" s="369"/>
      <c r="M160" s="369"/>
      <c r="N160" s="369"/>
      <c r="O160" s="391"/>
      <c r="P160" s="390"/>
      <c r="Q160" s="392"/>
      <c r="R160" s="396"/>
      <c r="S160" s="390"/>
      <c r="T160" s="390"/>
      <c r="U160" s="390"/>
      <c r="V160" s="2396"/>
      <c r="W160" s="393"/>
      <c r="X160" s="390"/>
      <c r="AO160" s="690"/>
      <c r="AP160" s="395"/>
      <c r="AQ160" s="691"/>
    </row>
  </sheetData>
  <sheetProtection password="A60F" sheet="1" objects="1" scenarios="1"/>
  <mergeCells count="253">
    <mergeCell ref="H7:I8"/>
    <mergeCell ref="J7:J8"/>
    <mergeCell ref="K7:K8"/>
    <mergeCell ref="L7:L8"/>
    <mergeCell ref="M7:M8"/>
    <mergeCell ref="N7:N8"/>
    <mergeCell ref="A1:AO4"/>
    <mergeCell ref="A5:M6"/>
    <mergeCell ref="P5:AQ5"/>
    <mergeCell ref="P6:X6"/>
    <mergeCell ref="AO6:AQ6"/>
    <mergeCell ref="A7:A8"/>
    <mergeCell ref="B7:C8"/>
    <mergeCell ref="D7:D8"/>
    <mergeCell ref="E7:F8"/>
    <mergeCell ref="G7:G8"/>
    <mergeCell ref="B9:D9"/>
    <mergeCell ref="AO9:AQ9"/>
    <mergeCell ref="E10:K10"/>
    <mergeCell ref="AO10:AQ10"/>
    <mergeCell ref="H11:K11"/>
    <mergeCell ref="AO11:AQ11"/>
    <mergeCell ref="AE7:AJ7"/>
    <mergeCell ref="AK7:AM7"/>
    <mergeCell ref="AN7:AN8"/>
    <mergeCell ref="AO7:AO8"/>
    <mergeCell ref="AP7:AP8"/>
    <mergeCell ref="AQ7:AQ8"/>
    <mergeCell ref="U7:U8"/>
    <mergeCell ref="V7:V8"/>
    <mergeCell ref="W7:W8"/>
    <mergeCell ref="X7:X8"/>
    <mergeCell ref="Y7:Z7"/>
    <mergeCell ref="AA7:AD7"/>
    <mergeCell ref="O7:O8"/>
    <mergeCell ref="P7:P8"/>
    <mergeCell ref="Q7:Q8"/>
    <mergeCell ref="R7:R8"/>
    <mergeCell ref="S7:S8"/>
    <mergeCell ref="T7:T8"/>
    <mergeCell ref="G12:G26"/>
    <mergeCell ref="H12:I26"/>
    <mergeCell ref="J12:J14"/>
    <mergeCell ref="K12:K14"/>
    <mergeCell ref="L12:L14"/>
    <mergeCell ref="M12:M14"/>
    <mergeCell ref="J23:J26"/>
    <mergeCell ref="K23:K26"/>
    <mergeCell ref="L23:L26"/>
    <mergeCell ref="M23:M26"/>
    <mergeCell ref="AH12:AH14"/>
    <mergeCell ref="T12:T14"/>
    <mergeCell ref="U12:U13"/>
    <mergeCell ref="Y12:Y14"/>
    <mergeCell ref="Z12:Z14"/>
    <mergeCell ref="AA12:AA14"/>
    <mergeCell ref="AB12:AB14"/>
    <mergeCell ref="N12:N14"/>
    <mergeCell ref="O12:O14"/>
    <mergeCell ref="P12:P14"/>
    <mergeCell ref="Q12:Q14"/>
    <mergeCell ref="R12:R14"/>
    <mergeCell ref="S12:S14"/>
    <mergeCell ref="Y15:Y26"/>
    <mergeCell ref="Z15:Z26"/>
    <mergeCell ref="U21:U22"/>
    <mergeCell ref="AO12:AO14"/>
    <mergeCell ref="AP12:AP14"/>
    <mergeCell ref="AQ12:AQ14"/>
    <mergeCell ref="J15:J18"/>
    <mergeCell ref="K15:K18"/>
    <mergeCell ref="L15:L18"/>
    <mergeCell ref="M15:M18"/>
    <mergeCell ref="N15:N18"/>
    <mergeCell ref="O15:O26"/>
    <mergeCell ref="P15:P26"/>
    <mergeCell ref="AI12:AI14"/>
    <mergeCell ref="AJ12:AJ14"/>
    <mergeCell ref="AK12:AK14"/>
    <mergeCell ref="AL12:AL14"/>
    <mergeCell ref="AM12:AM14"/>
    <mergeCell ref="AN12:AN14"/>
    <mergeCell ref="AC12:AC14"/>
    <mergeCell ref="AD12:AD14"/>
    <mergeCell ref="AE12:AE14"/>
    <mergeCell ref="AF12:AF14"/>
    <mergeCell ref="AG12:AG14"/>
    <mergeCell ref="AP15:AP26"/>
    <mergeCell ref="AQ15:AQ26"/>
    <mergeCell ref="U16:U17"/>
    <mergeCell ref="J19:J22"/>
    <mergeCell ref="K19:K22"/>
    <mergeCell ref="L19:L22"/>
    <mergeCell ref="M19:M22"/>
    <mergeCell ref="N19:N22"/>
    <mergeCell ref="Q19:Q22"/>
    <mergeCell ref="T19:T22"/>
    <mergeCell ref="AG15:AG26"/>
    <mergeCell ref="AH15:AH26"/>
    <mergeCell ref="AI15:AI26"/>
    <mergeCell ref="AJ15:AJ26"/>
    <mergeCell ref="AN15:AN26"/>
    <mergeCell ref="AO15:AO26"/>
    <mergeCell ref="AA15:AA26"/>
    <mergeCell ref="AB15:AB26"/>
    <mergeCell ref="AC15:AC26"/>
    <mergeCell ref="AD15:AD26"/>
    <mergeCell ref="AE15:AE26"/>
    <mergeCell ref="AF15:AF26"/>
    <mergeCell ref="Q15:Q18"/>
    <mergeCell ref="R15:R26"/>
    <mergeCell ref="N23:N26"/>
    <mergeCell ref="Q23:Q26"/>
    <mergeCell ref="T23:T26"/>
    <mergeCell ref="U25:U26"/>
    <mergeCell ref="H27:K27"/>
    <mergeCell ref="H28:I30"/>
    <mergeCell ref="J28:J30"/>
    <mergeCell ref="K28:K30"/>
    <mergeCell ref="L28:L30"/>
    <mergeCell ref="M28:M30"/>
    <mergeCell ref="S15:S26"/>
    <mergeCell ref="T15:T18"/>
    <mergeCell ref="V28:V29"/>
    <mergeCell ref="W28:W29"/>
    <mergeCell ref="X28:X29"/>
    <mergeCell ref="Y28:Y30"/>
    <mergeCell ref="N28:N30"/>
    <mergeCell ref="O28:O30"/>
    <mergeCell ref="P28:P30"/>
    <mergeCell ref="Q28:Q30"/>
    <mergeCell ref="R28:R30"/>
    <mergeCell ref="S28:S30"/>
    <mergeCell ref="AO28:AO30"/>
    <mergeCell ref="AP28:AP30"/>
    <mergeCell ref="AQ28:AQ30"/>
    <mergeCell ref="H31:K31"/>
    <mergeCell ref="H32:I39"/>
    <mergeCell ref="J32:J39"/>
    <mergeCell ref="K32:K39"/>
    <mergeCell ref="L32:L39"/>
    <mergeCell ref="M32:M39"/>
    <mergeCell ref="N32:N39"/>
    <mergeCell ref="AF28:AF30"/>
    <mergeCell ref="AG28:AG30"/>
    <mergeCell ref="AH28:AH30"/>
    <mergeCell ref="AI28:AI30"/>
    <mergeCell ref="AJ28:AJ30"/>
    <mergeCell ref="AN28:AN30"/>
    <mergeCell ref="Z28:Z30"/>
    <mergeCell ref="AA28:AA30"/>
    <mergeCell ref="AB28:AB30"/>
    <mergeCell ref="AC28:AC30"/>
    <mergeCell ref="AD28:AD30"/>
    <mergeCell ref="AE28:AE30"/>
    <mergeCell ref="T28:T30"/>
    <mergeCell ref="U28:U29"/>
    <mergeCell ref="AP32:AP39"/>
    <mergeCell ref="AQ32:AQ39"/>
    <mergeCell ref="T37:T39"/>
    <mergeCell ref="U37:U38"/>
    <mergeCell ref="AE32:AE39"/>
    <mergeCell ref="AF32:AF39"/>
    <mergeCell ref="AG32:AG39"/>
    <mergeCell ref="AH32:AH39"/>
    <mergeCell ref="AI32:AI39"/>
    <mergeCell ref="AJ32:AJ39"/>
    <mergeCell ref="Y32:Y39"/>
    <mergeCell ref="Z32:Z39"/>
    <mergeCell ref="AA32:AA39"/>
    <mergeCell ref="AB32:AB39"/>
    <mergeCell ref="AC32:AC39"/>
    <mergeCell ref="AD32:AD39"/>
    <mergeCell ref="T32:T36"/>
    <mergeCell ref="E40:K40"/>
    <mergeCell ref="H41:L41"/>
    <mergeCell ref="E42:F55"/>
    <mergeCell ref="H42:I48"/>
    <mergeCell ref="J42:J48"/>
    <mergeCell ref="K42:K48"/>
    <mergeCell ref="L42:L48"/>
    <mergeCell ref="AN32:AN39"/>
    <mergeCell ref="AO32:AO39"/>
    <mergeCell ref="O32:O39"/>
    <mergeCell ref="P32:P39"/>
    <mergeCell ref="Q32:Q39"/>
    <mergeCell ref="R32:R39"/>
    <mergeCell ref="S32:S39"/>
    <mergeCell ref="H49:L49"/>
    <mergeCell ref="H50:I55"/>
    <mergeCell ref="J50:J52"/>
    <mergeCell ref="K50:K52"/>
    <mergeCell ref="L50:L55"/>
    <mergeCell ref="M50:M52"/>
    <mergeCell ref="N50:N55"/>
    <mergeCell ref="AH42:AH48"/>
    <mergeCell ref="AI42:AI48"/>
    <mergeCell ref="AB42:AB48"/>
    <mergeCell ref="M42:M48"/>
    <mergeCell ref="N42:N48"/>
    <mergeCell ref="O42:O48"/>
    <mergeCell ref="AD50:AD55"/>
    <mergeCell ref="O50:O55"/>
    <mergeCell ref="P50:P55"/>
    <mergeCell ref="Q50:Q52"/>
    <mergeCell ref="R50:R55"/>
    <mergeCell ref="S50:S55"/>
    <mergeCell ref="T50:T52"/>
    <mergeCell ref="AC42:AC48"/>
    <mergeCell ref="AD42:AD48"/>
    <mergeCell ref="S42:S48"/>
    <mergeCell ref="T42:T46"/>
    <mergeCell ref="U42:U44"/>
    <mergeCell ref="Y42:Y48"/>
    <mergeCell ref="Z42:Z48"/>
    <mergeCell ref="AA42:AA48"/>
    <mergeCell ref="AQ42:AQ48"/>
    <mergeCell ref="T47:T48"/>
    <mergeCell ref="U47:U48"/>
    <mergeCell ref="AJ42:AJ48"/>
    <mergeCell ref="AN42:AN48"/>
    <mergeCell ref="AO42:AO48"/>
    <mergeCell ref="AP42:AP48"/>
    <mergeCell ref="P42:P48"/>
    <mergeCell ref="Q42:Q48"/>
    <mergeCell ref="R42:R48"/>
    <mergeCell ref="AE42:AE48"/>
    <mergeCell ref="AF42:AF48"/>
    <mergeCell ref="AG42:AG48"/>
    <mergeCell ref="E56:F56"/>
    <mergeCell ref="K61:L61"/>
    <mergeCell ref="K62:L62"/>
    <mergeCell ref="AN50:AN55"/>
    <mergeCell ref="AO50:AO55"/>
    <mergeCell ref="AP50:AP55"/>
    <mergeCell ref="AQ50:AQ55"/>
    <mergeCell ref="U51:U52"/>
    <mergeCell ref="J53:J55"/>
    <mergeCell ref="K53:K55"/>
    <mergeCell ref="M53:M55"/>
    <mergeCell ref="Q53:Q55"/>
    <mergeCell ref="T53:T55"/>
    <mergeCell ref="AE50:AE55"/>
    <mergeCell ref="AF50:AF55"/>
    <mergeCell ref="AG50:AG55"/>
    <mergeCell ref="AH50:AH55"/>
    <mergeCell ref="AI50:AI55"/>
    <mergeCell ref="AJ50:AJ55"/>
    <mergeCell ref="Y50:Y55"/>
    <mergeCell ref="Z50:Z55"/>
    <mergeCell ref="AA50:AA55"/>
    <mergeCell ref="AB50:AB55"/>
    <mergeCell ref="AC50:AC55"/>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X98"/>
  <sheetViews>
    <sheetView showGridLines="0" topLeftCell="A11" zoomScale="70" zoomScaleNormal="70" workbookViewId="0">
      <selection activeCell="A11" sqref="A11:C57"/>
    </sheetView>
  </sheetViews>
  <sheetFormatPr baseColWidth="10" defaultColWidth="11.42578125" defaultRowHeight="11.25" customHeight="1" x14ac:dyDescent="0.2"/>
  <cols>
    <col min="1" max="1" width="13.140625" style="17" customWidth="1"/>
    <col min="2" max="2" width="4" style="1" customWidth="1"/>
    <col min="3" max="3" width="20.140625" style="1" customWidth="1"/>
    <col min="4" max="4" width="17.85546875" style="1" customWidth="1"/>
    <col min="5" max="5" width="10" style="1" customWidth="1"/>
    <col min="6" max="6" width="8.140625" style="1" customWidth="1"/>
    <col min="7" max="7" width="16" style="1" customWidth="1"/>
    <col min="8" max="8" width="8.5703125" style="1" customWidth="1"/>
    <col min="9" max="9" width="16" style="1" customWidth="1"/>
    <col min="10" max="10" width="17.7109375" style="1" customWidth="1"/>
    <col min="11" max="11" width="27.7109375" style="233" customWidth="1"/>
    <col min="12" max="12" width="27.42578125" style="167" customWidth="1"/>
    <col min="13" max="13" width="10.5703125" style="124" customWidth="1"/>
    <col min="14" max="14" width="34.140625" style="124" customWidth="1"/>
    <col min="15" max="15" width="22.28515625" style="2022" customWidth="1"/>
    <col min="16" max="16" width="25" style="233" customWidth="1"/>
    <col min="17" max="17" width="16.5703125" style="273" customWidth="1"/>
    <col min="18" max="18" width="30.85546875" style="1885" customWidth="1"/>
    <col min="19" max="19" width="23.5703125" style="233" customWidth="1"/>
    <col min="20" max="20" width="30.5703125" style="233" customWidth="1"/>
    <col min="21" max="21" width="32.28515625" style="233" customWidth="1"/>
    <col min="22" max="22" width="29.5703125" style="236" customWidth="1"/>
    <col min="23" max="23" width="12.5703125" style="237" customWidth="1"/>
    <col min="24" max="24" width="17.28515625" style="2041" customWidth="1"/>
    <col min="25" max="25" width="11" style="422" customWidth="1"/>
    <col min="26" max="26" width="11.85546875" style="422" customWidth="1"/>
    <col min="27" max="27" width="12.7109375" style="1" customWidth="1"/>
    <col min="28" max="28" width="11.28515625" style="1" customWidth="1"/>
    <col min="29" max="29" width="12.5703125" style="1" customWidth="1"/>
    <col min="30" max="30" width="11" style="1" customWidth="1"/>
    <col min="31" max="39" width="7.5703125" style="1" customWidth="1"/>
    <col min="40" max="40" width="11.28515625" style="422" customWidth="1"/>
    <col min="41" max="41" width="18.42578125" style="423" customWidth="1"/>
    <col min="42" max="42" width="20" style="423" customWidth="1"/>
    <col min="43" max="43" width="24" style="191" customWidth="1"/>
    <col min="44" max="44" width="11.42578125" style="1713" customWidth="1"/>
    <col min="45" max="97" width="11.42578125" style="1713"/>
    <col min="98" max="98" width="77.140625" style="1713" customWidth="1"/>
    <col min="99" max="219" width="11.42578125" style="1713"/>
    <col min="220" max="220" width="13.140625" style="1713" customWidth="1"/>
    <col min="221" max="221" width="4" style="1713" customWidth="1"/>
    <col min="222" max="222" width="12.85546875" style="1713" customWidth="1"/>
    <col min="223" max="223" width="14.7109375" style="1713" customWidth="1"/>
    <col min="224" max="224" width="10" style="1713" customWidth="1"/>
    <col min="225" max="225" width="6.28515625" style="1713" customWidth="1"/>
    <col min="226" max="226" width="12.28515625" style="1713" customWidth="1"/>
    <col min="227" max="227" width="8.5703125" style="1713" customWidth="1"/>
    <col min="228" max="228" width="13.7109375" style="1713" customWidth="1"/>
    <col min="229" max="229" width="11.5703125" style="1713" customWidth="1"/>
    <col min="230" max="230" width="24.7109375" style="1713" customWidth="1"/>
    <col min="231" max="231" width="17.42578125" style="1713" customWidth="1"/>
    <col min="232" max="232" width="20.85546875" style="1713" customWidth="1"/>
    <col min="233" max="233" width="26.85546875" style="1713" customWidth="1"/>
    <col min="234" max="234" width="8" style="1713" customWidth="1"/>
    <col min="235" max="235" width="25" style="1713" customWidth="1"/>
    <col min="236" max="236" width="12.7109375" style="1713" customWidth="1"/>
    <col min="237" max="237" width="16.42578125" style="1713" customWidth="1"/>
    <col min="238" max="238" width="23.5703125" style="1713" customWidth="1"/>
    <col min="239" max="239" width="33.7109375" style="1713" customWidth="1"/>
    <col min="240" max="240" width="31.140625" style="1713" customWidth="1"/>
    <col min="241" max="241" width="19.28515625" style="1713" customWidth="1"/>
    <col min="242" max="242" width="11.7109375" style="1713" customWidth="1"/>
    <col min="243" max="243" width="15.42578125" style="1713" customWidth="1"/>
    <col min="244" max="244" width="5.5703125" style="1713" customWidth="1"/>
    <col min="245" max="245" width="4.7109375" style="1713" customWidth="1"/>
    <col min="246" max="247" width="7.28515625" style="1713" customWidth="1"/>
    <col min="248" max="248" width="8.42578125" style="1713" customWidth="1"/>
    <col min="249" max="249" width="9.5703125" style="1713" customWidth="1"/>
    <col min="250" max="250" width="6.28515625" style="1713" customWidth="1"/>
    <col min="251" max="251" width="5.85546875" style="1713" customWidth="1"/>
    <col min="252" max="253" width="4.42578125" style="1713" customWidth="1"/>
    <col min="254" max="254" width="5" style="1713" customWidth="1"/>
    <col min="255" max="255" width="5.85546875" style="1713" customWidth="1"/>
    <col min="256" max="256" width="6.140625" style="1713" customWidth="1"/>
    <col min="257" max="257" width="6.28515625" style="1713" customWidth="1"/>
    <col min="258" max="258" width="4.85546875" style="1713" customWidth="1"/>
    <col min="259" max="259" width="8.140625" style="1713" customWidth="1"/>
    <col min="260" max="260" width="11.5703125" style="1713" customWidth="1"/>
    <col min="261" max="261" width="13.7109375" style="1713" customWidth="1"/>
    <col min="262" max="262" width="20.85546875" style="1713" customWidth="1"/>
    <col min="263" max="475" width="11.42578125" style="1713"/>
    <col min="476" max="476" width="13.140625" style="1713" customWidth="1"/>
    <col min="477" max="477" width="4" style="1713" customWidth="1"/>
    <col min="478" max="478" width="12.85546875" style="1713" customWidth="1"/>
    <col min="479" max="479" width="14.7109375" style="1713" customWidth="1"/>
    <col min="480" max="480" width="10" style="1713" customWidth="1"/>
    <col min="481" max="481" width="6.28515625" style="1713" customWidth="1"/>
    <col min="482" max="482" width="12.28515625" style="1713" customWidth="1"/>
    <col min="483" max="483" width="8.5703125" style="1713" customWidth="1"/>
    <col min="484" max="484" width="13.7109375" style="1713" customWidth="1"/>
    <col min="485" max="485" width="11.5703125" style="1713" customWidth="1"/>
    <col min="486" max="486" width="24.7109375" style="1713" customWidth="1"/>
    <col min="487" max="487" width="17.42578125" style="1713" customWidth="1"/>
    <col min="488" max="488" width="20.85546875" style="1713" customWidth="1"/>
    <col min="489" max="489" width="26.85546875" style="1713" customWidth="1"/>
    <col min="490" max="490" width="8" style="1713" customWidth="1"/>
    <col min="491" max="491" width="25" style="1713" customWidth="1"/>
    <col min="492" max="492" width="12.7109375" style="1713" customWidth="1"/>
    <col min="493" max="493" width="16.42578125" style="1713" customWidth="1"/>
    <col min="494" max="494" width="23.5703125" style="1713" customWidth="1"/>
    <col min="495" max="495" width="33.7109375" style="1713" customWidth="1"/>
    <col min="496" max="496" width="31.140625" style="1713" customWidth="1"/>
    <col min="497" max="497" width="19.28515625" style="1713" customWidth="1"/>
    <col min="498" max="498" width="11.7109375" style="1713" customWidth="1"/>
    <col min="499" max="499" width="15.42578125" style="1713" customWidth="1"/>
    <col min="500" max="500" width="5.5703125" style="1713" customWidth="1"/>
    <col min="501" max="501" width="4.7109375" style="1713" customWidth="1"/>
    <col min="502" max="503" width="7.28515625" style="1713" customWidth="1"/>
    <col min="504" max="504" width="8.42578125" style="1713" customWidth="1"/>
    <col min="505" max="505" width="9.5703125" style="1713" customWidth="1"/>
    <col min="506" max="506" width="6.28515625" style="1713" customWidth="1"/>
    <col min="507" max="507" width="5.85546875" style="1713" customWidth="1"/>
    <col min="508" max="509" width="4.42578125" style="1713" customWidth="1"/>
    <col min="510" max="510" width="5" style="1713" customWidth="1"/>
    <col min="511" max="511" width="5.85546875" style="1713" customWidth="1"/>
    <col min="512" max="512" width="6.140625" style="1713" customWidth="1"/>
    <col min="513" max="513" width="6.28515625" style="1713" customWidth="1"/>
    <col min="514" max="514" width="4.85546875" style="1713" customWidth="1"/>
    <col min="515" max="515" width="8.140625" style="1713" customWidth="1"/>
    <col min="516" max="516" width="11.5703125" style="1713" customWidth="1"/>
    <col min="517" max="517" width="13.7109375" style="1713" customWidth="1"/>
    <col min="518" max="518" width="20.85546875" style="1713" customWidth="1"/>
    <col min="519" max="731" width="11.42578125" style="1713"/>
    <col min="732" max="732" width="13.140625" style="1713" customWidth="1"/>
    <col min="733" max="733" width="4" style="1713" customWidth="1"/>
    <col min="734" max="734" width="12.85546875" style="1713" customWidth="1"/>
    <col min="735" max="735" width="14.7109375" style="1713" customWidth="1"/>
    <col min="736" max="736" width="10" style="1713" customWidth="1"/>
    <col min="737" max="737" width="6.28515625" style="1713" customWidth="1"/>
    <col min="738" max="738" width="12.28515625" style="1713" customWidth="1"/>
    <col min="739" max="739" width="8.5703125" style="1713" customWidth="1"/>
    <col min="740" max="740" width="13.7109375" style="1713" customWidth="1"/>
    <col min="741" max="741" width="11.5703125" style="1713" customWidth="1"/>
    <col min="742" max="742" width="24.7109375" style="1713" customWidth="1"/>
    <col min="743" max="743" width="17.42578125" style="1713" customWidth="1"/>
    <col min="744" max="744" width="20.85546875" style="1713" customWidth="1"/>
    <col min="745" max="745" width="26.85546875" style="1713" customWidth="1"/>
    <col min="746" max="746" width="8" style="1713" customWidth="1"/>
    <col min="747" max="747" width="25" style="1713" customWidth="1"/>
    <col min="748" max="748" width="12.7109375" style="1713" customWidth="1"/>
    <col min="749" max="749" width="16.42578125" style="1713" customWidth="1"/>
    <col min="750" max="750" width="23.5703125" style="1713" customWidth="1"/>
    <col min="751" max="751" width="33.7109375" style="1713" customWidth="1"/>
    <col min="752" max="752" width="31.140625" style="1713" customWidth="1"/>
    <col min="753" max="753" width="19.28515625" style="1713" customWidth="1"/>
    <col min="754" max="754" width="11.7109375" style="1713" customWidth="1"/>
    <col min="755" max="755" width="15.42578125" style="1713" customWidth="1"/>
    <col min="756" max="756" width="5.5703125" style="1713" customWidth="1"/>
    <col min="757" max="757" width="4.7109375" style="1713" customWidth="1"/>
    <col min="758" max="759" width="7.28515625" style="1713" customWidth="1"/>
    <col min="760" max="760" width="8.42578125" style="1713" customWidth="1"/>
    <col min="761" max="761" width="9.5703125" style="1713" customWidth="1"/>
    <col min="762" max="762" width="6.28515625" style="1713" customWidth="1"/>
    <col min="763" max="763" width="5.85546875" style="1713" customWidth="1"/>
    <col min="764" max="765" width="4.42578125" style="1713" customWidth="1"/>
    <col min="766" max="766" width="5" style="1713" customWidth="1"/>
    <col min="767" max="767" width="5.85546875" style="1713" customWidth="1"/>
    <col min="768" max="768" width="6.140625" style="1713" customWidth="1"/>
    <col min="769" max="769" width="6.28515625" style="1713" customWidth="1"/>
    <col min="770" max="770" width="4.85546875" style="1713" customWidth="1"/>
    <col min="771" max="771" width="8.140625" style="1713" customWidth="1"/>
    <col min="772" max="772" width="11.5703125" style="1713" customWidth="1"/>
    <col min="773" max="773" width="13.7109375" style="1713" customWidth="1"/>
    <col min="774" max="774" width="20.85546875" style="1713" customWidth="1"/>
    <col min="775" max="987" width="11.42578125" style="1713"/>
    <col min="988" max="988" width="13.140625" style="1713" customWidth="1"/>
    <col min="989" max="989" width="4" style="1713" customWidth="1"/>
    <col min="990" max="990" width="12.85546875" style="1713" customWidth="1"/>
    <col min="991" max="991" width="14.7109375" style="1713" customWidth="1"/>
    <col min="992" max="992" width="10" style="1713" customWidth="1"/>
    <col min="993" max="993" width="6.28515625" style="1713" customWidth="1"/>
    <col min="994" max="994" width="12.28515625" style="1713" customWidth="1"/>
    <col min="995" max="995" width="8.5703125" style="1713" customWidth="1"/>
    <col min="996" max="996" width="13.7109375" style="1713" customWidth="1"/>
    <col min="997" max="997" width="11.5703125" style="1713" customWidth="1"/>
    <col min="998" max="998" width="24.7109375" style="1713" customWidth="1"/>
    <col min="999" max="999" width="17.42578125" style="1713" customWidth="1"/>
    <col min="1000" max="1000" width="20.85546875" style="1713" customWidth="1"/>
    <col min="1001" max="1001" width="26.85546875" style="1713" customWidth="1"/>
    <col min="1002" max="1002" width="8" style="1713" customWidth="1"/>
    <col min="1003" max="1003" width="25" style="1713" customWidth="1"/>
    <col min="1004" max="1004" width="12.7109375" style="1713" customWidth="1"/>
    <col min="1005" max="1005" width="16.42578125" style="1713" customWidth="1"/>
    <col min="1006" max="1006" width="23.5703125" style="1713" customWidth="1"/>
    <col min="1007" max="1007" width="33.7109375" style="1713" customWidth="1"/>
    <col min="1008" max="1008" width="31.140625" style="1713" customWidth="1"/>
    <col min="1009" max="1009" width="19.28515625" style="1713" customWidth="1"/>
    <col min="1010" max="1010" width="11.7109375" style="1713" customWidth="1"/>
    <col min="1011" max="1011" width="15.42578125" style="1713" customWidth="1"/>
    <col min="1012" max="1012" width="5.5703125" style="1713" customWidth="1"/>
    <col min="1013" max="1013" width="4.7109375" style="1713" customWidth="1"/>
    <col min="1014" max="1015" width="7.28515625" style="1713" customWidth="1"/>
    <col min="1016" max="1016" width="8.42578125" style="1713" customWidth="1"/>
    <col min="1017" max="1017" width="9.5703125" style="1713" customWidth="1"/>
    <col min="1018" max="1018" width="6.28515625" style="1713" customWidth="1"/>
    <col min="1019" max="1019" width="5.85546875" style="1713" customWidth="1"/>
    <col min="1020" max="1021" width="4.42578125" style="1713" customWidth="1"/>
    <col min="1022" max="1022" width="5" style="1713" customWidth="1"/>
    <col min="1023" max="1023" width="5.85546875" style="1713" customWidth="1"/>
    <col min="1024" max="1024" width="6.140625" style="1713" customWidth="1"/>
    <col min="1025" max="1025" width="6.28515625" style="1713" customWidth="1"/>
    <col min="1026" max="1026" width="4.85546875" style="1713" customWidth="1"/>
    <col min="1027" max="1027" width="8.140625" style="1713" customWidth="1"/>
    <col min="1028" max="1028" width="11.5703125" style="1713" customWidth="1"/>
    <col min="1029" max="1029" width="13.7109375" style="1713" customWidth="1"/>
    <col min="1030" max="1030" width="20.85546875" style="1713" customWidth="1"/>
    <col min="1031" max="1243" width="11.42578125" style="1713"/>
    <col min="1244" max="1244" width="13.140625" style="1713" customWidth="1"/>
    <col min="1245" max="1245" width="4" style="1713" customWidth="1"/>
    <col min="1246" max="1246" width="12.85546875" style="1713" customWidth="1"/>
    <col min="1247" max="1247" width="14.7109375" style="1713" customWidth="1"/>
    <col min="1248" max="1248" width="10" style="1713" customWidth="1"/>
    <col min="1249" max="1249" width="6.28515625" style="1713" customWidth="1"/>
    <col min="1250" max="1250" width="12.28515625" style="1713" customWidth="1"/>
    <col min="1251" max="1251" width="8.5703125" style="1713" customWidth="1"/>
    <col min="1252" max="1252" width="13.7109375" style="1713" customWidth="1"/>
    <col min="1253" max="1253" width="11.5703125" style="1713" customWidth="1"/>
    <col min="1254" max="1254" width="24.7109375" style="1713" customWidth="1"/>
    <col min="1255" max="1255" width="17.42578125" style="1713" customWidth="1"/>
    <col min="1256" max="1256" width="20.85546875" style="1713" customWidth="1"/>
    <col min="1257" max="1257" width="26.85546875" style="1713" customWidth="1"/>
    <col min="1258" max="1258" width="8" style="1713" customWidth="1"/>
    <col min="1259" max="1259" width="25" style="1713" customWidth="1"/>
    <col min="1260" max="1260" width="12.7109375" style="1713" customWidth="1"/>
    <col min="1261" max="1261" width="16.42578125" style="1713" customWidth="1"/>
    <col min="1262" max="1262" width="23.5703125" style="1713" customWidth="1"/>
    <col min="1263" max="1263" width="33.7109375" style="1713" customWidth="1"/>
    <col min="1264" max="1264" width="31.140625" style="1713" customWidth="1"/>
    <col min="1265" max="1265" width="19.28515625" style="1713" customWidth="1"/>
    <col min="1266" max="1266" width="11.7109375" style="1713" customWidth="1"/>
    <col min="1267" max="1267" width="15.42578125" style="1713" customWidth="1"/>
    <col min="1268" max="1268" width="5.5703125" style="1713" customWidth="1"/>
    <col min="1269" max="1269" width="4.7109375" style="1713" customWidth="1"/>
    <col min="1270" max="1271" width="7.28515625" style="1713" customWidth="1"/>
    <col min="1272" max="1272" width="8.42578125" style="1713" customWidth="1"/>
    <col min="1273" max="1273" width="9.5703125" style="1713" customWidth="1"/>
    <col min="1274" max="1274" width="6.28515625" style="1713" customWidth="1"/>
    <col min="1275" max="1275" width="5.85546875" style="1713" customWidth="1"/>
    <col min="1276" max="1277" width="4.42578125" style="1713" customWidth="1"/>
    <col min="1278" max="1278" width="5" style="1713" customWidth="1"/>
    <col min="1279" max="1279" width="5.85546875" style="1713" customWidth="1"/>
    <col min="1280" max="1280" width="6.140625" style="1713" customWidth="1"/>
    <col min="1281" max="1281" width="6.28515625" style="1713" customWidth="1"/>
    <col min="1282" max="1282" width="4.85546875" style="1713" customWidth="1"/>
    <col min="1283" max="1283" width="8.140625" style="1713" customWidth="1"/>
    <col min="1284" max="1284" width="11.5703125" style="1713" customWidth="1"/>
    <col min="1285" max="1285" width="13.7109375" style="1713" customWidth="1"/>
    <col min="1286" max="1286" width="20.85546875" style="1713" customWidth="1"/>
    <col min="1287" max="1376" width="11.42578125" style="1713"/>
    <col min="1377" max="1499" width="11.42578125" style="1"/>
    <col min="1500" max="1500" width="13.140625" style="1" customWidth="1"/>
    <col min="1501" max="1501" width="4" style="1" customWidth="1"/>
    <col min="1502" max="1502" width="12.85546875" style="1" customWidth="1"/>
    <col min="1503" max="1503" width="14.7109375" style="1" customWidth="1"/>
    <col min="1504" max="1504" width="10" style="1" customWidth="1"/>
    <col min="1505" max="1505" width="6.28515625" style="1" customWidth="1"/>
    <col min="1506" max="1506" width="12.28515625" style="1" customWidth="1"/>
    <col min="1507" max="1507" width="8.5703125" style="1" customWidth="1"/>
    <col min="1508" max="1508" width="13.7109375" style="1" customWidth="1"/>
    <col min="1509" max="1509" width="11.5703125" style="1" customWidth="1"/>
    <col min="1510" max="1510" width="24.7109375" style="1" customWidth="1"/>
    <col min="1511" max="1511" width="17.42578125" style="1" customWidth="1"/>
    <col min="1512" max="1512" width="20.85546875" style="1" customWidth="1"/>
    <col min="1513" max="1513" width="26.85546875" style="1" customWidth="1"/>
    <col min="1514" max="1514" width="8" style="1" customWidth="1"/>
    <col min="1515" max="1515" width="25" style="1" customWidth="1"/>
    <col min="1516" max="1516" width="12.7109375" style="1" customWidth="1"/>
    <col min="1517" max="1517" width="16.42578125" style="1" customWidth="1"/>
    <col min="1518" max="1518" width="23.5703125" style="1" customWidth="1"/>
    <col min="1519" max="1519" width="33.7109375" style="1" customWidth="1"/>
    <col min="1520" max="1520" width="31.140625" style="1" customWidth="1"/>
    <col min="1521" max="1521" width="19.28515625" style="1" customWidth="1"/>
    <col min="1522" max="1522" width="11.7109375" style="1" customWidth="1"/>
    <col min="1523" max="1523" width="15.42578125" style="1" customWidth="1"/>
    <col min="1524" max="1524" width="5.5703125" style="1" customWidth="1"/>
    <col min="1525" max="1525" width="4.7109375" style="1" customWidth="1"/>
    <col min="1526" max="1527" width="7.28515625" style="1" customWidth="1"/>
    <col min="1528" max="1528" width="8.42578125" style="1" customWidth="1"/>
    <col min="1529" max="1529" width="9.5703125" style="1" customWidth="1"/>
    <col min="1530" max="1530" width="6.28515625" style="1" customWidth="1"/>
    <col min="1531" max="1531" width="5.85546875" style="1" customWidth="1"/>
    <col min="1532" max="1533" width="4.42578125" style="1" customWidth="1"/>
    <col min="1534" max="1534" width="5" style="1" customWidth="1"/>
    <col min="1535" max="1535" width="5.85546875" style="1" customWidth="1"/>
    <col min="1536" max="1536" width="6.140625" style="1" customWidth="1"/>
    <col min="1537" max="1537" width="6.28515625" style="1" customWidth="1"/>
    <col min="1538" max="1538" width="4.85546875" style="1" customWidth="1"/>
    <col min="1539" max="1539" width="8.140625" style="1" customWidth="1"/>
    <col min="1540" max="1540" width="11.5703125" style="1" customWidth="1"/>
    <col min="1541" max="1541" width="13.7109375" style="1" customWidth="1"/>
    <col min="1542" max="1542" width="20.85546875" style="1" customWidth="1"/>
    <col min="1543" max="1755" width="11.42578125" style="1"/>
    <col min="1756" max="1756" width="13.140625" style="1" customWidth="1"/>
    <col min="1757" max="1757" width="4" style="1" customWidth="1"/>
    <col min="1758" max="1758" width="12.85546875" style="1" customWidth="1"/>
    <col min="1759" max="1759" width="14.7109375" style="1" customWidth="1"/>
    <col min="1760" max="1760" width="10" style="1" customWidth="1"/>
    <col min="1761" max="1761" width="6.28515625" style="1" customWidth="1"/>
    <col min="1762" max="1762" width="12.28515625" style="1" customWidth="1"/>
    <col min="1763" max="1763" width="8.5703125" style="1" customWidth="1"/>
    <col min="1764" max="1764" width="13.7109375" style="1" customWidth="1"/>
    <col min="1765" max="1765" width="11.5703125" style="1" customWidth="1"/>
    <col min="1766" max="1766" width="24.7109375" style="1" customWidth="1"/>
    <col min="1767" max="1767" width="17.42578125" style="1" customWidth="1"/>
    <col min="1768" max="1768" width="20.85546875" style="1" customWidth="1"/>
    <col min="1769" max="1769" width="26.85546875" style="1" customWidth="1"/>
    <col min="1770" max="1770" width="8" style="1" customWidth="1"/>
    <col min="1771" max="1771" width="25" style="1" customWidth="1"/>
    <col min="1772" max="1772" width="12.7109375" style="1" customWidth="1"/>
    <col min="1773" max="1773" width="16.42578125" style="1" customWidth="1"/>
    <col min="1774" max="1774" width="23.5703125" style="1" customWidth="1"/>
    <col min="1775" max="1775" width="33.7109375" style="1" customWidth="1"/>
    <col min="1776" max="1776" width="31.140625" style="1" customWidth="1"/>
    <col min="1777" max="1777" width="19.28515625" style="1" customWidth="1"/>
    <col min="1778" max="1778" width="11.7109375" style="1" customWidth="1"/>
    <col min="1779" max="1779" width="15.42578125" style="1" customWidth="1"/>
    <col min="1780" max="1780" width="5.5703125" style="1" customWidth="1"/>
    <col min="1781" max="1781" width="4.7109375" style="1" customWidth="1"/>
    <col min="1782" max="1783" width="7.28515625" style="1" customWidth="1"/>
    <col min="1784" max="1784" width="8.42578125" style="1" customWidth="1"/>
    <col min="1785" max="1785" width="9.5703125" style="1" customWidth="1"/>
    <col min="1786" max="1786" width="6.28515625" style="1" customWidth="1"/>
    <col min="1787" max="1787" width="5.85546875" style="1" customWidth="1"/>
    <col min="1788" max="1789" width="4.42578125" style="1" customWidth="1"/>
    <col min="1790" max="1790" width="5" style="1" customWidth="1"/>
    <col min="1791" max="1791" width="5.85546875" style="1" customWidth="1"/>
    <col min="1792" max="1792" width="6.140625" style="1" customWidth="1"/>
    <col min="1793" max="1793" width="6.28515625" style="1" customWidth="1"/>
    <col min="1794" max="1794" width="4.85546875" style="1" customWidth="1"/>
    <col min="1795" max="1795" width="8.140625" style="1" customWidth="1"/>
    <col min="1796" max="1796" width="11.5703125" style="1" customWidth="1"/>
    <col min="1797" max="1797" width="13.7109375" style="1" customWidth="1"/>
    <col min="1798" max="1798" width="20.85546875" style="1" customWidth="1"/>
    <col min="1799" max="2011" width="11.42578125" style="1"/>
    <col min="2012" max="2012" width="13.140625" style="1" customWidth="1"/>
    <col min="2013" max="2013" width="4" style="1" customWidth="1"/>
    <col min="2014" max="2014" width="12.85546875" style="1" customWidth="1"/>
    <col min="2015" max="2015" width="14.7109375" style="1" customWidth="1"/>
    <col min="2016" max="2016" width="10" style="1" customWidth="1"/>
    <col min="2017" max="2017" width="6.28515625" style="1" customWidth="1"/>
    <col min="2018" max="2018" width="12.28515625" style="1" customWidth="1"/>
    <col min="2019" max="2019" width="8.5703125" style="1" customWidth="1"/>
    <col min="2020" max="2020" width="13.7109375" style="1" customWidth="1"/>
    <col min="2021" max="2021" width="11.5703125" style="1" customWidth="1"/>
    <col min="2022" max="2022" width="24.7109375" style="1" customWidth="1"/>
    <col min="2023" max="2023" width="17.42578125" style="1" customWidth="1"/>
    <col min="2024" max="2024" width="20.85546875" style="1" customWidth="1"/>
    <col min="2025" max="2025" width="26.85546875" style="1" customWidth="1"/>
    <col min="2026" max="2026" width="8" style="1" customWidth="1"/>
    <col min="2027" max="2027" width="25" style="1" customWidth="1"/>
    <col min="2028" max="2028" width="12.7109375" style="1" customWidth="1"/>
    <col min="2029" max="2029" width="16.42578125" style="1" customWidth="1"/>
    <col min="2030" max="2030" width="23.5703125" style="1" customWidth="1"/>
    <col min="2031" max="2031" width="33.7109375" style="1" customWidth="1"/>
    <col min="2032" max="2032" width="31.140625" style="1" customWidth="1"/>
    <col min="2033" max="2033" width="19.28515625" style="1" customWidth="1"/>
    <col min="2034" max="2034" width="11.7109375" style="1" customWidth="1"/>
    <col min="2035" max="2035" width="15.42578125" style="1" customWidth="1"/>
    <col min="2036" max="2036" width="5.5703125" style="1" customWidth="1"/>
    <col min="2037" max="2037" width="4.7109375" style="1" customWidth="1"/>
    <col min="2038" max="2039" width="7.28515625" style="1" customWidth="1"/>
    <col min="2040" max="2040" width="8.42578125" style="1" customWidth="1"/>
    <col min="2041" max="2041" width="9.5703125" style="1" customWidth="1"/>
    <col min="2042" max="2042" width="6.28515625" style="1" customWidth="1"/>
    <col min="2043" max="2043" width="5.85546875" style="1" customWidth="1"/>
    <col min="2044" max="2045" width="4.42578125" style="1" customWidth="1"/>
    <col min="2046" max="2046" width="5" style="1" customWidth="1"/>
    <col min="2047" max="2047" width="5.85546875" style="1" customWidth="1"/>
    <col min="2048" max="2048" width="6.140625" style="1" customWidth="1"/>
    <col min="2049" max="2049" width="6.28515625" style="1" customWidth="1"/>
    <col min="2050" max="2050" width="4.85546875" style="1" customWidth="1"/>
    <col min="2051" max="2051" width="8.140625" style="1" customWidth="1"/>
    <col min="2052" max="2052" width="11.5703125" style="1" customWidth="1"/>
    <col min="2053" max="2053" width="13.7109375" style="1" customWidth="1"/>
    <col min="2054" max="2054" width="20.85546875" style="1" customWidth="1"/>
    <col min="2055" max="2267" width="11.42578125" style="1"/>
    <col min="2268" max="2268" width="13.140625" style="1" customWidth="1"/>
    <col min="2269" max="2269" width="4" style="1" customWidth="1"/>
    <col min="2270" max="2270" width="12.85546875" style="1" customWidth="1"/>
    <col min="2271" max="2271" width="14.7109375" style="1" customWidth="1"/>
    <col min="2272" max="2272" width="10" style="1" customWidth="1"/>
    <col min="2273" max="2273" width="6.28515625" style="1" customWidth="1"/>
    <col min="2274" max="2274" width="12.28515625" style="1" customWidth="1"/>
    <col min="2275" max="2275" width="8.5703125" style="1" customWidth="1"/>
    <col min="2276" max="2276" width="13.7109375" style="1" customWidth="1"/>
    <col min="2277" max="2277" width="11.5703125" style="1" customWidth="1"/>
    <col min="2278" max="2278" width="24.7109375" style="1" customWidth="1"/>
    <col min="2279" max="2279" width="17.42578125" style="1" customWidth="1"/>
    <col min="2280" max="2280" width="20.85546875" style="1" customWidth="1"/>
    <col min="2281" max="2281" width="26.85546875" style="1" customWidth="1"/>
    <col min="2282" max="2282" width="8" style="1" customWidth="1"/>
    <col min="2283" max="2283" width="25" style="1" customWidth="1"/>
    <col min="2284" max="2284" width="12.7109375" style="1" customWidth="1"/>
    <col min="2285" max="2285" width="16.42578125" style="1" customWidth="1"/>
    <col min="2286" max="2286" width="23.5703125" style="1" customWidth="1"/>
    <col min="2287" max="2287" width="33.7109375" style="1" customWidth="1"/>
    <col min="2288" max="2288" width="31.140625" style="1" customWidth="1"/>
    <col min="2289" max="2289" width="19.28515625" style="1" customWidth="1"/>
    <col min="2290" max="2290" width="11.7109375" style="1" customWidth="1"/>
    <col min="2291" max="2291" width="15.42578125" style="1" customWidth="1"/>
    <col min="2292" max="2292" width="5.5703125" style="1" customWidth="1"/>
    <col min="2293" max="2293" width="4.7109375" style="1" customWidth="1"/>
    <col min="2294" max="2295" width="7.28515625" style="1" customWidth="1"/>
    <col min="2296" max="2296" width="8.42578125" style="1" customWidth="1"/>
    <col min="2297" max="2297" width="9.5703125" style="1" customWidth="1"/>
    <col min="2298" max="2298" width="6.28515625" style="1" customWidth="1"/>
    <col min="2299" max="2299" width="5.85546875" style="1" customWidth="1"/>
    <col min="2300" max="2301" width="4.42578125" style="1" customWidth="1"/>
    <col min="2302" max="2302" width="5" style="1" customWidth="1"/>
    <col min="2303" max="2303" width="5.85546875" style="1" customWidth="1"/>
    <col min="2304" max="2304" width="6.140625" style="1" customWidth="1"/>
    <col min="2305" max="2305" width="6.28515625" style="1" customWidth="1"/>
    <col min="2306" max="2306" width="4.85546875" style="1" customWidth="1"/>
    <col min="2307" max="2307" width="8.140625" style="1" customWidth="1"/>
    <col min="2308" max="2308" width="11.5703125" style="1" customWidth="1"/>
    <col min="2309" max="2309" width="13.7109375" style="1" customWidth="1"/>
    <col min="2310" max="2310" width="20.85546875" style="1" customWidth="1"/>
    <col min="2311" max="2523" width="11.42578125" style="1"/>
    <col min="2524" max="2524" width="13.140625" style="1" customWidth="1"/>
    <col min="2525" max="2525" width="4" style="1" customWidth="1"/>
    <col min="2526" max="2526" width="12.85546875" style="1" customWidth="1"/>
    <col min="2527" max="2527" width="14.7109375" style="1" customWidth="1"/>
    <col min="2528" max="2528" width="10" style="1" customWidth="1"/>
    <col min="2529" max="2529" width="6.28515625" style="1" customWidth="1"/>
    <col min="2530" max="2530" width="12.28515625" style="1" customWidth="1"/>
    <col min="2531" max="2531" width="8.5703125" style="1" customWidth="1"/>
    <col min="2532" max="2532" width="13.7109375" style="1" customWidth="1"/>
    <col min="2533" max="2533" width="11.5703125" style="1" customWidth="1"/>
    <col min="2534" max="2534" width="24.7109375" style="1" customWidth="1"/>
    <col min="2535" max="2535" width="17.42578125" style="1" customWidth="1"/>
    <col min="2536" max="2536" width="20.85546875" style="1" customWidth="1"/>
    <col min="2537" max="2537" width="26.85546875" style="1" customWidth="1"/>
    <col min="2538" max="2538" width="8" style="1" customWidth="1"/>
    <col min="2539" max="2539" width="25" style="1" customWidth="1"/>
    <col min="2540" max="2540" width="12.7109375" style="1" customWidth="1"/>
    <col min="2541" max="2541" width="16.42578125" style="1" customWidth="1"/>
    <col min="2542" max="2542" width="23.5703125" style="1" customWidth="1"/>
    <col min="2543" max="2543" width="33.7109375" style="1" customWidth="1"/>
    <col min="2544" max="2544" width="31.140625" style="1" customWidth="1"/>
    <col min="2545" max="2545" width="19.28515625" style="1" customWidth="1"/>
    <col min="2546" max="2546" width="11.7109375" style="1" customWidth="1"/>
    <col min="2547" max="2547" width="15.42578125" style="1" customWidth="1"/>
    <col min="2548" max="2548" width="5.5703125" style="1" customWidth="1"/>
    <col min="2549" max="2549" width="4.7109375" style="1" customWidth="1"/>
    <col min="2550" max="2551" width="7.28515625" style="1" customWidth="1"/>
    <col min="2552" max="2552" width="8.42578125" style="1" customWidth="1"/>
    <col min="2553" max="2553" width="9.5703125" style="1" customWidth="1"/>
    <col min="2554" max="2554" width="6.28515625" style="1" customWidth="1"/>
    <col min="2555" max="2555" width="5.85546875" style="1" customWidth="1"/>
    <col min="2556" max="2557" width="4.42578125" style="1" customWidth="1"/>
    <col min="2558" max="2558" width="5" style="1" customWidth="1"/>
    <col min="2559" max="2559" width="5.85546875" style="1" customWidth="1"/>
    <col min="2560" max="2560" width="6.140625" style="1" customWidth="1"/>
    <col min="2561" max="2561" width="6.28515625" style="1" customWidth="1"/>
    <col min="2562" max="2562" width="4.85546875" style="1" customWidth="1"/>
    <col min="2563" max="2563" width="8.140625" style="1" customWidth="1"/>
    <col min="2564" max="2564" width="11.5703125" style="1" customWidth="1"/>
    <col min="2565" max="2565" width="13.7109375" style="1" customWidth="1"/>
    <col min="2566" max="2566" width="20.85546875" style="1" customWidth="1"/>
    <col min="2567" max="2779" width="11.42578125" style="1"/>
    <col min="2780" max="2780" width="13.140625" style="1" customWidth="1"/>
    <col min="2781" max="2781" width="4" style="1" customWidth="1"/>
    <col min="2782" max="2782" width="12.85546875" style="1" customWidth="1"/>
    <col min="2783" max="2783" width="14.7109375" style="1" customWidth="1"/>
    <col min="2784" max="2784" width="10" style="1" customWidth="1"/>
    <col min="2785" max="2785" width="6.28515625" style="1" customWidth="1"/>
    <col min="2786" max="2786" width="12.28515625" style="1" customWidth="1"/>
    <col min="2787" max="2787" width="8.5703125" style="1" customWidth="1"/>
    <col min="2788" max="2788" width="13.7109375" style="1" customWidth="1"/>
    <col min="2789" max="2789" width="11.5703125" style="1" customWidth="1"/>
    <col min="2790" max="2790" width="24.7109375" style="1" customWidth="1"/>
    <col min="2791" max="2791" width="17.42578125" style="1" customWidth="1"/>
    <col min="2792" max="2792" width="20.85546875" style="1" customWidth="1"/>
    <col min="2793" max="2793" width="26.85546875" style="1" customWidth="1"/>
    <col min="2794" max="2794" width="8" style="1" customWidth="1"/>
    <col min="2795" max="2795" width="25" style="1" customWidth="1"/>
    <col min="2796" max="2796" width="12.7109375" style="1" customWidth="1"/>
    <col min="2797" max="2797" width="16.42578125" style="1" customWidth="1"/>
    <col min="2798" max="2798" width="23.5703125" style="1" customWidth="1"/>
    <col min="2799" max="2799" width="33.7109375" style="1" customWidth="1"/>
    <col min="2800" max="2800" width="31.140625" style="1" customWidth="1"/>
    <col min="2801" max="2801" width="19.28515625" style="1" customWidth="1"/>
    <col min="2802" max="2802" width="11.7109375" style="1" customWidth="1"/>
    <col min="2803" max="2803" width="15.42578125" style="1" customWidth="1"/>
    <col min="2804" max="2804" width="5.5703125" style="1" customWidth="1"/>
    <col min="2805" max="2805" width="4.7109375" style="1" customWidth="1"/>
    <col min="2806" max="2807" width="7.28515625" style="1" customWidth="1"/>
    <col min="2808" max="2808" width="8.42578125" style="1" customWidth="1"/>
    <col min="2809" max="2809" width="9.5703125" style="1" customWidth="1"/>
    <col min="2810" max="2810" width="6.28515625" style="1" customWidth="1"/>
    <col min="2811" max="2811" width="5.85546875" style="1" customWidth="1"/>
    <col min="2812" max="2813" width="4.42578125" style="1" customWidth="1"/>
    <col min="2814" max="2814" width="5" style="1" customWidth="1"/>
    <col min="2815" max="2815" width="5.85546875" style="1" customWidth="1"/>
    <col min="2816" max="2816" width="6.140625" style="1" customWidth="1"/>
    <col min="2817" max="2817" width="6.28515625" style="1" customWidth="1"/>
    <col min="2818" max="2818" width="4.85546875" style="1" customWidth="1"/>
    <col min="2819" max="2819" width="8.140625" style="1" customWidth="1"/>
    <col min="2820" max="2820" width="11.5703125" style="1" customWidth="1"/>
    <col min="2821" max="2821" width="13.7109375" style="1" customWidth="1"/>
    <col min="2822" max="2822" width="20.85546875" style="1" customWidth="1"/>
    <col min="2823" max="3035" width="11.42578125" style="1"/>
    <col min="3036" max="3036" width="13.140625" style="1" customWidth="1"/>
    <col min="3037" max="3037" width="4" style="1" customWidth="1"/>
    <col min="3038" max="3038" width="12.85546875" style="1" customWidth="1"/>
    <col min="3039" max="3039" width="14.7109375" style="1" customWidth="1"/>
    <col min="3040" max="3040" width="10" style="1" customWidth="1"/>
    <col min="3041" max="3041" width="6.28515625" style="1" customWidth="1"/>
    <col min="3042" max="3042" width="12.28515625" style="1" customWidth="1"/>
    <col min="3043" max="3043" width="8.5703125" style="1" customWidth="1"/>
    <col min="3044" max="3044" width="13.7109375" style="1" customWidth="1"/>
    <col min="3045" max="3045" width="11.5703125" style="1" customWidth="1"/>
    <col min="3046" max="3046" width="24.7109375" style="1" customWidth="1"/>
    <col min="3047" max="3047" width="17.42578125" style="1" customWidth="1"/>
    <col min="3048" max="3048" width="20.85546875" style="1" customWidth="1"/>
    <col min="3049" max="3049" width="26.85546875" style="1" customWidth="1"/>
    <col min="3050" max="3050" width="8" style="1" customWidth="1"/>
    <col min="3051" max="3051" width="25" style="1" customWidth="1"/>
    <col min="3052" max="3052" width="12.7109375" style="1" customWidth="1"/>
    <col min="3053" max="3053" width="16.42578125" style="1" customWidth="1"/>
    <col min="3054" max="3054" width="23.5703125" style="1" customWidth="1"/>
    <col min="3055" max="3055" width="33.7109375" style="1" customWidth="1"/>
    <col min="3056" max="3056" width="31.140625" style="1" customWidth="1"/>
    <col min="3057" max="3057" width="19.28515625" style="1" customWidth="1"/>
    <col min="3058" max="3058" width="11.7109375" style="1" customWidth="1"/>
    <col min="3059" max="3059" width="15.42578125" style="1" customWidth="1"/>
    <col min="3060" max="3060" width="5.5703125" style="1" customWidth="1"/>
    <col min="3061" max="3061" width="4.7109375" style="1" customWidth="1"/>
    <col min="3062" max="3063" width="7.28515625" style="1" customWidth="1"/>
    <col min="3064" max="3064" width="8.42578125" style="1" customWidth="1"/>
    <col min="3065" max="3065" width="9.5703125" style="1" customWidth="1"/>
    <col min="3066" max="3066" width="6.28515625" style="1" customWidth="1"/>
    <col min="3067" max="3067" width="5.85546875" style="1" customWidth="1"/>
    <col min="3068" max="3069" width="4.42578125" style="1" customWidth="1"/>
    <col min="3070" max="3070" width="5" style="1" customWidth="1"/>
    <col min="3071" max="3071" width="5.85546875" style="1" customWidth="1"/>
    <col min="3072" max="3072" width="6.140625" style="1" customWidth="1"/>
    <col min="3073" max="3073" width="6.28515625" style="1" customWidth="1"/>
    <col min="3074" max="3074" width="4.85546875" style="1" customWidth="1"/>
    <col min="3075" max="3075" width="8.140625" style="1" customWidth="1"/>
    <col min="3076" max="3076" width="11.5703125" style="1" customWidth="1"/>
    <col min="3077" max="3077" width="13.7109375" style="1" customWidth="1"/>
    <col min="3078" max="3078" width="20.85546875" style="1" customWidth="1"/>
    <col min="3079" max="3291" width="11.42578125" style="1"/>
    <col min="3292" max="3292" width="13.140625" style="1" customWidth="1"/>
    <col min="3293" max="3293" width="4" style="1" customWidth="1"/>
    <col min="3294" max="3294" width="12.85546875" style="1" customWidth="1"/>
    <col min="3295" max="3295" width="14.7109375" style="1" customWidth="1"/>
    <col min="3296" max="3296" width="10" style="1" customWidth="1"/>
    <col min="3297" max="3297" width="6.28515625" style="1" customWidth="1"/>
    <col min="3298" max="3298" width="12.28515625" style="1" customWidth="1"/>
    <col min="3299" max="3299" width="8.5703125" style="1" customWidth="1"/>
    <col min="3300" max="3300" width="13.7109375" style="1" customWidth="1"/>
    <col min="3301" max="3301" width="11.5703125" style="1" customWidth="1"/>
    <col min="3302" max="3302" width="24.7109375" style="1" customWidth="1"/>
    <col min="3303" max="3303" width="17.42578125" style="1" customWidth="1"/>
    <col min="3304" max="3304" width="20.85546875" style="1" customWidth="1"/>
    <col min="3305" max="3305" width="26.85546875" style="1" customWidth="1"/>
    <col min="3306" max="3306" width="8" style="1" customWidth="1"/>
    <col min="3307" max="3307" width="25" style="1" customWidth="1"/>
    <col min="3308" max="3308" width="12.7109375" style="1" customWidth="1"/>
    <col min="3309" max="3309" width="16.42578125" style="1" customWidth="1"/>
    <col min="3310" max="3310" width="23.5703125" style="1" customWidth="1"/>
    <col min="3311" max="3311" width="33.7109375" style="1" customWidth="1"/>
    <col min="3312" max="3312" width="31.140625" style="1" customWidth="1"/>
    <col min="3313" max="3313" width="19.28515625" style="1" customWidth="1"/>
    <col min="3314" max="3314" width="11.7109375" style="1" customWidth="1"/>
    <col min="3315" max="3315" width="15.42578125" style="1" customWidth="1"/>
    <col min="3316" max="3316" width="5.5703125" style="1" customWidth="1"/>
    <col min="3317" max="3317" width="4.7109375" style="1" customWidth="1"/>
    <col min="3318" max="3319" width="7.28515625" style="1" customWidth="1"/>
    <col min="3320" max="3320" width="8.42578125" style="1" customWidth="1"/>
    <col min="3321" max="3321" width="9.5703125" style="1" customWidth="1"/>
    <col min="3322" max="3322" width="6.28515625" style="1" customWidth="1"/>
    <col min="3323" max="3323" width="5.85546875" style="1" customWidth="1"/>
    <col min="3324" max="3325" width="4.42578125" style="1" customWidth="1"/>
    <col min="3326" max="3326" width="5" style="1" customWidth="1"/>
    <col min="3327" max="3327" width="5.85546875" style="1" customWidth="1"/>
    <col min="3328" max="3328" width="6.140625" style="1" customWidth="1"/>
    <col min="3329" max="3329" width="6.28515625" style="1" customWidth="1"/>
    <col min="3330" max="3330" width="4.85546875" style="1" customWidth="1"/>
    <col min="3331" max="3331" width="8.140625" style="1" customWidth="1"/>
    <col min="3332" max="3332" width="11.5703125" style="1" customWidth="1"/>
    <col min="3333" max="3333" width="13.7109375" style="1" customWidth="1"/>
    <col min="3334" max="3334" width="20.85546875" style="1" customWidth="1"/>
    <col min="3335" max="3547" width="11.42578125" style="1"/>
    <col min="3548" max="3548" width="13.140625" style="1" customWidth="1"/>
    <col min="3549" max="3549" width="4" style="1" customWidth="1"/>
    <col min="3550" max="3550" width="12.85546875" style="1" customWidth="1"/>
    <col min="3551" max="3551" width="14.7109375" style="1" customWidth="1"/>
    <col min="3552" max="3552" width="10" style="1" customWidth="1"/>
    <col min="3553" max="3553" width="6.28515625" style="1" customWidth="1"/>
    <col min="3554" max="3554" width="12.28515625" style="1" customWidth="1"/>
    <col min="3555" max="3555" width="8.5703125" style="1" customWidth="1"/>
    <col min="3556" max="3556" width="13.7109375" style="1" customWidth="1"/>
    <col min="3557" max="3557" width="11.5703125" style="1" customWidth="1"/>
    <col min="3558" max="3558" width="24.7109375" style="1" customWidth="1"/>
    <col min="3559" max="3559" width="17.42578125" style="1" customWidth="1"/>
    <col min="3560" max="3560" width="20.85546875" style="1" customWidth="1"/>
    <col min="3561" max="3561" width="26.85546875" style="1" customWidth="1"/>
    <col min="3562" max="3562" width="8" style="1" customWidth="1"/>
    <col min="3563" max="3563" width="25" style="1" customWidth="1"/>
    <col min="3564" max="3564" width="12.7109375" style="1" customWidth="1"/>
    <col min="3565" max="3565" width="16.42578125" style="1" customWidth="1"/>
    <col min="3566" max="3566" width="23.5703125" style="1" customWidth="1"/>
    <col min="3567" max="3567" width="33.7109375" style="1" customWidth="1"/>
    <col min="3568" max="3568" width="31.140625" style="1" customWidth="1"/>
    <col min="3569" max="3569" width="19.28515625" style="1" customWidth="1"/>
    <col min="3570" max="3570" width="11.7109375" style="1" customWidth="1"/>
    <col min="3571" max="3571" width="15.42578125" style="1" customWidth="1"/>
    <col min="3572" max="3572" width="5.5703125" style="1" customWidth="1"/>
    <col min="3573" max="3573" width="4.7109375" style="1" customWidth="1"/>
    <col min="3574" max="3575" width="7.28515625" style="1" customWidth="1"/>
    <col min="3576" max="3576" width="8.42578125" style="1" customWidth="1"/>
    <col min="3577" max="3577" width="9.5703125" style="1" customWidth="1"/>
    <col min="3578" max="3578" width="6.28515625" style="1" customWidth="1"/>
    <col min="3579" max="3579" width="5.85546875" style="1" customWidth="1"/>
    <col min="3580" max="3581" width="4.42578125" style="1" customWidth="1"/>
    <col min="3582" max="3582" width="5" style="1" customWidth="1"/>
    <col min="3583" max="3583" width="5.85546875" style="1" customWidth="1"/>
    <col min="3584" max="3584" width="6.140625" style="1" customWidth="1"/>
    <col min="3585" max="3585" width="6.28515625" style="1" customWidth="1"/>
    <col min="3586" max="3586" width="4.85546875" style="1" customWidth="1"/>
    <col min="3587" max="3587" width="8.140625" style="1" customWidth="1"/>
    <col min="3588" max="3588" width="11.5703125" style="1" customWidth="1"/>
    <col min="3589" max="3589" width="13.7109375" style="1" customWidth="1"/>
    <col min="3590" max="3590" width="20.85546875" style="1" customWidth="1"/>
    <col min="3591" max="3803" width="11.42578125" style="1"/>
    <col min="3804" max="3804" width="13.140625" style="1" customWidth="1"/>
    <col min="3805" max="3805" width="4" style="1" customWidth="1"/>
    <col min="3806" max="3806" width="12.85546875" style="1" customWidth="1"/>
    <col min="3807" max="3807" width="14.7109375" style="1" customWidth="1"/>
    <col min="3808" max="3808" width="10" style="1" customWidth="1"/>
    <col min="3809" max="3809" width="6.28515625" style="1" customWidth="1"/>
    <col min="3810" max="3810" width="12.28515625" style="1" customWidth="1"/>
    <col min="3811" max="3811" width="8.5703125" style="1" customWidth="1"/>
    <col min="3812" max="3812" width="13.7109375" style="1" customWidth="1"/>
    <col min="3813" max="3813" width="11.5703125" style="1" customWidth="1"/>
    <col min="3814" max="3814" width="24.7109375" style="1" customWidth="1"/>
    <col min="3815" max="3815" width="17.42578125" style="1" customWidth="1"/>
    <col min="3816" max="3816" width="20.85546875" style="1" customWidth="1"/>
    <col min="3817" max="3817" width="26.85546875" style="1" customWidth="1"/>
    <col min="3818" max="3818" width="8" style="1" customWidth="1"/>
    <col min="3819" max="3819" width="25" style="1" customWidth="1"/>
    <col min="3820" max="3820" width="12.7109375" style="1" customWidth="1"/>
    <col min="3821" max="3821" width="16.42578125" style="1" customWidth="1"/>
    <col min="3822" max="3822" width="23.5703125" style="1" customWidth="1"/>
    <col min="3823" max="3823" width="33.7109375" style="1" customWidth="1"/>
    <col min="3824" max="3824" width="31.140625" style="1" customWidth="1"/>
    <col min="3825" max="3825" width="19.28515625" style="1" customWidth="1"/>
    <col min="3826" max="3826" width="11.7109375" style="1" customWidth="1"/>
    <col min="3827" max="3827" width="15.42578125" style="1" customWidth="1"/>
    <col min="3828" max="3828" width="5.5703125" style="1" customWidth="1"/>
    <col min="3829" max="3829" width="4.7109375" style="1" customWidth="1"/>
    <col min="3830" max="3831" width="7.28515625" style="1" customWidth="1"/>
    <col min="3832" max="3832" width="8.42578125" style="1" customWidth="1"/>
    <col min="3833" max="3833" width="9.5703125" style="1" customWidth="1"/>
    <col min="3834" max="3834" width="6.28515625" style="1" customWidth="1"/>
    <col min="3835" max="3835" width="5.85546875" style="1" customWidth="1"/>
    <col min="3836" max="3837" width="4.42578125" style="1" customWidth="1"/>
    <col min="3838" max="3838" width="5" style="1" customWidth="1"/>
    <col min="3839" max="3839" width="5.85546875" style="1" customWidth="1"/>
    <col min="3840" max="3840" width="6.140625" style="1" customWidth="1"/>
    <col min="3841" max="3841" width="6.28515625" style="1" customWidth="1"/>
    <col min="3842" max="3842" width="4.85546875" style="1" customWidth="1"/>
    <col min="3843" max="3843" width="8.140625" style="1" customWidth="1"/>
    <col min="3844" max="3844" width="11.5703125" style="1" customWidth="1"/>
    <col min="3845" max="3845" width="13.7109375" style="1" customWidth="1"/>
    <col min="3846" max="3846" width="20.85546875" style="1" customWidth="1"/>
    <col min="3847" max="4059" width="11.42578125" style="1"/>
    <col min="4060" max="4060" width="13.140625" style="1" customWidth="1"/>
    <col min="4061" max="4061" width="4" style="1" customWidth="1"/>
    <col min="4062" max="4062" width="12.85546875" style="1" customWidth="1"/>
    <col min="4063" max="4063" width="14.7109375" style="1" customWidth="1"/>
    <col min="4064" max="4064" width="10" style="1" customWidth="1"/>
    <col min="4065" max="4065" width="6.28515625" style="1" customWidth="1"/>
    <col min="4066" max="4066" width="12.28515625" style="1" customWidth="1"/>
    <col min="4067" max="4067" width="8.5703125" style="1" customWidth="1"/>
    <col min="4068" max="4068" width="13.7109375" style="1" customWidth="1"/>
    <col min="4069" max="4069" width="11.5703125" style="1" customWidth="1"/>
    <col min="4070" max="4070" width="24.7109375" style="1" customWidth="1"/>
    <col min="4071" max="4071" width="17.42578125" style="1" customWidth="1"/>
    <col min="4072" max="4072" width="20.85546875" style="1" customWidth="1"/>
    <col min="4073" max="4073" width="26.85546875" style="1" customWidth="1"/>
    <col min="4074" max="4074" width="8" style="1" customWidth="1"/>
    <col min="4075" max="4075" width="25" style="1" customWidth="1"/>
    <col min="4076" max="4076" width="12.7109375" style="1" customWidth="1"/>
    <col min="4077" max="4077" width="16.42578125" style="1" customWidth="1"/>
    <col min="4078" max="4078" width="23.5703125" style="1" customWidth="1"/>
    <col min="4079" max="4079" width="33.7109375" style="1" customWidth="1"/>
    <col min="4080" max="4080" width="31.140625" style="1" customWidth="1"/>
    <col min="4081" max="4081" width="19.28515625" style="1" customWidth="1"/>
    <col min="4082" max="4082" width="11.7109375" style="1" customWidth="1"/>
    <col min="4083" max="4083" width="15.42578125" style="1" customWidth="1"/>
    <col min="4084" max="4084" width="5.5703125" style="1" customWidth="1"/>
    <col min="4085" max="4085" width="4.7109375" style="1" customWidth="1"/>
    <col min="4086" max="4087" width="7.28515625" style="1" customWidth="1"/>
    <col min="4088" max="4088" width="8.42578125" style="1" customWidth="1"/>
    <col min="4089" max="4089" width="9.5703125" style="1" customWidth="1"/>
    <col min="4090" max="4090" width="6.28515625" style="1" customWidth="1"/>
    <col min="4091" max="4091" width="5.85546875" style="1" customWidth="1"/>
    <col min="4092" max="4093" width="4.42578125" style="1" customWidth="1"/>
    <col min="4094" max="4094" width="5" style="1" customWidth="1"/>
    <col min="4095" max="4095" width="5.85546875" style="1" customWidth="1"/>
    <col min="4096" max="4096" width="6.140625" style="1" customWidth="1"/>
    <col min="4097" max="4097" width="6.28515625" style="1" customWidth="1"/>
    <col min="4098" max="4098" width="4.85546875" style="1" customWidth="1"/>
    <col min="4099" max="4099" width="8.140625" style="1" customWidth="1"/>
    <col min="4100" max="4100" width="11.5703125" style="1" customWidth="1"/>
    <col min="4101" max="4101" width="13.7109375" style="1" customWidth="1"/>
    <col min="4102" max="4102" width="20.85546875" style="1" customWidth="1"/>
    <col min="4103" max="4315" width="11.42578125" style="1"/>
    <col min="4316" max="4316" width="13.140625" style="1" customWidth="1"/>
    <col min="4317" max="4317" width="4" style="1" customWidth="1"/>
    <col min="4318" max="4318" width="12.85546875" style="1" customWidth="1"/>
    <col min="4319" max="4319" width="14.7109375" style="1" customWidth="1"/>
    <col min="4320" max="4320" width="10" style="1" customWidth="1"/>
    <col min="4321" max="4321" width="6.28515625" style="1" customWidth="1"/>
    <col min="4322" max="4322" width="12.28515625" style="1" customWidth="1"/>
    <col min="4323" max="4323" width="8.5703125" style="1" customWidth="1"/>
    <col min="4324" max="4324" width="13.7109375" style="1" customWidth="1"/>
    <col min="4325" max="4325" width="11.5703125" style="1" customWidth="1"/>
    <col min="4326" max="4326" width="24.7109375" style="1" customWidth="1"/>
    <col min="4327" max="4327" width="17.42578125" style="1" customWidth="1"/>
    <col min="4328" max="4328" width="20.85546875" style="1" customWidth="1"/>
    <col min="4329" max="4329" width="26.85546875" style="1" customWidth="1"/>
    <col min="4330" max="4330" width="8" style="1" customWidth="1"/>
    <col min="4331" max="4331" width="25" style="1" customWidth="1"/>
    <col min="4332" max="4332" width="12.7109375" style="1" customWidth="1"/>
    <col min="4333" max="4333" width="16.42578125" style="1" customWidth="1"/>
    <col min="4334" max="4334" width="23.5703125" style="1" customWidth="1"/>
    <col min="4335" max="4335" width="33.7109375" style="1" customWidth="1"/>
    <col min="4336" max="4336" width="31.140625" style="1" customWidth="1"/>
    <col min="4337" max="4337" width="19.28515625" style="1" customWidth="1"/>
    <col min="4338" max="4338" width="11.7109375" style="1" customWidth="1"/>
    <col min="4339" max="4339" width="15.42578125" style="1" customWidth="1"/>
    <col min="4340" max="4340" width="5.5703125" style="1" customWidth="1"/>
    <col min="4341" max="4341" width="4.7109375" style="1" customWidth="1"/>
    <col min="4342" max="4343" width="7.28515625" style="1" customWidth="1"/>
    <col min="4344" max="4344" width="8.42578125" style="1" customWidth="1"/>
    <col min="4345" max="4345" width="9.5703125" style="1" customWidth="1"/>
    <col min="4346" max="4346" width="6.28515625" style="1" customWidth="1"/>
    <col min="4347" max="4347" width="5.85546875" style="1" customWidth="1"/>
    <col min="4348" max="4349" width="4.42578125" style="1" customWidth="1"/>
    <col min="4350" max="4350" width="5" style="1" customWidth="1"/>
    <col min="4351" max="4351" width="5.85546875" style="1" customWidth="1"/>
    <col min="4352" max="4352" width="6.140625" style="1" customWidth="1"/>
    <col min="4353" max="4353" width="6.28515625" style="1" customWidth="1"/>
    <col min="4354" max="4354" width="4.85546875" style="1" customWidth="1"/>
    <col min="4355" max="4355" width="8.140625" style="1" customWidth="1"/>
    <col min="4356" max="4356" width="11.5703125" style="1" customWidth="1"/>
    <col min="4357" max="4357" width="13.7109375" style="1" customWidth="1"/>
    <col min="4358" max="4358" width="20.85546875" style="1" customWidth="1"/>
    <col min="4359" max="4571" width="11.42578125" style="1"/>
    <col min="4572" max="4572" width="13.140625" style="1" customWidth="1"/>
    <col min="4573" max="4573" width="4" style="1" customWidth="1"/>
    <col min="4574" max="4574" width="12.85546875" style="1" customWidth="1"/>
    <col min="4575" max="4575" width="14.7109375" style="1" customWidth="1"/>
    <col min="4576" max="4576" width="10" style="1" customWidth="1"/>
    <col min="4577" max="4577" width="6.28515625" style="1" customWidth="1"/>
    <col min="4578" max="4578" width="12.28515625" style="1" customWidth="1"/>
    <col min="4579" max="4579" width="8.5703125" style="1" customWidth="1"/>
    <col min="4580" max="4580" width="13.7109375" style="1" customWidth="1"/>
    <col min="4581" max="4581" width="11.5703125" style="1" customWidth="1"/>
    <col min="4582" max="4582" width="24.7109375" style="1" customWidth="1"/>
    <col min="4583" max="4583" width="17.42578125" style="1" customWidth="1"/>
    <col min="4584" max="4584" width="20.85546875" style="1" customWidth="1"/>
    <col min="4585" max="4585" width="26.85546875" style="1" customWidth="1"/>
    <col min="4586" max="4586" width="8" style="1" customWidth="1"/>
    <col min="4587" max="4587" width="25" style="1" customWidth="1"/>
    <col min="4588" max="4588" width="12.7109375" style="1" customWidth="1"/>
    <col min="4589" max="4589" width="16.42578125" style="1" customWidth="1"/>
    <col min="4590" max="4590" width="23.5703125" style="1" customWidth="1"/>
    <col min="4591" max="4591" width="33.7109375" style="1" customWidth="1"/>
    <col min="4592" max="4592" width="31.140625" style="1" customWidth="1"/>
    <col min="4593" max="4593" width="19.28515625" style="1" customWidth="1"/>
    <col min="4594" max="4594" width="11.7109375" style="1" customWidth="1"/>
    <col min="4595" max="4595" width="15.42578125" style="1" customWidth="1"/>
    <col min="4596" max="4596" width="5.5703125" style="1" customWidth="1"/>
    <col min="4597" max="4597" width="4.7109375" style="1" customWidth="1"/>
    <col min="4598" max="4599" width="7.28515625" style="1" customWidth="1"/>
    <col min="4600" max="4600" width="8.42578125" style="1" customWidth="1"/>
    <col min="4601" max="4601" width="9.5703125" style="1" customWidth="1"/>
    <col min="4602" max="4602" width="6.28515625" style="1" customWidth="1"/>
    <col min="4603" max="4603" width="5.85546875" style="1" customWidth="1"/>
    <col min="4604" max="4605" width="4.42578125" style="1" customWidth="1"/>
    <col min="4606" max="4606" width="5" style="1" customWidth="1"/>
    <col min="4607" max="4607" width="5.85546875" style="1" customWidth="1"/>
    <col min="4608" max="4608" width="6.140625" style="1" customWidth="1"/>
    <col min="4609" max="4609" width="6.28515625" style="1" customWidth="1"/>
    <col min="4610" max="4610" width="4.85546875" style="1" customWidth="1"/>
    <col min="4611" max="4611" width="8.140625" style="1" customWidth="1"/>
    <col min="4612" max="4612" width="11.5703125" style="1" customWidth="1"/>
    <col min="4613" max="4613" width="13.7109375" style="1" customWidth="1"/>
    <col min="4614" max="4614" width="20.85546875" style="1" customWidth="1"/>
    <col min="4615" max="4827" width="11.42578125" style="1"/>
    <col min="4828" max="4828" width="13.140625" style="1" customWidth="1"/>
    <col min="4829" max="4829" width="4" style="1" customWidth="1"/>
    <col min="4830" max="4830" width="12.85546875" style="1" customWidth="1"/>
    <col min="4831" max="4831" width="14.7109375" style="1" customWidth="1"/>
    <col min="4832" max="4832" width="10" style="1" customWidth="1"/>
    <col min="4833" max="4833" width="6.28515625" style="1" customWidth="1"/>
    <col min="4834" max="4834" width="12.28515625" style="1" customWidth="1"/>
    <col min="4835" max="4835" width="8.5703125" style="1" customWidth="1"/>
    <col min="4836" max="4836" width="13.7109375" style="1" customWidth="1"/>
    <col min="4837" max="4837" width="11.5703125" style="1" customWidth="1"/>
    <col min="4838" max="4838" width="24.7109375" style="1" customWidth="1"/>
    <col min="4839" max="4839" width="17.42578125" style="1" customWidth="1"/>
    <col min="4840" max="4840" width="20.85546875" style="1" customWidth="1"/>
    <col min="4841" max="4841" width="26.85546875" style="1" customWidth="1"/>
    <col min="4842" max="4842" width="8" style="1" customWidth="1"/>
    <col min="4843" max="4843" width="25" style="1" customWidth="1"/>
    <col min="4844" max="4844" width="12.7109375" style="1" customWidth="1"/>
    <col min="4845" max="4845" width="16.42578125" style="1" customWidth="1"/>
    <col min="4846" max="4846" width="23.5703125" style="1" customWidth="1"/>
    <col min="4847" max="4847" width="33.7109375" style="1" customWidth="1"/>
    <col min="4848" max="4848" width="31.140625" style="1" customWidth="1"/>
    <col min="4849" max="4849" width="19.28515625" style="1" customWidth="1"/>
    <col min="4850" max="4850" width="11.7109375" style="1" customWidth="1"/>
    <col min="4851" max="4851" width="15.42578125" style="1" customWidth="1"/>
    <col min="4852" max="4852" width="5.5703125" style="1" customWidth="1"/>
    <col min="4853" max="4853" width="4.7109375" style="1" customWidth="1"/>
    <col min="4854" max="4855" width="7.28515625" style="1" customWidth="1"/>
    <col min="4856" max="4856" width="8.42578125" style="1" customWidth="1"/>
    <col min="4857" max="4857" width="9.5703125" style="1" customWidth="1"/>
    <col min="4858" max="4858" width="6.28515625" style="1" customWidth="1"/>
    <col min="4859" max="4859" width="5.85546875" style="1" customWidth="1"/>
    <col min="4860" max="4861" width="4.42578125" style="1" customWidth="1"/>
    <col min="4862" max="4862" width="5" style="1" customWidth="1"/>
    <col min="4863" max="4863" width="5.85546875" style="1" customWidth="1"/>
    <col min="4864" max="4864" width="6.140625" style="1" customWidth="1"/>
    <col min="4865" max="4865" width="6.28515625" style="1" customWidth="1"/>
    <col min="4866" max="4866" width="4.85546875" style="1" customWidth="1"/>
    <col min="4867" max="4867" width="8.140625" style="1" customWidth="1"/>
    <col min="4868" max="4868" width="11.5703125" style="1" customWidth="1"/>
    <col min="4869" max="4869" width="13.7109375" style="1" customWidth="1"/>
    <col min="4870" max="4870" width="20.85546875" style="1" customWidth="1"/>
    <col min="4871" max="5083" width="11.42578125" style="1"/>
    <col min="5084" max="5084" width="13.140625" style="1" customWidth="1"/>
    <col min="5085" max="5085" width="4" style="1" customWidth="1"/>
    <col min="5086" max="5086" width="12.85546875" style="1" customWidth="1"/>
    <col min="5087" max="5087" width="14.7109375" style="1" customWidth="1"/>
    <col min="5088" max="5088" width="10" style="1" customWidth="1"/>
    <col min="5089" max="5089" width="6.28515625" style="1" customWidth="1"/>
    <col min="5090" max="5090" width="12.28515625" style="1" customWidth="1"/>
    <col min="5091" max="5091" width="8.5703125" style="1" customWidth="1"/>
    <col min="5092" max="5092" width="13.7109375" style="1" customWidth="1"/>
    <col min="5093" max="5093" width="11.5703125" style="1" customWidth="1"/>
    <col min="5094" max="5094" width="24.7109375" style="1" customWidth="1"/>
    <col min="5095" max="5095" width="17.42578125" style="1" customWidth="1"/>
    <col min="5096" max="5096" width="20.85546875" style="1" customWidth="1"/>
    <col min="5097" max="5097" width="26.85546875" style="1" customWidth="1"/>
    <col min="5098" max="5098" width="8" style="1" customWidth="1"/>
    <col min="5099" max="5099" width="25" style="1" customWidth="1"/>
    <col min="5100" max="5100" width="12.7109375" style="1" customWidth="1"/>
    <col min="5101" max="5101" width="16.42578125" style="1" customWidth="1"/>
    <col min="5102" max="5102" width="23.5703125" style="1" customWidth="1"/>
    <col min="5103" max="5103" width="33.7109375" style="1" customWidth="1"/>
    <col min="5104" max="5104" width="31.140625" style="1" customWidth="1"/>
    <col min="5105" max="5105" width="19.28515625" style="1" customWidth="1"/>
    <col min="5106" max="5106" width="11.7109375" style="1" customWidth="1"/>
    <col min="5107" max="5107" width="15.42578125" style="1" customWidth="1"/>
    <col min="5108" max="5108" width="5.5703125" style="1" customWidth="1"/>
    <col min="5109" max="5109" width="4.7109375" style="1" customWidth="1"/>
    <col min="5110" max="5111" width="7.28515625" style="1" customWidth="1"/>
    <col min="5112" max="5112" width="8.42578125" style="1" customWidth="1"/>
    <col min="5113" max="5113" width="9.5703125" style="1" customWidth="1"/>
    <col min="5114" max="5114" width="6.28515625" style="1" customWidth="1"/>
    <col min="5115" max="5115" width="5.85546875" style="1" customWidth="1"/>
    <col min="5116" max="5117" width="4.42578125" style="1" customWidth="1"/>
    <col min="5118" max="5118" width="5" style="1" customWidth="1"/>
    <col min="5119" max="5119" width="5.85546875" style="1" customWidth="1"/>
    <col min="5120" max="5120" width="6.140625" style="1" customWidth="1"/>
    <col min="5121" max="5121" width="6.28515625" style="1" customWidth="1"/>
    <col min="5122" max="5122" width="4.85546875" style="1" customWidth="1"/>
    <col min="5123" max="5123" width="8.140625" style="1" customWidth="1"/>
    <col min="5124" max="5124" width="11.5703125" style="1" customWidth="1"/>
    <col min="5125" max="5125" width="13.7109375" style="1" customWidth="1"/>
    <col min="5126" max="5126" width="20.85546875" style="1" customWidth="1"/>
    <col min="5127" max="5339" width="11.42578125" style="1"/>
    <col min="5340" max="5340" width="13.140625" style="1" customWidth="1"/>
    <col min="5341" max="5341" width="4" style="1" customWidth="1"/>
    <col min="5342" max="5342" width="12.85546875" style="1" customWidth="1"/>
    <col min="5343" max="5343" width="14.7109375" style="1" customWidth="1"/>
    <col min="5344" max="5344" width="10" style="1" customWidth="1"/>
    <col min="5345" max="5345" width="6.28515625" style="1" customWidth="1"/>
    <col min="5346" max="5346" width="12.28515625" style="1" customWidth="1"/>
    <col min="5347" max="5347" width="8.5703125" style="1" customWidth="1"/>
    <col min="5348" max="5348" width="13.7109375" style="1" customWidth="1"/>
    <col min="5349" max="5349" width="11.5703125" style="1" customWidth="1"/>
    <col min="5350" max="5350" width="24.7109375" style="1" customWidth="1"/>
    <col min="5351" max="5351" width="17.42578125" style="1" customWidth="1"/>
    <col min="5352" max="5352" width="20.85546875" style="1" customWidth="1"/>
    <col min="5353" max="5353" width="26.85546875" style="1" customWidth="1"/>
    <col min="5354" max="5354" width="8" style="1" customWidth="1"/>
    <col min="5355" max="5355" width="25" style="1" customWidth="1"/>
    <col min="5356" max="5356" width="12.7109375" style="1" customWidth="1"/>
    <col min="5357" max="5357" width="16.42578125" style="1" customWidth="1"/>
    <col min="5358" max="5358" width="23.5703125" style="1" customWidth="1"/>
    <col min="5359" max="5359" width="33.7109375" style="1" customWidth="1"/>
    <col min="5360" max="5360" width="31.140625" style="1" customWidth="1"/>
    <col min="5361" max="5361" width="19.28515625" style="1" customWidth="1"/>
    <col min="5362" max="5362" width="11.7109375" style="1" customWidth="1"/>
    <col min="5363" max="5363" width="15.42578125" style="1" customWidth="1"/>
    <col min="5364" max="5364" width="5.5703125" style="1" customWidth="1"/>
    <col min="5365" max="5365" width="4.7109375" style="1" customWidth="1"/>
    <col min="5366" max="5367" width="7.28515625" style="1" customWidth="1"/>
    <col min="5368" max="5368" width="8.42578125" style="1" customWidth="1"/>
    <col min="5369" max="5369" width="9.5703125" style="1" customWidth="1"/>
    <col min="5370" max="5370" width="6.28515625" style="1" customWidth="1"/>
    <col min="5371" max="5371" width="5.85546875" style="1" customWidth="1"/>
    <col min="5372" max="5373" width="4.42578125" style="1" customWidth="1"/>
    <col min="5374" max="5374" width="5" style="1" customWidth="1"/>
    <col min="5375" max="5375" width="5.85546875" style="1" customWidth="1"/>
    <col min="5376" max="5376" width="6.140625" style="1" customWidth="1"/>
    <col min="5377" max="5377" width="6.28515625" style="1" customWidth="1"/>
    <col min="5378" max="5378" width="4.85546875" style="1" customWidth="1"/>
    <col min="5379" max="5379" width="8.140625" style="1" customWidth="1"/>
    <col min="5380" max="5380" width="11.5703125" style="1" customWidth="1"/>
    <col min="5381" max="5381" width="13.7109375" style="1" customWidth="1"/>
    <col min="5382" max="5382" width="20.85546875" style="1" customWidth="1"/>
    <col min="5383" max="5595" width="11.42578125" style="1"/>
    <col min="5596" max="5596" width="13.140625" style="1" customWidth="1"/>
    <col min="5597" max="5597" width="4" style="1" customWidth="1"/>
    <col min="5598" max="5598" width="12.85546875" style="1" customWidth="1"/>
    <col min="5599" max="5599" width="14.7109375" style="1" customWidth="1"/>
    <col min="5600" max="5600" width="10" style="1" customWidth="1"/>
    <col min="5601" max="5601" width="6.28515625" style="1" customWidth="1"/>
    <col min="5602" max="5602" width="12.28515625" style="1" customWidth="1"/>
    <col min="5603" max="5603" width="8.5703125" style="1" customWidth="1"/>
    <col min="5604" max="5604" width="13.7109375" style="1" customWidth="1"/>
    <col min="5605" max="5605" width="11.5703125" style="1" customWidth="1"/>
    <col min="5606" max="5606" width="24.7109375" style="1" customWidth="1"/>
    <col min="5607" max="5607" width="17.42578125" style="1" customWidth="1"/>
    <col min="5608" max="5608" width="20.85546875" style="1" customWidth="1"/>
    <col min="5609" max="5609" width="26.85546875" style="1" customWidth="1"/>
    <col min="5610" max="5610" width="8" style="1" customWidth="1"/>
    <col min="5611" max="5611" width="25" style="1" customWidth="1"/>
    <col min="5612" max="5612" width="12.7109375" style="1" customWidth="1"/>
    <col min="5613" max="5613" width="16.42578125" style="1" customWidth="1"/>
    <col min="5614" max="5614" width="23.5703125" style="1" customWidth="1"/>
    <col min="5615" max="5615" width="33.7109375" style="1" customWidth="1"/>
    <col min="5616" max="5616" width="31.140625" style="1" customWidth="1"/>
    <col min="5617" max="5617" width="19.28515625" style="1" customWidth="1"/>
    <col min="5618" max="5618" width="11.7109375" style="1" customWidth="1"/>
    <col min="5619" max="5619" width="15.42578125" style="1" customWidth="1"/>
    <col min="5620" max="5620" width="5.5703125" style="1" customWidth="1"/>
    <col min="5621" max="5621" width="4.7109375" style="1" customWidth="1"/>
    <col min="5622" max="5623" width="7.28515625" style="1" customWidth="1"/>
    <col min="5624" max="5624" width="8.42578125" style="1" customWidth="1"/>
    <col min="5625" max="5625" width="9.5703125" style="1" customWidth="1"/>
    <col min="5626" max="5626" width="6.28515625" style="1" customWidth="1"/>
    <col min="5627" max="5627" width="5.85546875" style="1" customWidth="1"/>
    <col min="5628" max="5629" width="4.42578125" style="1" customWidth="1"/>
    <col min="5630" max="5630" width="5" style="1" customWidth="1"/>
    <col min="5631" max="5631" width="5.85546875" style="1" customWidth="1"/>
    <col min="5632" max="5632" width="6.140625" style="1" customWidth="1"/>
    <col min="5633" max="5633" width="6.28515625" style="1" customWidth="1"/>
    <col min="5634" max="5634" width="4.85546875" style="1" customWidth="1"/>
    <col min="5635" max="5635" width="8.140625" style="1" customWidth="1"/>
    <col min="5636" max="5636" width="11.5703125" style="1" customWidth="1"/>
    <col min="5637" max="5637" width="13.7109375" style="1" customWidth="1"/>
    <col min="5638" max="5638" width="20.85546875" style="1" customWidth="1"/>
    <col min="5639" max="5851" width="11.42578125" style="1"/>
    <col min="5852" max="5852" width="13.140625" style="1" customWidth="1"/>
    <col min="5853" max="5853" width="4" style="1" customWidth="1"/>
    <col min="5854" max="5854" width="12.85546875" style="1" customWidth="1"/>
    <col min="5855" max="5855" width="14.7109375" style="1" customWidth="1"/>
    <col min="5856" max="5856" width="10" style="1" customWidth="1"/>
    <col min="5857" max="5857" width="6.28515625" style="1" customWidth="1"/>
    <col min="5858" max="5858" width="12.28515625" style="1" customWidth="1"/>
    <col min="5859" max="5859" width="8.5703125" style="1" customWidth="1"/>
    <col min="5860" max="5860" width="13.7109375" style="1" customWidth="1"/>
    <col min="5861" max="5861" width="11.5703125" style="1" customWidth="1"/>
    <col min="5862" max="5862" width="24.7109375" style="1" customWidth="1"/>
    <col min="5863" max="5863" width="17.42578125" style="1" customWidth="1"/>
    <col min="5864" max="5864" width="20.85546875" style="1" customWidth="1"/>
    <col min="5865" max="5865" width="26.85546875" style="1" customWidth="1"/>
    <col min="5866" max="5866" width="8" style="1" customWidth="1"/>
    <col min="5867" max="5867" width="25" style="1" customWidth="1"/>
    <col min="5868" max="5868" width="12.7109375" style="1" customWidth="1"/>
    <col min="5869" max="5869" width="16.42578125" style="1" customWidth="1"/>
    <col min="5870" max="5870" width="23.5703125" style="1" customWidth="1"/>
    <col min="5871" max="5871" width="33.7109375" style="1" customWidth="1"/>
    <col min="5872" max="5872" width="31.140625" style="1" customWidth="1"/>
    <col min="5873" max="5873" width="19.28515625" style="1" customWidth="1"/>
    <col min="5874" max="5874" width="11.7109375" style="1" customWidth="1"/>
    <col min="5875" max="5875" width="15.42578125" style="1" customWidth="1"/>
    <col min="5876" max="5876" width="5.5703125" style="1" customWidth="1"/>
    <col min="5877" max="5877" width="4.7109375" style="1" customWidth="1"/>
    <col min="5878" max="5879" width="7.28515625" style="1" customWidth="1"/>
    <col min="5880" max="5880" width="8.42578125" style="1" customWidth="1"/>
    <col min="5881" max="5881" width="9.5703125" style="1" customWidth="1"/>
    <col min="5882" max="5882" width="6.28515625" style="1" customWidth="1"/>
    <col min="5883" max="5883" width="5.85546875" style="1" customWidth="1"/>
    <col min="5884" max="5885" width="4.42578125" style="1" customWidth="1"/>
    <col min="5886" max="5886" width="5" style="1" customWidth="1"/>
    <col min="5887" max="5887" width="5.85546875" style="1" customWidth="1"/>
    <col min="5888" max="5888" width="6.140625" style="1" customWidth="1"/>
    <col min="5889" max="5889" width="6.28515625" style="1" customWidth="1"/>
    <col min="5890" max="5890" width="4.85546875" style="1" customWidth="1"/>
    <col min="5891" max="5891" width="8.140625" style="1" customWidth="1"/>
    <col min="5892" max="5892" width="11.5703125" style="1" customWidth="1"/>
    <col min="5893" max="5893" width="13.7109375" style="1" customWidth="1"/>
    <col min="5894" max="5894" width="20.85546875" style="1" customWidth="1"/>
    <col min="5895" max="6107" width="11.42578125" style="1"/>
    <col min="6108" max="6108" width="13.140625" style="1" customWidth="1"/>
    <col min="6109" max="6109" width="4" style="1" customWidth="1"/>
    <col min="6110" max="6110" width="12.85546875" style="1" customWidth="1"/>
    <col min="6111" max="6111" width="14.7109375" style="1" customWidth="1"/>
    <col min="6112" max="6112" width="10" style="1" customWidth="1"/>
    <col min="6113" max="6113" width="6.28515625" style="1" customWidth="1"/>
    <col min="6114" max="6114" width="12.28515625" style="1" customWidth="1"/>
    <col min="6115" max="6115" width="8.5703125" style="1" customWidth="1"/>
    <col min="6116" max="6116" width="13.7109375" style="1" customWidth="1"/>
    <col min="6117" max="6117" width="11.5703125" style="1" customWidth="1"/>
    <col min="6118" max="6118" width="24.7109375" style="1" customWidth="1"/>
    <col min="6119" max="6119" width="17.42578125" style="1" customWidth="1"/>
    <col min="6120" max="6120" width="20.85546875" style="1" customWidth="1"/>
    <col min="6121" max="6121" width="26.85546875" style="1" customWidth="1"/>
    <col min="6122" max="6122" width="8" style="1" customWidth="1"/>
    <col min="6123" max="6123" width="25" style="1" customWidth="1"/>
    <col min="6124" max="6124" width="12.7109375" style="1" customWidth="1"/>
    <col min="6125" max="6125" width="16.42578125" style="1" customWidth="1"/>
    <col min="6126" max="6126" width="23.5703125" style="1" customWidth="1"/>
    <col min="6127" max="6127" width="33.7109375" style="1" customWidth="1"/>
    <col min="6128" max="6128" width="31.140625" style="1" customWidth="1"/>
    <col min="6129" max="6129" width="19.28515625" style="1" customWidth="1"/>
    <col min="6130" max="6130" width="11.7109375" style="1" customWidth="1"/>
    <col min="6131" max="6131" width="15.42578125" style="1" customWidth="1"/>
    <col min="6132" max="6132" width="5.5703125" style="1" customWidth="1"/>
    <col min="6133" max="6133" width="4.7109375" style="1" customWidth="1"/>
    <col min="6134" max="6135" width="7.28515625" style="1" customWidth="1"/>
    <col min="6136" max="6136" width="8.42578125" style="1" customWidth="1"/>
    <col min="6137" max="6137" width="9.5703125" style="1" customWidth="1"/>
    <col min="6138" max="6138" width="6.28515625" style="1" customWidth="1"/>
    <col min="6139" max="6139" width="5.85546875" style="1" customWidth="1"/>
    <col min="6140" max="6141" width="4.42578125" style="1" customWidth="1"/>
    <col min="6142" max="6142" width="5" style="1" customWidth="1"/>
    <col min="6143" max="6143" width="5.85546875" style="1" customWidth="1"/>
    <col min="6144" max="6144" width="6.140625" style="1" customWidth="1"/>
    <col min="6145" max="6145" width="6.28515625" style="1" customWidth="1"/>
    <col min="6146" max="6146" width="4.85546875" style="1" customWidth="1"/>
    <col min="6147" max="6147" width="8.140625" style="1" customWidth="1"/>
    <col min="6148" max="6148" width="11.5703125" style="1" customWidth="1"/>
    <col min="6149" max="6149" width="13.7109375" style="1" customWidth="1"/>
    <col min="6150" max="6150" width="20.85546875" style="1" customWidth="1"/>
    <col min="6151" max="6363" width="11.42578125" style="1"/>
    <col min="6364" max="6364" width="13.140625" style="1" customWidth="1"/>
    <col min="6365" max="6365" width="4" style="1" customWidth="1"/>
    <col min="6366" max="6366" width="12.85546875" style="1" customWidth="1"/>
    <col min="6367" max="6367" width="14.7109375" style="1" customWidth="1"/>
    <col min="6368" max="6368" width="10" style="1" customWidth="1"/>
    <col min="6369" max="6369" width="6.28515625" style="1" customWidth="1"/>
    <col min="6370" max="6370" width="12.28515625" style="1" customWidth="1"/>
    <col min="6371" max="6371" width="8.5703125" style="1" customWidth="1"/>
    <col min="6372" max="6372" width="13.7109375" style="1" customWidth="1"/>
    <col min="6373" max="6373" width="11.5703125" style="1" customWidth="1"/>
    <col min="6374" max="6374" width="24.7109375" style="1" customWidth="1"/>
    <col min="6375" max="6375" width="17.42578125" style="1" customWidth="1"/>
    <col min="6376" max="6376" width="20.85546875" style="1" customWidth="1"/>
    <col min="6377" max="6377" width="26.85546875" style="1" customWidth="1"/>
    <col min="6378" max="6378" width="8" style="1" customWidth="1"/>
    <col min="6379" max="6379" width="25" style="1" customWidth="1"/>
    <col min="6380" max="6380" width="12.7109375" style="1" customWidth="1"/>
    <col min="6381" max="6381" width="16.42578125" style="1" customWidth="1"/>
    <col min="6382" max="6382" width="23.5703125" style="1" customWidth="1"/>
    <col min="6383" max="6383" width="33.7109375" style="1" customWidth="1"/>
    <col min="6384" max="6384" width="31.140625" style="1" customWidth="1"/>
    <col min="6385" max="6385" width="19.28515625" style="1" customWidth="1"/>
    <col min="6386" max="6386" width="11.7109375" style="1" customWidth="1"/>
    <col min="6387" max="6387" width="15.42578125" style="1" customWidth="1"/>
    <col min="6388" max="6388" width="5.5703125" style="1" customWidth="1"/>
    <col min="6389" max="6389" width="4.7109375" style="1" customWidth="1"/>
    <col min="6390" max="6391" width="7.28515625" style="1" customWidth="1"/>
    <col min="6392" max="6392" width="8.42578125" style="1" customWidth="1"/>
    <col min="6393" max="6393" width="9.5703125" style="1" customWidth="1"/>
    <col min="6394" max="6394" width="6.28515625" style="1" customWidth="1"/>
    <col min="6395" max="6395" width="5.85546875" style="1" customWidth="1"/>
    <col min="6396" max="6397" width="4.42578125" style="1" customWidth="1"/>
    <col min="6398" max="6398" width="5" style="1" customWidth="1"/>
    <col min="6399" max="6399" width="5.85546875" style="1" customWidth="1"/>
    <col min="6400" max="6400" width="6.140625" style="1" customWidth="1"/>
    <col min="6401" max="6401" width="6.28515625" style="1" customWidth="1"/>
    <col min="6402" max="6402" width="4.85546875" style="1" customWidth="1"/>
    <col min="6403" max="6403" width="8.140625" style="1" customWidth="1"/>
    <col min="6404" max="6404" width="11.5703125" style="1" customWidth="1"/>
    <col min="6405" max="6405" width="13.7109375" style="1" customWidth="1"/>
    <col min="6406" max="6406" width="20.85546875" style="1" customWidth="1"/>
    <col min="6407" max="6619" width="11.42578125" style="1"/>
    <col min="6620" max="6620" width="13.140625" style="1" customWidth="1"/>
    <col min="6621" max="6621" width="4" style="1" customWidth="1"/>
    <col min="6622" max="6622" width="12.85546875" style="1" customWidth="1"/>
    <col min="6623" max="6623" width="14.7109375" style="1" customWidth="1"/>
    <col min="6624" max="6624" width="10" style="1" customWidth="1"/>
    <col min="6625" max="6625" width="6.28515625" style="1" customWidth="1"/>
    <col min="6626" max="6626" width="12.28515625" style="1" customWidth="1"/>
    <col min="6627" max="6627" width="8.5703125" style="1" customWidth="1"/>
    <col min="6628" max="6628" width="13.7109375" style="1" customWidth="1"/>
    <col min="6629" max="6629" width="11.5703125" style="1" customWidth="1"/>
    <col min="6630" max="6630" width="24.7109375" style="1" customWidth="1"/>
    <col min="6631" max="6631" width="17.42578125" style="1" customWidth="1"/>
    <col min="6632" max="6632" width="20.85546875" style="1" customWidth="1"/>
    <col min="6633" max="6633" width="26.85546875" style="1" customWidth="1"/>
    <col min="6634" max="6634" width="8" style="1" customWidth="1"/>
    <col min="6635" max="6635" width="25" style="1" customWidth="1"/>
    <col min="6636" max="6636" width="12.7109375" style="1" customWidth="1"/>
    <col min="6637" max="6637" width="16.42578125" style="1" customWidth="1"/>
    <col min="6638" max="6638" width="23.5703125" style="1" customWidth="1"/>
    <col min="6639" max="6639" width="33.7109375" style="1" customWidth="1"/>
    <col min="6640" max="6640" width="31.140625" style="1" customWidth="1"/>
    <col min="6641" max="6641" width="19.28515625" style="1" customWidth="1"/>
    <col min="6642" max="6642" width="11.7109375" style="1" customWidth="1"/>
    <col min="6643" max="6643" width="15.42578125" style="1" customWidth="1"/>
    <col min="6644" max="6644" width="5.5703125" style="1" customWidth="1"/>
    <col min="6645" max="6645" width="4.7109375" style="1" customWidth="1"/>
    <col min="6646" max="6647" width="7.28515625" style="1" customWidth="1"/>
    <col min="6648" max="6648" width="8.42578125" style="1" customWidth="1"/>
    <col min="6649" max="6649" width="9.5703125" style="1" customWidth="1"/>
    <col min="6650" max="6650" width="6.28515625" style="1" customWidth="1"/>
    <col min="6651" max="6651" width="5.85546875" style="1" customWidth="1"/>
    <col min="6652" max="6653" width="4.42578125" style="1" customWidth="1"/>
    <col min="6654" max="6654" width="5" style="1" customWidth="1"/>
    <col min="6655" max="6655" width="5.85546875" style="1" customWidth="1"/>
    <col min="6656" max="6656" width="6.140625" style="1" customWidth="1"/>
    <col min="6657" max="6657" width="6.28515625" style="1" customWidth="1"/>
    <col min="6658" max="6658" width="4.85546875" style="1" customWidth="1"/>
    <col min="6659" max="6659" width="8.140625" style="1" customWidth="1"/>
    <col min="6660" max="6660" width="11.5703125" style="1" customWidth="1"/>
    <col min="6661" max="6661" width="13.7109375" style="1" customWidth="1"/>
    <col min="6662" max="6662" width="20.85546875" style="1" customWidth="1"/>
    <col min="6663" max="6875" width="11.42578125" style="1"/>
    <col min="6876" max="6876" width="13.140625" style="1" customWidth="1"/>
    <col min="6877" max="6877" width="4" style="1" customWidth="1"/>
    <col min="6878" max="6878" width="12.85546875" style="1" customWidth="1"/>
    <col min="6879" max="6879" width="14.7109375" style="1" customWidth="1"/>
    <col min="6880" max="6880" width="10" style="1" customWidth="1"/>
    <col min="6881" max="6881" width="6.28515625" style="1" customWidth="1"/>
    <col min="6882" max="6882" width="12.28515625" style="1" customWidth="1"/>
    <col min="6883" max="6883" width="8.5703125" style="1" customWidth="1"/>
    <col min="6884" max="6884" width="13.7109375" style="1" customWidth="1"/>
    <col min="6885" max="6885" width="11.5703125" style="1" customWidth="1"/>
    <col min="6886" max="6886" width="24.7109375" style="1" customWidth="1"/>
    <col min="6887" max="6887" width="17.42578125" style="1" customWidth="1"/>
    <col min="6888" max="6888" width="20.85546875" style="1" customWidth="1"/>
    <col min="6889" max="6889" width="26.85546875" style="1" customWidth="1"/>
    <col min="6890" max="6890" width="8" style="1" customWidth="1"/>
    <col min="6891" max="6891" width="25" style="1" customWidth="1"/>
    <col min="6892" max="6892" width="12.7109375" style="1" customWidth="1"/>
    <col min="6893" max="6893" width="16.42578125" style="1" customWidth="1"/>
    <col min="6894" max="6894" width="23.5703125" style="1" customWidth="1"/>
    <col min="6895" max="6895" width="33.7109375" style="1" customWidth="1"/>
    <col min="6896" max="6896" width="31.140625" style="1" customWidth="1"/>
    <col min="6897" max="6897" width="19.28515625" style="1" customWidth="1"/>
    <col min="6898" max="6898" width="11.7109375" style="1" customWidth="1"/>
    <col min="6899" max="6899" width="15.42578125" style="1" customWidth="1"/>
    <col min="6900" max="6900" width="5.5703125" style="1" customWidth="1"/>
    <col min="6901" max="6901" width="4.7109375" style="1" customWidth="1"/>
    <col min="6902" max="6903" width="7.28515625" style="1" customWidth="1"/>
    <col min="6904" max="6904" width="8.42578125" style="1" customWidth="1"/>
    <col min="6905" max="6905" width="9.5703125" style="1" customWidth="1"/>
    <col min="6906" max="6906" width="6.28515625" style="1" customWidth="1"/>
    <col min="6907" max="6907" width="5.85546875" style="1" customWidth="1"/>
    <col min="6908" max="6909" width="4.42578125" style="1" customWidth="1"/>
    <col min="6910" max="6910" width="5" style="1" customWidth="1"/>
    <col min="6911" max="6911" width="5.85546875" style="1" customWidth="1"/>
    <col min="6912" max="6912" width="6.140625" style="1" customWidth="1"/>
    <col min="6913" max="6913" width="6.28515625" style="1" customWidth="1"/>
    <col min="6914" max="6914" width="4.85546875" style="1" customWidth="1"/>
    <col min="6915" max="6915" width="8.140625" style="1" customWidth="1"/>
    <col min="6916" max="6916" width="11.5703125" style="1" customWidth="1"/>
    <col min="6917" max="6917" width="13.7109375" style="1" customWidth="1"/>
    <col min="6918" max="6918" width="20.85546875" style="1" customWidth="1"/>
    <col min="6919" max="7131" width="11.42578125" style="1"/>
    <col min="7132" max="7132" width="13.140625" style="1" customWidth="1"/>
    <col min="7133" max="7133" width="4" style="1" customWidth="1"/>
    <col min="7134" max="7134" width="12.85546875" style="1" customWidth="1"/>
    <col min="7135" max="7135" width="14.7109375" style="1" customWidth="1"/>
    <col min="7136" max="7136" width="10" style="1" customWidth="1"/>
    <col min="7137" max="7137" width="6.28515625" style="1" customWidth="1"/>
    <col min="7138" max="7138" width="12.28515625" style="1" customWidth="1"/>
    <col min="7139" max="7139" width="8.5703125" style="1" customWidth="1"/>
    <col min="7140" max="7140" width="13.7109375" style="1" customWidth="1"/>
    <col min="7141" max="7141" width="11.5703125" style="1" customWidth="1"/>
    <col min="7142" max="7142" width="24.7109375" style="1" customWidth="1"/>
    <col min="7143" max="7143" width="17.42578125" style="1" customWidth="1"/>
    <col min="7144" max="7144" width="20.85546875" style="1" customWidth="1"/>
    <col min="7145" max="7145" width="26.85546875" style="1" customWidth="1"/>
    <col min="7146" max="7146" width="8" style="1" customWidth="1"/>
    <col min="7147" max="7147" width="25" style="1" customWidth="1"/>
    <col min="7148" max="7148" width="12.7109375" style="1" customWidth="1"/>
    <col min="7149" max="7149" width="16.42578125" style="1" customWidth="1"/>
    <col min="7150" max="7150" width="23.5703125" style="1" customWidth="1"/>
    <col min="7151" max="7151" width="33.7109375" style="1" customWidth="1"/>
    <col min="7152" max="7152" width="31.140625" style="1" customWidth="1"/>
    <col min="7153" max="7153" width="19.28515625" style="1" customWidth="1"/>
    <col min="7154" max="7154" width="11.7109375" style="1" customWidth="1"/>
    <col min="7155" max="7155" width="15.42578125" style="1" customWidth="1"/>
    <col min="7156" max="7156" width="5.5703125" style="1" customWidth="1"/>
    <col min="7157" max="7157" width="4.7109375" style="1" customWidth="1"/>
    <col min="7158" max="7159" width="7.28515625" style="1" customWidth="1"/>
    <col min="7160" max="7160" width="8.42578125" style="1" customWidth="1"/>
    <col min="7161" max="7161" width="9.5703125" style="1" customWidth="1"/>
    <col min="7162" max="7162" width="6.28515625" style="1" customWidth="1"/>
    <col min="7163" max="7163" width="5.85546875" style="1" customWidth="1"/>
    <col min="7164" max="7165" width="4.42578125" style="1" customWidth="1"/>
    <col min="7166" max="7166" width="5" style="1" customWidth="1"/>
    <col min="7167" max="7167" width="5.85546875" style="1" customWidth="1"/>
    <col min="7168" max="7168" width="6.140625" style="1" customWidth="1"/>
    <col min="7169" max="7169" width="6.28515625" style="1" customWidth="1"/>
    <col min="7170" max="7170" width="4.85546875" style="1" customWidth="1"/>
    <col min="7171" max="7171" width="8.140625" style="1" customWidth="1"/>
    <col min="7172" max="7172" width="11.5703125" style="1" customWidth="1"/>
    <col min="7173" max="7173" width="13.7109375" style="1" customWidth="1"/>
    <col min="7174" max="7174" width="20.85546875" style="1" customWidth="1"/>
    <col min="7175" max="7387" width="11.42578125" style="1"/>
    <col min="7388" max="7388" width="13.140625" style="1" customWidth="1"/>
    <col min="7389" max="7389" width="4" style="1" customWidth="1"/>
    <col min="7390" max="7390" width="12.85546875" style="1" customWidth="1"/>
    <col min="7391" max="7391" width="14.7109375" style="1" customWidth="1"/>
    <col min="7392" max="7392" width="10" style="1" customWidth="1"/>
    <col min="7393" max="7393" width="6.28515625" style="1" customWidth="1"/>
    <col min="7394" max="7394" width="12.28515625" style="1" customWidth="1"/>
    <col min="7395" max="7395" width="8.5703125" style="1" customWidth="1"/>
    <col min="7396" max="7396" width="13.7109375" style="1" customWidth="1"/>
    <col min="7397" max="7397" width="11.5703125" style="1" customWidth="1"/>
    <col min="7398" max="7398" width="24.7109375" style="1" customWidth="1"/>
    <col min="7399" max="7399" width="17.42578125" style="1" customWidth="1"/>
    <col min="7400" max="7400" width="20.85546875" style="1" customWidth="1"/>
    <col min="7401" max="7401" width="26.85546875" style="1" customWidth="1"/>
    <col min="7402" max="7402" width="8" style="1" customWidth="1"/>
    <col min="7403" max="7403" width="25" style="1" customWidth="1"/>
    <col min="7404" max="7404" width="12.7109375" style="1" customWidth="1"/>
    <col min="7405" max="7405" width="16.42578125" style="1" customWidth="1"/>
    <col min="7406" max="7406" width="23.5703125" style="1" customWidth="1"/>
    <col min="7407" max="7407" width="33.7109375" style="1" customWidth="1"/>
    <col min="7408" max="7408" width="31.140625" style="1" customWidth="1"/>
    <col min="7409" max="7409" width="19.28515625" style="1" customWidth="1"/>
    <col min="7410" max="7410" width="11.7109375" style="1" customWidth="1"/>
    <col min="7411" max="7411" width="15.42578125" style="1" customWidth="1"/>
    <col min="7412" max="7412" width="5.5703125" style="1" customWidth="1"/>
    <col min="7413" max="7413" width="4.7109375" style="1" customWidth="1"/>
    <col min="7414" max="7415" width="7.28515625" style="1" customWidth="1"/>
    <col min="7416" max="7416" width="8.42578125" style="1" customWidth="1"/>
    <col min="7417" max="7417" width="9.5703125" style="1" customWidth="1"/>
    <col min="7418" max="7418" width="6.28515625" style="1" customWidth="1"/>
    <col min="7419" max="7419" width="5.85546875" style="1" customWidth="1"/>
    <col min="7420" max="7421" width="4.42578125" style="1" customWidth="1"/>
    <col min="7422" max="7422" width="5" style="1" customWidth="1"/>
    <col min="7423" max="7423" width="5.85546875" style="1" customWidth="1"/>
    <col min="7424" max="7424" width="6.140625" style="1" customWidth="1"/>
    <col min="7425" max="7425" width="6.28515625" style="1" customWidth="1"/>
    <col min="7426" max="7426" width="4.85546875" style="1" customWidth="1"/>
    <col min="7427" max="7427" width="8.140625" style="1" customWidth="1"/>
    <col min="7428" max="7428" width="11.5703125" style="1" customWidth="1"/>
    <col min="7429" max="7429" width="13.7109375" style="1" customWidth="1"/>
    <col min="7430" max="7430" width="20.85546875" style="1" customWidth="1"/>
    <col min="7431" max="7643" width="11.42578125" style="1"/>
    <col min="7644" max="7644" width="13.140625" style="1" customWidth="1"/>
    <col min="7645" max="7645" width="4" style="1" customWidth="1"/>
    <col min="7646" max="7646" width="12.85546875" style="1" customWidth="1"/>
    <col min="7647" max="7647" width="14.7109375" style="1" customWidth="1"/>
    <col min="7648" max="7648" width="10" style="1" customWidth="1"/>
    <col min="7649" max="7649" width="6.28515625" style="1" customWidth="1"/>
    <col min="7650" max="7650" width="12.28515625" style="1" customWidth="1"/>
    <col min="7651" max="7651" width="8.5703125" style="1" customWidth="1"/>
    <col min="7652" max="7652" width="13.7109375" style="1" customWidth="1"/>
    <col min="7653" max="7653" width="11.5703125" style="1" customWidth="1"/>
    <col min="7654" max="7654" width="24.7109375" style="1" customWidth="1"/>
    <col min="7655" max="7655" width="17.42578125" style="1" customWidth="1"/>
    <col min="7656" max="7656" width="20.85546875" style="1" customWidth="1"/>
    <col min="7657" max="7657" width="26.85546875" style="1" customWidth="1"/>
    <col min="7658" max="7658" width="8" style="1" customWidth="1"/>
    <col min="7659" max="7659" width="25" style="1" customWidth="1"/>
    <col min="7660" max="7660" width="12.7109375" style="1" customWidth="1"/>
    <col min="7661" max="7661" width="16.42578125" style="1" customWidth="1"/>
    <col min="7662" max="7662" width="23.5703125" style="1" customWidth="1"/>
    <col min="7663" max="7663" width="33.7109375" style="1" customWidth="1"/>
    <col min="7664" max="7664" width="31.140625" style="1" customWidth="1"/>
    <col min="7665" max="7665" width="19.28515625" style="1" customWidth="1"/>
    <col min="7666" max="7666" width="11.7109375" style="1" customWidth="1"/>
    <col min="7667" max="7667" width="15.42578125" style="1" customWidth="1"/>
    <col min="7668" max="7668" width="5.5703125" style="1" customWidth="1"/>
    <col min="7669" max="7669" width="4.7109375" style="1" customWidth="1"/>
    <col min="7670" max="7671" width="7.28515625" style="1" customWidth="1"/>
    <col min="7672" max="7672" width="8.42578125" style="1" customWidth="1"/>
    <col min="7673" max="7673" width="9.5703125" style="1" customWidth="1"/>
    <col min="7674" max="7674" width="6.28515625" style="1" customWidth="1"/>
    <col min="7675" max="7675" width="5.85546875" style="1" customWidth="1"/>
    <col min="7676" max="7677" width="4.42578125" style="1" customWidth="1"/>
    <col min="7678" max="7678" width="5" style="1" customWidth="1"/>
    <col min="7679" max="7679" width="5.85546875" style="1" customWidth="1"/>
    <col min="7680" max="7680" width="6.140625" style="1" customWidth="1"/>
    <col min="7681" max="7681" width="6.28515625" style="1" customWidth="1"/>
    <col min="7682" max="7682" width="4.85546875" style="1" customWidth="1"/>
    <col min="7683" max="7683" width="8.140625" style="1" customWidth="1"/>
    <col min="7684" max="7684" width="11.5703125" style="1" customWidth="1"/>
    <col min="7685" max="7685" width="13.7109375" style="1" customWidth="1"/>
    <col min="7686" max="7686" width="20.85546875" style="1" customWidth="1"/>
    <col min="7687" max="7899" width="11.42578125" style="1"/>
    <col min="7900" max="7900" width="13.140625" style="1" customWidth="1"/>
    <col min="7901" max="7901" width="4" style="1" customWidth="1"/>
    <col min="7902" max="7902" width="12.85546875" style="1" customWidth="1"/>
    <col min="7903" max="7903" width="14.7109375" style="1" customWidth="1"/>
    <col min="7904" max="7904" width="10" style="1" customWidth="1"/>
    <col min="7905" max="7905" width="6.28515625" style="1" customWidth="1"/>
    <col min="7906" max="7906" width="12.28515625" style="1" customWidth="1"/>
    <col min="7907" max="7907" width="8.5703125" style="1" customWidth="1"/>
    <col min="7908" max="7908" width="13.7109375" style="1" customWidth="1"/>
    <col min="7909" max="7909" width="11.5703125" style="1" customWidth="1"/>
    <col min="7910" max="7910" width="24.7109375" style="1" customWidth="1"/>
    <col min="7911" max="7911" width="17.42578125" style="1" customWidth="1"/>
    <col min="7912" max="7912" width="20.85546875" style="1" customWidth="1"/>
    <col min="7913" max="7913" width="26.85546875" style="1" customWidth="1"/>
    <col min="7914" max="7914" width="8" style="1" customWidth="1"/>
    <col min="7915" max="7915" width="25" style="1" customWidth="1"/>
    <col min="7916" max="7916" width="12.7109375" style="1" customWidth="1"/>
    <col min="7917" max="7917" width="16.42578125" style="1" customWidth="1"/>
    <col min="7918" max="7918" width="23.5703125" style="1" customWidth="1"/>
    <col min="7919" max="7919" width="33.7109375" style="1" customWidth="1"/>
    <col min="7920" max="7920" width="31.140625" style="1" customWidth="1"/>
    <col min="7921" max="7921" width="19.28515625" style="1" customWidth="1"/>
    <col min="7922" max="7922" width="11.7109375" style="1" customWidth="1"/>
    <col min="7923" max="7923" width="15.42578125" style="1" customWidth="1"/>
    <col min="7924" max="7924" width="5.5703125" style="1" customWidth="1"/>
    <col min="7925" max="7925" width="4.7109375" style="1" customWidth="1"/>
    <col min="7926" max="7927" width="7.28515625" style="1" customWidth="1"/>
    <col min="7928" max="7928" width="8.42578125" style="1" customWidth="1"/>
    <col min="7929" max="7929" width="9.5703125" style="1" customWidth="1"/>
    <col min="7930" max="7930" width="6.28515625" style="1" customWidth="1"/>
    <col min="7931" max="7931" width="5.85546875" style="1" customWidth="1"/>
    <col min="7932" max="7933" width="4.42578125" style="1" customWidth="1"/>
    <col min="7934" max="7934" width="5" style="1" customWidth="1"/>
    <col min="7935" max="7935" width="5.85546875" style="1" customWidth="1"/>
    <col min="7936" max="7936" width="6.140625" style="1" customWidth="1"/>
    <col min="7937" max="7937" width="6.28515625" style="1" customWidth="1"/>
    <col min="7938" max="7938" width="4.85546875" style="1" customWidth="1"/>
    <col min="7939" max="7939" width="8.140625" style="1" customWidth="1"/>
    <col min="7940" max="7940" width="11.5703125" style="1" customWidth="1"/>
    <col min="7941" max="7941" width="13.7109375" style="1" customWidth="1"/>
    <col min="7942" max="7942" width="20.85546875" style="1" customWidth="1"/>
    <col min="7943" max="8155" width="11.42578125" style="1"/>
    <col min="8156" max="8156" width="13.140625" style="1" customWidth="1"/>
    <col min="8157" max="8157" width="4" style="1" customWidth="1"/>
    <col min="8158" max="8158" width="12.85546875" style="1" customWidth="1"/>
    <col min="8159" max="8159" width="14.7109375" style="1" customWidth="1"/>
    <col min="8160" max="8160" width="10" style="1" customWidth="1"/>
    <col min="8161" max="8161" width="6.28515625" style="1" customWidth="1"/>
    <col min="8162" max="8162" width="12.28515625" style="1" customWidth="1"/>
    <col min="8163" max="8163" width="8.5703125" style="1" customWidth="1"/>
    <col min="8164" max="8164" width="13.7109375" style="1" customWidth="1"/>
    <col min="8165" max="8165" width="11.5703125" style="1" customWidth="1"/>
    <col min="8166" max="8166" width="24.7109375" style="1" customWidth="1"/>
    <col min="8167" max="8167" width="17.42578125" style="1" customWidth="1"/>
    <col min="8168" max="8168" width="20.85546875" style="1" customWidth="1"/>
    <col min="8169" max="8169" width="26.85546875" style="1" customWidth="1"/>
    <col min="8170" max="8170" width="8" style="1" customWidth="1"/>
    <col min="8171" max="8171" width="25" style="1" customWidth="1"/>
    <col min="8172" max="8172" width="12.7109375" style="1" customWidth="1"/>
    <col min="8173" max="8173" width="16.42578125" style="1" customWidth="1"/>
    <col min="8174" max="8174" width="23.5703125" style="1" customWidth="1"/>
    <col min="8175" max="8175" width="33.7109375" style="1" customWidth="1"/>
    <col min="8176" max="8176" width="31.140625" style="1" customWidth="1"/>
    <col min="8177" max="8177" width="19.28515625" style="1" customWidth="1"/>
    <col min="8178" max="8178" width="11.7109375" style="1" customWidth="1"/>
    <col min="8179" max="8179" width="15.42578125" style="1" customWidth="1"/>
    <col min="8180" max="8180" width="5.5703125" style="1" customWidth="1"/>
    <col min="8181" max="8181" width="4.7109375" style="1" customWidth="1"/>
    <col min="8182" max="8183" width="7.28515625" style="1" customWidth="1"/>
    <col min="8184" max="8184" width="8.42578125" style="1" customWidth="1"/>
    <col min="8185" max="8185" width="9.5703125" style="1" customWidth="1"/>
    <col min="8186" max="8186" width="6.28515625" style="1" customWidth="1"/>
    <col min="8187" max="8187" width="5.85546875" style="1" customWidth="1"/>
    <col min="8188" max="8189" width="4.42578125" style="1" customWidth="1"/>
    <col min="8190" max="8190" width="5" style="1" customWidth="1"/>
    <col min="8191" max="8191" width="5.85546875" style="1" customWidth="1"/>
    <col min="8192" max="8192" width="6.140625" style="1" customWidth="1"/>
    <col min="8193" max="8193" width="6.28515625" style="1" customWidth="1"/>
    <col min="8194" max="8194" width="4.85546875" style="1" customWidth="1"/>
    <col min="8195" max="8195" width="8.140625" style="1" customWidth="1"/>
    <col min="8196" max="8196" width="11.5703125" style="1" customWidth="1"/>
    <col min="8197" max="8197" width="13.7109375" style="1" customWidth="1"/>
    <col min="8198" max="8198" width="20.85546875" style="1" customWidth="1"/>
    <col min="8199" max="8411" width="11.42578125" style="1"/>
    <col min="8412" max="8412" width="13.140625" style="1" customWidth="1"/>
    <col min="8413" max="8413" width="4" style="1" customWidth="1"/>
    <col min="8414" max="8414" width="12.85546875" style="1" customWidth="1"/>
    <col min="8415" max="8415" width="14.7109375" style="1" customWidth="1"/>
    <col min="8416" max="8416" width="10" style="1" customWidth="1"/>
    <col min="8417" max="8417" width="6.28515625" style="1" customWidth="1"/>
    <col min="8418" max="8418" width="12.28515625" style="1" customWidth="1"/>
    <col min="8419" max="8419" width="8.5703125" style="1" customWidth="1"/>
    <col min="8420" max="8420" width="13.7109375" style="1" customWidth="1"/>
    <col min="8421" max="8421" width="11.5703125" style="1" customWidth="1"/>
    <col min="8422" max="8422" width="24.7109375" style="1" customWidth="1"/>
    <col min="8423" max="8423" width="17.42578125" style="1" customWidth="1"/>
    <col min="8424" max="8424" width="20.85546875" style="1" customWidth="1"/>
    <col min="8425" max="8425" width="26.85546875" style="1" customWidth="1"/>
    <col min="8426" max="8426" width="8" style="1" customWidth="1"/>
    <col min="8427" max="8427" width="25" style="1" customWidth="1"/>
    <col min="8428" max="8428" width="12.7109375" style="1" customWidth="1"/>
    <col min="8429" max="8429" width="16.42578125" style="1" customWidth="1"/>
    <col min="8430" max="8430" width="23.5703125" style="1" customWidth="1"/>
    <col min="8431" max="8431" width="33.7109375" style="1" customWidth="1"/>
    <col min="8432" max="8432" width="31.140625" style="1" customWidth="1"/>
    <col min="8433" max="8433" width="19.28515625" style="1" customWidth="1"/>
    <col min="8434" max="8434" width="11.7109375" style="1" customWidth="1"/>
    <col min="8435" max="8435" width="15.42578125" style="1" customWidth="1"/>
    <col min="8436" max="8436" width="5.5703125" style="1" customWidth="1"/>
    <col min="8437" max="8437" width="4.7109375" style="1" customWidth="1"/>
    <col min="8438" max="8439" width="7.28515625" style="1" customWidth="1"/>
    <col min="8440" max="8440" width="8.42578125" style="1" customWidth="1"/>
    <col min="8441" max="8441" width="9.5703125" style="1" customWidth="1"/>
    <col min="8442" max="8442" width="6.28515625" style="1" customWidth="1"/>
    <col min="8443" max="8443" width="5.85546875" style="1" customWidth="1"/>
    <col min="8444" max="8445" width="4.42578125" style="1" customWidth="1"/>
    <col min="8446" max="8446" width="5" style="1" customWidth="1"/>
    <col min="8447" max="8447" width="5.85546875" style="1" customWidth="1"/>
    <col min="8448" max="8448" width="6.140625" style="1" customWidth="1"/>
    <col min="8449" max="8449" width="6.28515625" style="1" customWidth="1"/>
    <col min="8450" max="8450" width="4.85546875" style="1" customWidth="1"/>
    <col min="8451" max="8451" width="8.140625" style="1" customWidth="1"/>
    <col min="8452" max="8452" width="11.5703125" style="1" customWidth="1"/>
    <col min="8453" max="8453" width="13.7109375" style="1" customWidth="1"/>
    <col min="8454" max="8454" width="20.85546875" style="1" customWidth="1"/>
    <col min="8455" max="8667" width="11.42578125" style="1"/>
    <col min="8668" max="8668" width="13.140625" style="1" customWidth="1"/>
    <col min="8669" max="8669" width="4" style="1" customWidth="1"/>
    <col min="8670" max="8670" width="12.85546875" style="1" customWidth="1"/>
    <col min="8671" max="8671" width="14.7109375" style="1" customWidth="1"/>
    <col min="8672" max="8672" width="10" style="1" customWidth="1"/>
    <col min="8673" max="8673" width="6.28515625" style="1" customWidth="1"/>
    <col min="8674" max="8674" width="12.28515625" style="1" customWidth="1"/>
    <col min="8675" max="8675" width="8.5703125" style="1" customWidth="1"/>
    <col min="8676" max="8676" width="13.7109375" style="1" customWidth="1"/>
    <col min="8677" max="8677" width="11.5703125" style="1" customWidth="1"/>
    <col min="8678" max="8678" width="24.7109375" style="1" customWidth="1"/>
    <col min="8679" max="8679" width="17.42578125" style="1" customWidth="1"/>
    <col min="8680" max="8680" width="20.85546875" style="1" customWidth="1"/>
    <col min="8681" max="8681" width="26.85546875" style="1" customWidth="1"/>
    <col min="8682" max="8682" width="8" style="1" customWidth="1"/>
    <col min="8683" max="8683" width="25" style="1" customWidth="1"/>
    <col min="8684" max="8684" width="12.7109375" style="1" customWidth="1"/>
    <col min="8685" max="8685" width="16.42578125" style="1" customWidth="1"/>
    <col min="8686" max="8686" width="23.5703125" style="1" customWidth="1"/>
    <col min="8687" max="8687" width="33.7109375" style="1" customWidth="1"/>
    <col min="8688" max="8688" width="31.140625" style="1" customWidth="1"/>
    <col min="8689" max="8689" width="19.28515625" style="1" customWidth="1"/>
    <col min="8690" max="8690" width="11.7109375" style="1" customWidth="1"/>
    <col min="8691" max="8691" width="15.42578125" style="1" customWidth="1"/>
    <col min="8692" max="8692" width="5.5703125" style="1" customWidth="1"/>
    <col min="8693" max="8693" width="4.7109375" style="1" customWidth="1"/>
    <col min="8694" max="8695" width="7.28515625" style="1" customWidth="1"/>
    <col min="8696" max="8696" width="8.42578125" style="1" customWidth="1"/>
    <col min="8697" max="8697" width="9.5703125" style="1" customWidth="1"/>
    <col min="8698" max="8698" width="6.28515625" style="1" customWidth="1"/>
    <col min="8699" max="8699" width="5.85546875" style="1" customWidth="1"/>
    <col min="8700" max="8701" width="4.42578125" style="1" customWidth="1"/>
    <col min="8702" max="8702" width="5" style="1" customWidth="1"/>
    <col min="8703" max="8703" width="5.85546875" style="1" customWidth="1"/>
    <col min="8704" max="8704" width="6.140625" style="1" customWidth="1"/>
    <col min="8705" max="8705" width="6.28515625" style="1" customWidth="1"/>
    <col min="8706" max="8706" width="4.85546875" style="1" customWidth="1"/>
    <col min="8707" max="8707" width="8.140625" style="1" customWidth="1"/>
    <col min="8708" max="8708" width="11.5703125" style="1" customWidth="1"/>
    <col min="8709" max="8709" width="13.7109375" style="1" customWidth="1"/>
    <col min="8710" max="8710" width="20.85546875" style="1" customWidth="1"/>
    <col min="8711" max="8923" width="11.42578125" style="1"/>
    <col min="8924" max="8924" width="13.140625" style="1" customWidth="1"/>
    <col min="8925" max="8925" width="4" style="1" customWidth="1"/>
    <col min="8926" max="8926" width="12.85546875" style="1" customWidth="1"/>
    <col min="8927" max="8927" width="14.7109375" style="1" customWidth="1"/>
    <col min="8928" max="8928" width="10" style="1" customWidth="1"/>
    <col min="8929" max="8929" width="6.28515625" style="1" customWidth="1"/>
    <col min="8930" max="8930" width="12.28515625" style="1" customWidth="1"/>
    <col min="8931" max="8931" width="8.5703125" style="1" customWidth="1"/>
    <col min="8932" max="8932" width="13.7109375" style="1" customWidth="1"/>
    <col min="8933" max="8933" width="11.5703125" style="1" customWidth="1"/>
    <col min="8934" max="8934" width="24.7109375" style="1" customWidth="1"/>
    <col min="8935" max="8935" width="17.42578125" style="1" customWidth="1"/>
    <col min="8936" max="8936" width="20.85546875" style="1" customWidth="1"/>
    <col min="8937" max="8937" width="26.85546875" style="1" customWidth="1"/>
    <col min="8938" max="8938" width="8" style="1" customWidth="1"/>
    <col min="8939" max="8939" width="25" style="1" customWidth="1"/>
    <col min="8940" max="8940" width="12.7109375" style="1" customWidth="1"/>
    <col min="8941" max="8941" width="16.42578125" style="1" customWidth="1"/>
    <col min="8942" max="8942" width="23.5703125" style="1" customWidth="1"/>
    <col min="8943" max="8943" width="33.7109375" style="1" customWidth="1"/>
    <col min="8944" max="8944" width="31.140625" style="1" customWidth="1"/>
    <col min="8945" max="8945" width="19.28515625" style="1" customWidth="1"/>
    <col min="8946" max="8946" width="11.7109375" style="1" customWidth="1"/>
    <col min="8947" max="8947" width="15.42578125" style="1" customWidth="1"/>
    <col min="8948" max="8948" width="5.5703125" style="1" customWidth="1"/>
    <col min="8949" max="8949" width="4.7109375" style="1" customWidth="1"/>
    <col min="8950" max="8951" width="7.28515625" style="1" customWidth="1"/>
    <col min="8952" max="8952" width="8.42578125" style="1" customWidth="1"/>
    <col min="8953" max="8953" width="9.5703125" style="1" customWidth="1"/>
    <col min="8954" max="8954" width="6.28515625" style="1" customWidth="1"/>
    <col min="8955" max="8955" width="5.85546875" style="1" customWidth="1"/>
    <col min="8956" max="8957" width="4.42578125" style="1" customWidth="1"/>
    <col min="8958" max="8958" width="5" style="1" customWidth="1"/>
    <col min="8959" max="8959" width="5.85546875" style="1" customWidth="1"/>
    <col min="8960" max="8960" width="6.140625" style="1" customWidth="1"/>
    <col min="8961" max="8961" width="6.28515625" style="1" customWidth="1"/>
    <col min="8962" max="8962" width="4.85546875" style="1" customWidth="1"/>
    <col min="8963" max="8963" width="8.140625" style="1" customWidth="1"/>
    <col min="8964" max="8964" width="11.5703125" style="1" customWidth="1"/>
    <col min="8965" max="8965" width="13.7109375" style="1" customWidth="1"/>
    <col min="8966" max="8966" width="20.85546875" style="1" customWidth="1"/>
    <col min="8967" max="9179" width="11.42578125" style="1"/>
    <col min="9180" max="9180" width="13.140625" style="1" customWidth="1"/>
    <col min="9181" max="9181" width="4" style="1" customWidth="1"/>
    <col min="9182" max="9182" width="12.85546875" style="1" customWidth="1"/>
    <col min="9183" max="9183" width="14.7109375" style="1" customWidth="1"/>
    <col min="9184" max="9184" width="10" style="1" customWidth="1"/>
    <col min="9185" max="9185" width="6.28515625" style="1" customWidth="1"/>
    <col min="9186" max="9186" width="12.28515625" style="1" customWidth="1"/>
    <col min="9187" max="9187" width="8.5703125" style="1" customWidth="1"/>
    <col min="9188" max="9188" width="13.7109375" style="1" customWidth="1"/>
    <col min="9189" max="9189" width="11.5703125" style="1" customWidth="1"/>
    <col min="9190" max="9190" width="24.7109375" style="1" customWidth="1"/>
    <col min="9191" max="9191" width="17.42578125" style="1" customWidth="1"/>
    <col min="9192" max="9192" width="20.85546875" style="1" customWidth="1"/>
    <col min="9193" max="9193" width="26.85546875" style="1" customWidth="1"/>
    <col min="9194" max="9194" width="8" style="1" customWidth="1"/>
    <col min="9195" max="9195" width="25" style="1" customWidth="1"/>
    <col min="9196" max="9196" width="12.7109375" style="1" customWidth="1"/>
    <col min="9197" max="9197" width="16.42578125" style="1" customWidth="1"/>
    <col min="9198" max="9198" width="23.5703125" style="1" customWidth="1"/>
    <col min="9199" max="9199" width="33.7109375" style="1" customWidth="1"/>
    <col min="9200" max="9200" width="31.140625" style="1" customWidth="1"/>
    <col min="9201" max="9201" width="19.28515625" style="1" customWidth="1"/>
    <col min="9202" max="9202" width="11.7109375" style="1" customWidth="1"/>
    <col min="9203" max="9203" width="15.42578125" style="1" customWidth="1"/>
    <col min="9204" max="9204" width="5.5703125" style="1" customWidth="1"/>
    <col min="9205" max="9205" width="4.7109375" style="1" customWidth="1"/>
    <col min="9206" max="9207" width="7.28515625" style="1" customWidth="1"/>
    <col min="9208" max="9208" width="8.42578125" style="1" customWidth="1"/>
    <col min="9209" max="9209" width="9.5703125" style="1" customWidth="1"/>
    <col min="9210" max="9210" width="6.28515625" style="1" customWidth="1"/>
    <col min="9211" max="9211" width="5.85546875" style="1" customWidth="1"/>
    <col min="9212" max="9213" width="4.42578125" style="1" customWidth="1"/>
    <col min="9214" max="9214" width="5" style="1" customWidth="1"/>
    <col min="9215" max="9215" width="5.85546875" style="1" customWidth="1"/>
    <col min="9216" max="9216" width="6.140625" style="1" customWidth="1"/>
    <col min="9217" max="9217" width="6.28515625" style="1" customWidth="1"/>
    <col min="9218" max="9218" width="4.85546875" style="1" customWidth="1"/>
    <col min="9219" max="9219" width="8.140625" style="1" customWidth="1"/>
    <col min="9220" max="9220" width="11.5703125" style="1" customWidth="1"/>
    <col min="9221" max="9221" width="13.7109375" style="1" customWidth="1"/>
    <col min="9222" max="9222" width="20.85546875" style="1" customWidth="1"/>
    <col min="9223" max="9435" width="11.42578125" style="1"/>
    <col min="9436" max="9436" width="13.140625" style="1" customWidth="1"/>
    <col min="9437" max="9437" width="4" style="1" customWidth="1"/>
    <col min="9438" max="9438" width="12.85546875" style="1" customWidth="1"/>
    <col min="9439" max="9439" width="14.7109375" style="1" customWidth="1"/>
    <col min="9440" max="9440" width="10" style="1" customWidth="1"/>
    <col min="9441" max="9441" width="6.28515625" style="1" customWidth="1"/>
    <col min="9442" max="9442" width="12.28515625" style="1" customWidth="1"/>
    <col min="9443" max="9443" width="8.5703125" style="1" customWidth="1"/>
    <col min="9444" max="9444" width="13.7109375" style="1" customWidth="1"/>
    <col min="9445" max="9445" width="11.5703125" style="1" customWidth="1"/>
    <col min="9446" max="9446" width="24.7109375" style="1" customWidth="1"/>
    <col min="9447" max="9447" width="17.42578125" style="1" customWidth="1"/>
    <col min="9448" max="9448" width="20.85546875" style="1" customWidth="1"/>
    <col min="9449" max="9449" width="26.85546875" style="1" customWidth="1"/>
    <col min="9450" max="9450" width="8" style="1" customWidth="1"/>
    <col min="9451" max="9451" width="25" style="1" customWidth="1"/>
    <col min="9452" max="9452" width="12.7109375" style="1" customWidth="1"/>
    <col min="9453" max="9453" width="16.42578125" style="1" customWidth="1"/>
    <col min="9454" max="9454" width="23.5703125" style="1" customWidth="1"/>
    <col min="9455" max="9455" width="33.7109375" style="1" customWidth="1"/>
    <col min="9456" max="9456" width="31.140625" style="1" customWidth="1"/>
    <col min="9457" max="9457" width="19.28515625" style="1" customWidth="1"/>
    <col min="9458" max="9458" width="11.7109375" style="1" customWidth="1"/>
    <col min="9459" max="9459" width="15.42578125" style="1" customWidth="1"/>
    <col min="9460" max="9460" width="5.5703125" style="1" customWidth="1"/>
    <col min="9461" max="9461" width="4.7109375" style="1" customWidth="1"/>
    <col min="9462" max="9463" width="7.28515625" style="1" customWidth="1"/>
    <col min="9464" max="9464" width="8.42578125" style="1" customWidth="1"/>
    <col min="9465" max="9465" width="9.5703125" style="1" customWidth="1"/>
    <col min="9466" max="9466" width="6.28515625" style="1" customWidth="1"/>
    <col min="9467" max="9467" width="5.85546875" style="1" customWidth="1"/>
    <col min="9468" max="9469" width="4.42578125" style="1" customWidth="1"/>
    <col min="9470" max="9470" width="5" style="1" customWidth="1"/>
    <col min="9471" max="9471" width="5.85546875" style="1" customWidth="1"/>
    <col min="9472" max="9472" width="6.140625" style="1" customWidth="1"/>
    <col min="9473" max="9473" width="6.28515625" style="1" customWidth="1"/>
    <col min="9474" max="9474" width="4.85546875" style="1" customWidth="1"/>
    <col min="9475" max="9475" width="8.140625" style="1" customWidth="1"/>
    <col min="9476" max="9476" width="11.5703125" style="1" customWidth="1"/>
    <col min="9477" max="9477" width="13.7109375" style="1" customWidth="1"/>
    <col min="9478" max="9478" width="20.85546875" style="1" customWidth="1"/>
    <col min="9479" max="9691" width="11.42578125" style="1"/>
    <col min="9692" max="9692" width="13.140625" style="1" customWidth="1"/>
    <col min="9693" max="9693" width="4" style="1" customWidth="1"/>
    <col min="9694" max="9694" width="12.85546875" style="1" customWidth="1"/>
    <col min="9695" max="9695" width="14.7109375" style="1" customWidth="1"/>
    <col min="9696" max="9696" width="10" style="1" customWidth="1"/>
    <col min="9697" max="9697" width="6.28515625" style="1" customWidth="1"/>
    <col min="9698" max="9698" width="12.28515625" style="1" customWidth="1"/>
    <col min="9699" max="9699" width="8.5703125" style="1" customWidth="1"/>
    <col min="9700" max="9700" width="13.7109375" style="1" customWidth="1"/>
    <col min="9701" max="9701" width="11.5703125" style="1" customWidth="1"/>
    <col min="9702" max="9702" width="24.7109375" style="1" customWidth="1"/>
    <col min="9703" max="9703" width="17.42578125" style="1" customWidth="1"/>
    <col min="9704" max="9704" width="20.85546875" style="1" customWidth="1"/>
    <col min="9705" max="9705" width="26.85546875" style="1" customWidth="1"/>
    <col min="9706" max="9706" width="8" style="1" customWidth="1"/>
    <col min="9707" max="9707" width="25" style="1" customWidth="1"/>
    <col min="9708" max="9708" width="12.7109375" style="1" customWidth="1"/>
    <col min="9709" max="9709" width="16.42578125" style="1" customWidth="1"/>
    <col min="9710" max="9710" width="23.5703125" style="1" customWidth="1"/>
    <col min="9711" max="9711" width="33.7109375" style="1" customWidth="1"/>
    <col min="9712" max="9712" width="31.140625" style="1" customWidth="1"/>
    <col min="9713" max="9713" width="19.28515625" style="1" customWidth="1"/>
    <col min="9714" max="9714" width="11.7109375" style="1" customWidth="1"/>
    <col min="9715" max="9715" width="15.42578125" style="1" customWidth="1"/>
    <col min="9716" max="9716" width="5.5703125" style="1" customWidth="1"/>
    <col min="9717" max="9717" width="4.7109375" style="1" customWidth="1"/>
    <col min="9718" max="9719" width="7.28515625" style="1" customWidth="1"/>
    <col min="9720" max="9720" width="8.42578125" style="1" customWidth="1"/>
    <col min="9721" max="9721" width="9.5703125" style="1" customWidth="1"/>
    <col min="9722" max="9722" width="6.28515625" style="1" customWidth="1"/>
    <col min="9723" max="9723" width="5.85546875" style="1" customWidth="1"/>
    <col min="9724" max="9725" width="4.42578125" style="1" customWidth="1"/>
    <col min="9726" max="9726" width="5" style="1" customWidth="1"/>
    <col min="9727" max="9727" width="5.85546875" style="1" customWidth="1"/>
    <col min="9728" max="9728" width="6.140625" style="1" customWidth="1"/>
    <col min="9729" max="9729" width="6.28515625" style="1" customWidth="1"/>
    <col min="9730" max="9730" width="4.85546875" style="1" customWidth="1"/>
    <col min="9731" max="9731" width="8.140625" style="1" customWidth="1"/>
    <col min="9732" max="9732" width="11.5703125" style="1" customWidth="1"/>
    <col min="9733" max="9733" width="13.7109375" style="1" customWidth="1"/>
    <col min="9734" max="9734" width="20.85546875" style="1" customWidth="1"/>
    <col min="9735" max="9947" width="11.42578125" style="1"/>
    <col min="9948" max="9948" width="13.140625" style="1" customWidth="1"/>
    <col min="9949" max="9949" width="4" style="1" customWidth="1"/>
    <col min="9950" max="9950" width="12.85546875" style="1" customWidth="1"/>
    <col min="9951" max="9951" width="14.7109375" style="1" customWidth="1"/>
    <col min="9952" max="9952" width="10" style="1" customWidth="1"/>
    <col min="9953" max="9953" width="6.28515625" style="1" customWidth="1"/>
    <col min="9954" max="9954" width="12.28515625" style="1" customWidth="1"/>
    <col min="9955" max="9955" width="8.5703125" style="1" customWidth="1"/>
    <col min="9956" max="9956" width="13.7109375" style="1" customWidth="1"/>
    <col min="9957" max="9957" width="11.5703125" style="1" customWidth="1"/>
    <col min="9958" max="9958" width="24.7109375" style="1" customWidth="1"/>
    <col min="9959" max="9959" width="17.42578125" style="1" customWidth="1"/>
    <col min="9960" max="9960" width="20.85546875" style="1" customWidth="1"/>
    <col min="9961" max="9961" width="26.85546875" style="1" customWidth="1"/>
    <col min="9962" max="9962" width="8" style="1" customWidth="1"/>
    <col min="9963" max="9963" width="25" style="1" customWidth="1"/>
    <col min="9964" max="9964" width="12.7109375" style="1" customWidth="1"/>
    <col min="9965" max="9965" width="16.42578125" style="1" customWidth="1"/>
    <col min="9966" max="9966" width="23.5703125" style="1" customWidth="1"/>
    <col min="9967" max="9967" width="33.7109375" style="1" customWidth="1"/>
    <col min="9968" max="9968" width="31.140625" style="1" customWidth="1"/>
    <col min="9969" max="9969" width="19.28515625" style="1" customWidth="1"/>
    <col min="9970" max="9970" width="11.7109375" style="1" customWidth="1"/>
    <col min="9971" max="9971" width="15.42578125" style="1" customWidth="1"/>
    <col min="9972" max="9972" width="5.5703125" style="1" customWidth="1"/>
    <col min="9973" max="9973" width="4.7109375" style="1" customWidth="1"/>
    <col min="9974" max="9975" width="7.28515625" style="1" customWidth="1"/>
    <col min="9976" max="9976" width="8.42578125" style="1" customWidth="1"/>
    <col min="9977" max="9977" width="9.5703125" style="1" customWidth="1"/>
    <col min="9978" max="9978" width="6.28515625" style="1" customWidth="1"/>
    <col min="9979" max="9979" width="5.85546875" style="1" customWidth="1"/>
    <col min="9980" max="9981" width="4.42578125" style="1" customWidth="1"/>
    <col min="9982" max="9982" width="5" style="1" customWidth="1"/>
    <col min="9983" max="9983" width="5.85546875" style="1" customWidth="1"/>
    <col min="9984" max="9984" width="6.140625" style="1" customWidth="1"/>
    <col min="9985" max="9985" width="6.28515625" style="1" customWidth="1"/>
    <col min="9986" max="9986" width="4.85546875" style="1" customWidth="1"/>
    <col min="9987" max="9987" width="8.140625" style="1" customWidth="1"/>
    <col min="9988" max="9988" width="11.5703125" style="1" customWidth="1"/>
    <col min="9989" max="9989" width="13.7109375" style="1" customWidth="1"/>
    <col min="9990" max="9990" width="20.85546875" style="1" customWidth="1"/>
    <col min="9991" max="10203" width="11.42578125" style="1"/>
    <col min="10204" max="10204" width="13.140625" style="1" customWidth="1"/>
    <col min="10205" max="10205" width="4" style="1" customWidth="1"/>
    <col min="10206" max="10206" width="12.85546875" style="1" customWidth="1"/>
    <col min="10207" max="10207" width="14.7109375" style="1" customWidth="1"/>
    <col min="10208" max="10208" width="10" style="1" customWidth="1"/>
    <col min="10209" max="10209" width="6.28515625" style="1" customWidth="1"/>
    <col min="10210" max="10210" width="12.28515625" style="1" customWidth="1"/>
    <col min="10211" max="10211" width="8.5703125" style="1" customWidth="1"/>
    <col min="10212" max="10212" width="13.7109375" style="1" customWidth="1"/>
    <col min="10213" max="10213" width="11.5703125" style="1" customWidth="1"/>
    <col min="10214" max="10214" width="24.7109375" style="1" customWidth="1"/>
    <col min="10215" max="10215" width="17.42578125" style="1" customWidth="1"/>
    <col min="10216" max="10216" width="20.85546875" style="1" customWidth="1"/>
    <col min="10217" max="10217" width="26.85546875" style="1" customWidth="1"/>
    <col min="10218" max="10218" width="8" style="1" customWidth="1"/>
    <col min="10219" max="10219" width="25" style="1" customWidth="1"/>
    <col min="10220" max="10220" width="12.7109375" style="1" customWidth="1"/>
    <col min="10221" max="10221" width="16.42578125" style="1" customWidth="1"/>
    <col min="10222" max="10222" width="23.5703125" style="1" customWidth="1"/>
    <col min="10223" max="10223" width="33.7109375" style="1" customWidth="1"/>
    <col min="10224" max="10224" width="31.140625" style="1" customWidth="1"/>
    <col min="10225" max="10225" width="19.28515625" style="1" customWidth="1"/>
    <col min="10226" max="10226" width="11.7109375" style="1" customWidth="1"/>
    <col min="10227" max="10227" width="15.42578125" style="1" customWidth="1"/>
    <col min="10228" max="10228" width="5.5703125" style="1" customWidth="1"/>
    <col min="10229" max="10229" width="4.7109375" style="1" customWidth="1"/>
    <col min="10230" max="10231" width="7.28515625" style="1" customWidth="1"/>
    <col min="10232" max="10232" width="8.42578125" style="1" customWidth="1"/>
    <col min="10233" max="10233" width="9.5703125" style="1" customWidth="1"/>
    <col min="10234" max="10234" width="6.28515625" style="1" customWidth="1"/>
    <col min="10235" max="10235" width="5.85546875" style="1" customWidth="1"/>
    <col min="10236" max="10237" width="4.42578125" style="1" customWidth="1"/>
    <col min="10238" max="10238" width="5" style="1" customWidth="1"/>
    <col min="10239" max="10239" width="5.85546875" style="1" customWidth="1"/>
    <col min="10240" max="10240" width="6.140625" style="1" customWidth="1"/>
    <col min="10241" max="10241" width="6.28515625" style="1" customWidth="1"/>
    <col min="10242" max="10242" width="4.85546875" style="1" customWidth="1"/>
    <col min="10243" max="10243" width="8.140625" style="1" customWidth="1"/>
    <col min="10244" max="10244" width="11.5703125" style="1" customWidth="1"/>
    <col min="10245" max="10245" width="13.7109375" style="1" customWidth="1"/>
    <col min="10246" max="10246" width="20.85546875" style="1" customWidth="1"/>
    <col min="10247" max="10459" width="11.42578125" style="1"/>
    <col min="10460" max="10460" width="13.140625" style="1" customWidth="1"/>
    <col min="10461" max="10461" width="4" style="1" customWidth="1"/>
    <col min="10462" max="10462" width="12.85546875" style="1" customWidth="1"/>
    <col min="10463" max="10463" width="14.7109375" style="1" customWidth="1"/>
    <col min="10464" max="10464" width="10" style="1" customWidth="1"/>
    <col min="10465" max="10465" width="6.28515625" style="1" customWidth="1"/>
    <col min="10466" max="10466" width="12.28515625" style="1" customWidth="1"/>
    <col min="10467" max="10467" width="8.5703125" style="1" customWidth="1"/>
    <col min="10468" max="10468" width="13.7109375" style="1" customWidth="1"/>
    <col min="10469" max="10469" width="11.5703125" style="1" customWidth="1"/>
    <col min="10470" max="10470" width="24.7109375" style="1" customWidth="1"/>
    <col min="10471" max="10471" width="17.42578125" style="1" customWidth="1"/>
    <col min="10472" max="10472" width="20.85546875" style="1" customWidth="1"/>
    <col min="10473" max="10473" width="26.85546875" style="1" customWidth="1"/>
    <col min="10474" max="10474" width="8" style="1" customWidth="1"/>
    <col min="10475" max="10475" width="25" style="1" customWidth="1"/>
    <col min="10476" max="10476" width="12.7109375" style="1" customWidth="1"/>
    <col min="10477" max="10477" width="16.42578125" style="1" customWidth="1"/>
    <col min="10478" max="10478" width="23.5703125" style="1" customWidth="1"/>
    <col min="10479" max="10479" width="33.7109375" style="1" customWidth="1"/>
    <col min="10480" max="10480" width="31.140625" style="1" customWidth="1"/>
    <col min="10481" max="10481" width="19.28515625" style="1" customWidth="1"/>
    <col min="10482" max="10482" width="11.7109375" style="1" customWidth="1"/>
    <col min="10483" max="10483" width="15.42578125" style="1" customWidth="1"/>
    <col min="10484" max="10484" width="5.5703125" style="1" customWidth="1"/>
    <col min="10485" max="10485" width="4.7109375" style="1" customWidth="1"/>
    <col min="10486" max="10487" width="7.28515625" style="1" customWidth="1"/>
    <col min="10488" max="10488" width="8.42578125" style="1" customWidth="1"/>
    <col min="10489" max="10489" width="9.5703125" style="1" customWidth="1"/>
    <col min="10490" max="10490" width="6.28515625" style="1" customWidth="1"/>
    <col min="10491" max="10491" width="5.85546875" style="1" customWidth="1"/>
    <col min="10492" max="10493" width="4.42578125" style="1" customWidth="1"/>
    <col min="10494" max="10494" width="5" style="1" customWidth="1"/>
    <col min="10495" max="10495" width="5.85546875" style="1" customWidth="1"/>
    <col min="10496" max="10496" width="6.140625" style="1" customWidth="1"/>
    <col min="10497" max="10497" width="6.28515625" style="1" customWidth="1"/>
    <col min="10498" max="10498" width="4.85546875" style="1" customWidth="1"/>
    <col min="10499" max="10499" width="8.140625" style="1" customWidth="1"/>
    <col min="10500" max="10500" width="11.5703125" style="1" customWidth="1"/>
    <col min="10501" max="10501" width="13.7109375" style="1" customWidth="1"/>
    <col min="10502" max="10502" width="20.85546875" style="1" customWidth="1"/>
    <col min="10503" max="10715" width="11.42578125" style="1"/>
    <col min="10716" max="10716" width="13.140625" style="1" customWidth="1"/>
    <col min="10717" max="10717" width="4" style="1" customWidth="1"/>
    <col min="10718" max="10718" width="12.85546875" style="1" customWidth="1"/>
    <col min="10719" max="10719" width="14.7109375" style="1" customWidth="1"/>
    <col min="10720" max="10720" width="10" style="1" customWidth="1"/>
    <col min="10721" max="10721" width="6.28515625" style="1" customWidth="1"/>
    <col min="10722" max="10722" width="12.28515625" style="1" customWidth="1"/>
    <col min="10723" max="10723" width="8.5703125" style="1" customWidth="1"/>
    <col min="10724" max="10724" width="13.7109375" style="1" customWidth="1"/>
    <col min="10725" max="10725" width="11.5703125" style="1" customWidth="1"/>
    <col min="10726" max="10726" width="24.7109375" style="1" customWidth="1"/>
    <col min="10727" max="10727" width="17.42578125" style="1" customWidth="1"/>
    <col min="10728" max="10728" width="20.85546875" style="1" customWidth="1"/>
    <col min="10729" max="10729" width="26.85546875" style="1" customWidth="1"/>
    <col min="10730" max="10730" width="8" style="1" customWidth="1"/>
    <col min="10731" max="10731" width="25" style="1" customWidth="1"/>
    <col min="10732" max="10732" width="12.7109375" style="1" customWidth="1"/>
    <col min="10733" max="10733" width="16.42578125" style="1" customWidth="1"/>
    <col min="10734" max="10734" width="23.5703125" style="1" customWidth="1"/>
    <col min="10735" max="10735" width="33.7109375" style="1" customWidth="1"/>
    <col min="10736" max="10736" width="31.140625" style="1" customWidth="1"/>
    <col min="10737" max="10737" width="19.28515625" style="1" customWidth="1"/>
    <col min="10738" max="10738" width="11.7109375" style="1" customWidth="1"/>
    <col min="10739" max="10739" width="15.42578125" style="1" customWidth="1"/>
    <col min="10740" max="10740" width="5.5703125" style="1" customWidth="1"/>
    <col min="10741" max="10741" width="4.7109375" style="1" customWidth="1"/>
    <col min="10742" max="10743" width="7.28515625" style="1" customWidth="1"/>
    <col min="10744" max="10744" width="8.42578125" style="1" customWidth="1"/>
    <col min="10745" max="10745" width="9.5703125" style="1" customWidth="1"/>
    <col min="10746" max="10746" width="6.28515625" style="1" customWidth="1"/>
    <col min="10747" max="10747" width="5.85546875" style="1" customWidth="1"/>
    <col min="10748" max="10749" width="4.42578125" style="1" customWidth="1"/>
    <col min="10750" max="10750" width="5" style="1" customWidth="1"/>
    <col min="10751" max="10751" width="5.85546875" style="1" customWidth="1"/>
    <col min="10752" max="10752" width="6.140625" style="1" customWidth="1"/>
    <col min="10753" max="10753" width="6.28515625" style="1" customWidth="1"/>
    <col min="10754" max="10754" width="4.85546875" style="1" customWidth="1"/>
    <col min="10755" max="10755" width="8.140625" style="1" customWidth="1"/>
    <col min="10756" max="10756" width="11.5703125" style="1" customWidth="1"/>
    <col min="10757" max="10757" width="13.7109375" style="1" customWidth="1"/>
    <col min="10758" max="10758" width="20.85546875" style="1" customWidth="1"/>
    <col min="10759" max="10971" width="11.42578125" style="1"/>
    <col min="10972" max="10972" width="13.140625" style="1" customWidth="1"/>
    <col min="10973" max="10973" width="4" style="1" customWidth="1"/>
    <col min="10974" max="10974" width="12.85546875" style="1" customWidth="1"/>
    <col min="10975" max="10975" width="14.7109375" style="1" customWidth="1"/>
    <col min="10976" max="10976" width="10" style="1" customWidth="1"/>
    <col min="10977" max="10977" width="6.28515625" style="1" customWidth="1"/>
    <col min="10978" max="10978" width="12.28515625" style="1" customWidth="1"/>
    <col min="10979" max="10979" width="8.5703125" style="1" customWidth="1"/>
    <col min="10980" max="10980" width="13.7109375" style="1" customWidth="1"/>
    <col min="10981" max="10981" width="11.5703125" style="1" customWidth="1"/>
    <col min="10982" max="10982" width="24.7109375" style="1" customWidth="1"/>
    <col min="10983" max="10983" width="17.42578125" style="1" customWidth="1"/>
    <col min="10984" max="10984" width="20.85546875" style="1" customWidth="1"/>
    <col min="10985" max="10985" width="26.85546875" style="1" customWidth="1"/>
    <col min="10986" max="10986" width="8" style="1" customWidth="1"/>
    <col min="10987" max="10987" width="25" style="1" customWidth="1"/>
    <col min="10988" max="10988" width="12.7109375" style="1" customWidth="1"/>
    <col min="10989" max="10989" width="16.42578125" style="1" customWidth="1"/>
    <col min="10990" max="10990" width="23.5703125" style="1" customWidth="1"/>
    <col min="10991" max="10991" width="33.7109375" style="1" customWidth="1"/>
    <col min="10992" max="10992" width="31.140625" style="1" customWidth="1"/>
    <col min="10993" max="10993" width="19.28515625" style="1" customWidth="1"/>
    <col min="10994" max="10994" width="11.7109375" style="1" customWidth="1"/>
    <col min="10995" max="10995" width="15.42578125" style="1" customWidth="1"/>
    <col min="10996" max="10996" width="5.5703125" style="1" customWidth="1"/>
    <col min="10997" max="10997" width="4.7109375" style="1" customWidth="1"/>
    <col min="10998" max="10999" width="7.28515625" style="1" customWidth="1"/>
    <col min="11000" max="11000" width="8.42578125" style="1" customWidth="1"/>
    <col min="11001" max="11001" width="9.5703125" style="1" customWidth="1"/>
    <col min="11002" max="11002" width="6.28515625" style="1" customWidth="1"/>
    <col min="11003" max="11003" width="5.85546875" style="1" customWidth="1"/>
    <col min="11004" max="11005" width="4.42578125" style="1" customWidth="1"/>
    <col min="11006" max="11006" width="5" style="1" customWidth="1"/>
    <col min="11007" max="11007" width="5.85546875" style="1" customWidth="1"/>
    <col min="11008" max="11008" width="6.140625" style="1" customWidth="1"/>
    <col min="11009" max="11009" width="6.28515625" style="1" customWidth="1"/>
    <col min="11010" max="11010" width="4.85546875" style="1" customWidth="1"/>
    <col min="11011" max="11011" width="8.140625" style="1" customWidth="1"/>
    <col min="11012" max="11012" width="11.5703125" style="1" customWidth="1"/>
    <col min="11013" max="11013" width="13.7109375" style="1" customWidth="1"/>
    <col min="11014" max="11014" width="20.85546875" style="1" customWidth="1"/>
    <col min="11015" max="11227" width="11.42578125" style="1"/>
    <col min="11228" max="11228" width="13.140625" style="1" customWidth="1"/>
    <col min="11229" max="11229" width="4" style="1" customWidth="1"/>
    <col min="11230" max="11230" width="12.85546875" style="1" customWidth="1"/>
    <col min="11231" max="11231" width="14.7109375" style="1" customWidth="1"/>
    <col min="11232" max="11232" width="10" style="1" customWidth="1"/>
    <col min="11233" max="11233" width="6.28515625" style="1" customWidth="1"/>
    <col min="11234" max="11234" width="12.28515625" style="1" customWidth="1"/>
    <col min="11235" max="11235" width="8.5703125" style="1" customWidth="1"/>
    <col min="11236" max="11236" width="13.7109375" style="1" customWidth="1"/>
    <col min="11237" max="11237" width="11.5703125" style="1" customWidth="1"/>
    <col min="11238" max="11238" width="24.7109375" style="1" customWidth="1"/>
    <col min="11239" max="11239" width="17.42578125" style="1" customWidth="1"/>
    <col min="11240" max="11240" width="20.85546875" style="1" customWidth="1"/>
    <col min="11241" max="11241" width="26.85546875" style="1" customWidth="1"/>
    <col min="11242" max="11242" width="8" style="1" customWidth="1"/>
    <col min="11243" max="11243" width="25" style="1" customWidth="1"/>
    <col min="11244" max="11244" width="12.7109375" style="1" customWidth="1"/>
    <col min="11245" max="11245" width="16.42578125" style="1" customWidth="1"/>
    <col min="11246" max="11246" width="23.5703125" style="1" customWidth="1"/>
    <col min="11247" max="11247" width="33.7109375" style="1" customWidth="1"/>
    <col min="11248" max="11248" width="31.140625" style="1" customWidth="1"/>
    <col min="11249" max="11249" width="19.28515625" style="1" customWidth="1"/>
    <col min="11250" max="11250" width="11.7109375" style="1" customWidth="1"/>
    <col min="11251" max="11251" width="15.42578125" style="1" customWidth="1"/>
    <col min="11252" max="11252" width="5.5703125" style="1" customWidth="1"/>
    <col min="11253" max="11253" width="4.7109375" style="1" customWidth="1"/>
    <col min="11254" max="11255" width="7.28515625" style="1" customWidth="1"/>
    <col min="11256" max="11256" width="8.42578125" style="1" customWidth="1"/>
    <col min="11257" max="11257" width="9.5703125" style="1" customWidth="1"/>
    <col min="11258" max="11258" width="6.28515625" style="1" customWidth="1"/>
    <col min="11259" max="11259" width="5.85546875" style="1" customWidth="1"/>
    <col min="11260" max="11261" width="4.42578125" style="1" customWidth="1"/>
    <col min="11262" max="11262" width="5" style="1" customWidth="1"/>
    <col min="11263" max="11263" width="5.85546875" style="1" customWidth="1"/>
    <col min="11264" max="11264" width="6.140625" style="1" customWidth="1"/>
    <col min="11265" max="11265" width="6.28515625" style="1" customWidth="1"/>
    <col min="11266" max="11266" width="4.85546875" style="1" customWidth="1"/>
    <col min="11267" max="11267" width="8.140625" style="1" customWidth="1"/>
    <col min="11268" max="11268" width="11.5703125" style="1" customWidth="1"/>
    <col min="11269" max="11269" width="13.7109375" style="1" customWidth="1"/>
    <col min="11270" max="11270" width="20.85546875" style="1" customWidth="1"/>
    <col min="11271" max="11483" width="11.42578125" style="1"/>
    <col min="11484" max="11484" width="13.140625" style="1" customWidth="1"/>
    <col min="11485" max="11485" width="4" style="1" customWidth="1"/>
    <col min="11486" max="11486" width="12.85546875" style="1" customWidth="1"/>
    <col min="11487" max="11487" width="14.7109375" style="1" customWidth="1"/>
    <col min="11488" max="11488" width="10" style="1" customWidth="1"/>
    <col min="11489" max="11489" width="6.28515625" style="1" customWidth="1"/>
    <col min="11490" max="11490" width="12.28515625" style="1" customWidth="1"/>
    <col min="11491" max="11491" width="8.5703125" style="1" customWidth="1"/>
    <col min="11492" max="11492" width="13.7109375" style="1" customWidth="1"/>
    <col min="11493" max="11493" width="11.5703125" style="1" customWidth="1"/>
    <col min="11494" max="11494" width="24.7109375" style="1" customWidth="1"/>
    <col min="11495" max="11495" width="17.42578125" style="1" customWidth="1"/>
    <col min="11496" max="11496" width="20.85546875" style="1" customWidth="1"/>
    <col min="11497" max="11497" width="26.85546875" style="1" customWidth="1"/>
    <col min="11498" max="11498" width="8" style="1" customWidth="1"/>
    <col min="11499" max="11499" width="25" style="1" customWidth="1"/>
    <col min="11500" max="11500" width="12.7109375" style="1" customWidth="1"/>
    <col min="11501" max="11501" width="16.42578125" style="1" customWidth="1"/>
    <col min="11502" max="11502" width="23.5703125" style="1" customWidth="1"/>
    <col min="11503" max="11503" width="33.7109375" style="1" customWidth="1"/>
    <col min="11504" max="11504" width="31.140625" style="1" customWidth="1"/>
    <col min="11505" max="11505" width="19.28515625" style="1" customWidth="1"/>
    <col min="11506" max="11506" width="11.7109375" style="1" customWidth="1"/>
    <col min="11507" max="11507" width="15.42578125" style="1" customWidth="1"/>
    <col min="11508" max="11508" width="5.5703125" style="1" customWidth="1"/>
    <col min="11509" max="11509" width="4.7109375" style="1" customWidth="1"/>
    <col min="11510" max="11511" width="7.28515625" style="1" customWidth="1"/>
    <col min="11512" max="11512" width="8.42578125" style="1" customWidth="1"/>
    <col min="11513" max="11513" width="9.5703125" style="1" customWidth="1"/>
    <col min="11514" max="11514" width="6.28515625" style="1" customWidth="1"/>
    <col min="11515" max="11515" width="5.85546875" style="1" customWidth="1"/>
    <col min="11516" max="11517" width="4.42578125" style="1" customWidth="1"/>
    <col min="11518" max="11518" width="5" style="1" customWidth="1"/>
    <col min="11519" max="11519" width="5.85546875" style="1" customWidth="1"/>
    <col min="11520" max="11520" width="6.140625" style="1" customWidth="1"/>
    <col min="11521" max="11521" width="6.28515625" style="1" customWidth="1"/>
    <col min="11522" max="11522" width="4.85546875" style="1" customWidth="1"/>
    <col min="11523" max="11523" width="8.140625" style="1" customWidth="1"/>
    <col min="11524" max="11524" width="11.5703125" style="1" customWidth="1"/>
    <col min="11525" max="11525" width="13.7109375" style="1" customWidth="1"/>
    <col min="11526" max="11526" width="20.85546875" style="1" customWidth="1"/>
    <col min="11527" max="11739" width="11.42578125" style="1"/>
    <col min="11740" max="11740" width="13.140625" style="1" customWidth="1"/>
    <col min="11741" max="11741" width="4" style="1" customWidth="1"/>
    <col min="11742" max="11742" width="12.85546875" style="1" customWidth="1"/>
    <col min="11743" max="11743" width="14.7109375" style="1" customWidth="1"/>
    <col min="11744" max="11744" width="10" style="1" customWidth="1"/>
    <col min="11745" max="11745" width="6.28515625" style="1" customWidth="1"/>
    <col min="11746" max="11746" width="12.28515625" style="1" customWidth="1"/>
    <col min="11747" max="11747" width="8.5703125" style="1" customWidth="1"/>
    <col min="11748" max="11748" width="13.7109375" style="1" customWidth="1"/>
    <col min="11749" max="11749" width="11.5703125" style="1" customWidth="1"/>
    <col min="11750" max="11750" width="24.7109375" style="1" customWidth="1"/>
    <col min="11751" max="11751" width="17.42578125" style="1" customWidth="1"/>
    <col min="11752" max="11752" width="20.85546875" style="1" customWidth="1"/>
    <col min="11753" max="11753" width="26.85546875" style="1" customWidth="1"/>
    <col min="11754" max="11754" width="8" style="1" customWidth="1"/>
    <col min="11755" max="11755" width="25" style="1" customWidth="1"/>
    <col min="11756" max="11756" width="12.7109375" style="1" customWidth="1"/>
    <col min="11757" max="11757" width="16.42578125" style="1" customWidth="1"/>
    <col min="11758" max="11758" width="23.5703125" style="1" customWidth="1"/>
    <col min="11759" max="11759" width="33.7109375" style="1" customWidth="1"/>
    <col min="11760" max="11760" width="31.140625" style="1" customWidth="1"/>
    <col min="11761" max="11761" width="19.28515625" style="1" customWidth="1"/>
    <col min="11762" max="11762" width="11.7109375" style="1" customWidth="1"/>
    <col min="11763" max="11763" width="15.42578125" style="1" customWidth="1"/>
    <col min="11764" max="11764" width="5.5703125" style="1" customWidth="1"/>
    <col min="11765" max="11765" width="4.7109375" style="1" customWidth="1"/>
    <col min="11766" max="11767" width="7.28515625" style="1" customWidth="1"/>
    <col min="11768" max="11768" width="8.42578125" style="1" customWidth="1"/>
    <col min="11769" max="11769" width="9.5703125" style="1" customWidth="1"/>
    <col min="11770" max="11770" width="6.28515625" style="1" customWidth="1"/>
    <col min="11771" max="11771" width="5.85546875" style="1" customWidth="1"/>
    <col min="11772" max="11773" width="4.42578125" style="1" customWidth="1"/>
    <col min="11774" max="11774" width="5" style="1" customWidth="1"/>
    <col min="11775" max="11775" width="5.85546875" style="1" customWidth="1"/>
    <col min="11776" max="11776" width="6.140625" style="1" customWidth="1"/>
    <col min="11777" max="11777" width="6.28515625" style="1" customWidth="1"/>
    <col min="11778" max="11778" width="4.85546875" style="1" customWidth="1"/>
    <col min="11779" max="11779" width="8.140625" style="1" customWidth="1"/>
    <col min="11780" max="11780" width="11.5703125" style="1" customWidth="1"/>
    <col min="11781" max="11781" width="13.7109375" style="1" customWidth="1"/>
    <col min="11782" max="11782" width="20.85546875" style="1" customWidth="1"/>
    <col min="11783" max="11995" width="11.42578125" style="1"/>
    <col min="11996" max="11996" width="13.140625" style="1" customWidth="1"/>
    <col min="11997" max="11997" width="4" style="1" customWidth="1"/>
    <col min="11998" max="11998" width="12.85546875" style="1" customWidth="1"/>
    <col min="11999" max="11999" width="14.7109375" style="1" customWidth="1"/>
    <col min="12000" max="12000" width="10" style="1" customWidth="1"/>
    <col min="12001" max="12001" width="6.28515625" style="1" customWidth="1"/>
    <col min="12002" max="12002" width="12.28515625" style="1" customWidth="1"/>
    <col min="12003" max="12003" width="8.5703125" style="1" customWidth="1"/>
    <col min="12004" max="12004" width="13.7109375" style="1" customWidth="1"/>
    <col min="12005" max="12005" width="11.5703125" style="1" customWidth="1"/>
    <col min="12006" max="12006" width="24.7109375" style="1" customWidth="1"/>
    <col min="12007" max="12007" width="17.42578125" style="1" customWidth="1"/>
    <col min="12008" max="12008" width="20.85546875" style="1" customWidth="1"/>
    <col min="12009" max="12009" width="26.85546875" style="1" customWidth="1"/>
    <col min="12010" max="12010" width="8" style="1" customWidth="1"/>
    <col min="12011" max="12011" width="25" style="1" customWidth="1"/>
    <col min="12012" max="12012" width="12.7109375" style="1" customWidth="1"/>
    <col min="12013" max="12013" width="16.42578125" style="1" customWidth="1"/>
    <col min="12014" max="12014" width="23.5703125" style="1" customWidth="1"/>
    <col min="12015" max="12015" width="33.7109375" style="1" customWidth="1"/>
    <col min="12016" max="12016" width="31.140625" style="1" customWidth="1"/>
    <col min="12017" max="12017" width="19.28515625" style="1" customWidth="1"/>
    <col min="12018" max="12018" width="11.7109375" style="1" customWidth="1"/>
    <col min="12019" max="12019" width="15.42578125" style="1" customWidth="1"/>
    <col min="12020" max="12020" width="5.5703125" style="1" customWidth="1"/>
    <col min="12021" max="12021" width="4.7109375" style="1" customWidth="1"/>
    <col min="12022" max="12023" width="7.28515625" style="1" customWidth="1"/>
    <col min="12024" max="12024" width="8.42578125" style="1" customWidth="1"/>
    <col min="12025" max="12025" width="9.5703125" style="1" customWidth="1"/>
    <col min="12026" max="12026" width="6.28515625" style="1" customWidth="1"/>
    <col min="12027" max="12027" width="5.85546875" style="1" customWidth="1"/>
    <col min="12028" max="12029" width="4.42578125" style="1" customWidth="1"/>
    <col min="12030" max="12030" width="5" style="1" customWidth="1"/>
    <col min="12031" max="12031" width="5.85546875" style="1" customWidth="1"/>
    <col min="12032" max="12032" width="6.140625" style="1" customWidth="1"/>
    <col min="12033" max="12033" width="6.28515625" style="1" customWidth="1"/>
    <col min="12034" max="12034" width="4.85546875" style="1" customWidth="1"/>
    <col min="12035" max="12035" width="8.140625" style="1" customWidth="1"/>
    <col min="12036" max="12036" width="11.5703125" style="1" customWidth="1"/>
    <col min="12037" max="12037" width="13.7109375" style="1" customWidth="1"/>
    <col min="12038" max="12038" width="20.85546875" style="1" customWidth="1"/>
    <col min="12039" max="12251" width="11.42578125" style="1"/>
    <col min="12252" max="12252" width="13.140625" style="1" customWidth="1"/>
    <col min="12253" max="12253" width="4" style="1" customWidth="1"/>
    <col min="12254" max="12254" width="12.85546875" style="1" customWidth="1"/>
    <col min="12255" max="12255" width="14.7109375" style="1" customWidth="1"/>
    <col min="12256" max="12256" width="10" style="1" customWidth="1"/>
    <col min="12257" max="12257" width="6.28515625" style="1" customWidth="1"/>
    <col min="12258" max="12258" width="12.28515625" style="1" customWidth="1"/>
    <col min="12259" max="12259" width="8.5703125" style="1" customWidth="1"/>
    <col min="12260" max="12260" width="13.7109375" style="1" customWidth="1"/>
    <col min="12261" max="12261" width="11.5703125" style="1" customWidth="1"/>
    <col min="12262" max="12262" width="24.7109375" style="1" customWidth="1"/>
    <col min="12263" max="12263" width="17.42578125" style="1" customWidth="1"/>
    <col min="12264" max="12264" width="20.85546875" style="1" customWidth="1"/>
    <col min="12265" max="12265" width="26.85546875" style="1" customWidth="1"/>
    <col min="12266" max="12266" width="8" style="1" customWidth="1"/>
    <col min="12267" max="12267" width="25" style="1" customWidth="1"/>
    <col min="12268" max="12268" width="12.7109375" style="1" customWidth="1"/>
    <col min="12269" max="12269" width="16.42578125" style="1" customWidth="1"/>
    <col min="12270" max="12270" width="23.5703125" style="1" customWidth="1"/>
    <col min="12271" max="12271" width="33.7109375" style="1" customWidth="1"/>
    <col min="12272" max="12272" width="31.140625" style="1" customWidth="1"/>
    <col min="12273" max="12273" width="19.28515625" style="1" customWidth="1"/>
    <col min="12274" max="12274" width="11.7109375" style="1" customWidth="1"/>
    <col min="12275" max="12275" width="15.42578125" style="1" customWidth="1"/>
    <col min="12276" max="12276" width="5.5703125" style="1" customWidth="1"/>
    <col min="12277" max="12277" width="4.7109375" style="1" customWidth="1"/>
    <col min="12278" max="12279" width="7.28515625" style="1" customWidth="1"/>
    <col min="12280" max="12280" width="8.42578125" style="1" customWidth="1"/>
    <col min="12281" max="12281" width="9.5703125" style="1" customWidth="1"/>
    <col min="12282" max="12282" width="6.28515625" style="1" customWidth="1"/>
    <col min="12283" max="12283" width="5.85546875" style="1" customWidth="1"/>
    <col min="12284" max="12285" width="4.42578125" style="1" customWidth="1"/>
    <col min="12286" max="12286" width="5" style="1" customWidth="1"/>
    <col min="12287" max="12287" width="5.85546875" style="1" customWidth="1"/>
    <col min="12288" max="12288" width="6.140625" style="1" customWidth="1"/>
    <col min="12289" max="12289" width="6.28515625" style="1" customWidth="1"/>
    <col min="12290" max="12290" width="4.85546875" style="1" customWidth="1"/>
    <col min="12291" max="12291" width="8.140625" style="1" customWidth="1"/>
    <col min="12292" max="12292" width="11.5703125" style="1" customWidth="1"/>
    <col min="12293" max="12293" width="13.7109375" style="1" customWidth="1"/>
    <col min="12294" max="12294" width="20.85546875" style="1" customWidth="1"/>
    <col min="12295" max="12507" width="11.42578125" style="1"/>
    <col min="12508" max="12508" width="13.140625" style="1" customWidth="1"/>
    <col min="12509" max="12509" width="4" style="1" customWidth="1"/>
    <col min="12510" max="12510" width="12.85546875" style="1" customWidth="1"/>
    <col min="12511" max="12511" width="14.7109375" style="1" customWidth="1"/>
    <col min="12512" max="12512" width="10" style="1" customWidth="1"/>
    <col min="12513" max="12513" width="6.28515625" style="1" customWidth="1"/>
    <col min="12514" max="12514" width="12.28515625" style="1" customWidth="1"/>
    <col min="12515" max="12515" width="8.5703125" style="1" customWidth="1"/>
    <col min="12516" max="12516" width="13.7109375" style="1" customWidth="1"/>
    <col min="12517" max="12517" width="11.5703125" style="1" customWidth="1"/>
    <col min="12518" max="12518" width="24.7109375" style="1" customWidth="1"/>
    <col min="12519" max="12519" width="17.42578125" style="1" customWidth="1"/>
    <col min="12520" max="12520" width="20.85546875" style="1" customWidth="1"/>
    <col min="12521" max="12521" width="26.85546875" style="1" customWidth="1"/>
    <col min="12522" max="12522" width="8" style="1" customWidth="1"/>
    <col min="12523" max="12523" width="25" style="1" customWidth="1"/>
    <col min="12524" max="12524" width="12.7109375" style="1" customWidth="1"/>
    <col min="12525" max="12525" width="16.42578125" style="1" customWidth="1"/>
    <col min="12526" max="12526" width="23.5703125" style="1" customWidth="1"/>
    <col min="12527" max="12527" width="33.7109375" style="1" customWidth="1"/>
    <col min="12528" max="12528" width="31.140625" style="1" customWidth="1"/>
    <col min="12529" max="12529" width="19.28515625" style="1" customWidth="1"/>
    <col min="12530" max="12530" width="11.7109375" style="1" customWidth="1"/>
    <col min="12531" max="12531" width="15.42578125" style="1" customWidth="1"/>
    <col min="12532" max="12532" width="5.5703125" style="1" customWidth="1"/>
    <col min="12533" max="12533" width="4.7109375" style="1" customWidth="1"/>
    <col min="12534" max="12535" width="7.28515625" style="1" customWidth="1"/>
    <col min="12536" max="12536" width="8.42578125" style="1" customWidth="1"/>
    <col min="12537" max="12537" width="9.5703125" style="1" customWidth="1"/>
    <col min="12538" max="12538" width="6.28515625" style="1" customWidth="1"/>
    <col min="12539" max="12539" width="5.85546875" style="1" customWidth="1"/>
    <col min="12540" max="12541" width="4.42578125" style="1" customWidth="1"/>
    <col min="12542" max="12542" width="5" style="1" customWidth="1"/>
    <col min="12543" max="12543" width="5.85546875" style="1" customWidth="1"/>
    <col min="12544" max="12544" width="6.140625" style="1" customWidth="1"/>
    <col min="12545" max="12545" width="6.28515625" style="1" customWidth="1"/>
    <col min="12546" max="12546" width="4.85546875" style="1" customWidth="1"/>
    <col min="12547" max="12547" width="8.140625" style="1" customWidth="1"/>
    <col min="12548" max="12548" width="11.5703125" style="1" customWidth="1"/>
    <col min="12549" max="12549" width="13.7109375" style="1" customWidth="1"/>
    <col min="12550" max="12550" width="20.85546875" style="1" customWidth="1"/>
    <col min="12551" max="12763" width="11.42578125" style="1"/>
    <col min="12764" max="12764" width="13.140625" style="1" customWidth="1"/>
    <col min="12765" max="12765" width="4" style="1" customWidth="1"/>
    <col min="12766" max="12766" width="12.85546875" style="1" customWidth="1"/>
    <col min="12767" max="12767" width="14.7109375" style="1" customWidth="1"/>
    <col min="12768" max="12768" width="10" style="1" customWidth="1"/>
    <col min="12769" max="12769" width="6.28515625" style="1" customWidth="1"/>
    <col min="12770" max="12770" width="12.28515625" style="1" customWidth="1"/>
    <col min="12771" max="12771" width="8.5703125" style="1" customWidth="1"/>
    <col min="12772" max="12772" width="13.7109375" style="1" customWidth="1"/>
    <col min="12773" max="12773" width="11.5703125" style="1" customWidth="1"/>
    <col min="12774" max="12774" width="24.7109375" style="1" customWidth="1"/>
    <col min="12775" max="12775" width="17.42578125" style="1" customWidth="1"/>
    <col min="12776" max="12776" width="20.85546875" style="1" customWidth="1"/>
    <col min="12777" max="12777" width="26.85546875" style="1" customWidth="1"/>
    <col min="12778" max="12778" width="8" style="1" customWidth="1"/>
    <col min="12779" max="12779" width="25" style="1" customWidth="1"/>
    <col min="12780" max="12780" width="12.7109375" style="1" customWidth="1"/>
    <col min="12781" max="12781" width="16.42578125" style="1" customWidth="1"/>
    <col min="12782" max="12782" width="23.5703125" style="1" customWidth="1"/>
    <col min="12783" max="12783" width="33.7109375" style="1" customWidth="1"/>
    <col min="12784" max="12784" width="31.140625" style="1" customWidth="1"/>
    <col min="12785" max="12785" width="19.28515625" style="1" customWidth="1"/>
    <col min="12786" max="12786" width="11.7109375" style="1" customWidth="1"/>
    <col min="12787" max="12787" width="15.42578125" style="1" customWidth="1"/>
    <col min="12788" max="12788" width="5.5703125" style="1" customWidth="1"/>
    <col min="12789" max="12789" width="4.7109375" style="1" customWidth="1"/>
    <col min="12790" max="12791" width="7.28515625" style="1" customWidth="1"/>
    <col min="12792" max="12792" width="8.42578125" style="1" customWidth="1"/>
    <col min="12793" max="12793" width="9.5703125" style="1" customWidth="1"/>
    <col min="12794" max="12794" width="6.28515625" style="1" customWidth="1"/>
    <col min="12795" max="12795" width="5.85546875" style="1" customWidth="1"/>
    <col min="12796" max="12797" width="4.42578125" style="1" customWidth="1"/>
    <col min="12798" max="12798" width="5" style="1" customWidth="1"/>
    <col min="12799" max="12799" width="5.85546875" style="1" customWidth="1"/>
    <col min="12800" max="12800" width="6.140625" style="1" customWidth="1"/>
    <col min="12801" max="12801" width="6.28515625" style="1" customWidth="1"/>
    <col min="12802" max="12802" width="4.85546875" style="1" customWidth="1"/>
    <col min="12803" max="12803" width="8.140625" style="1" customWidth="1"/>
    <col min="12804" max="12804" width="11.5703125" style="1" customWidth="1"/>
    <col min="12805" max="12805" width="13.7109375" style="1" customWidth="1"/>
    <col min="12806" max="12806" width="20.85546875" style="1" customWidth="1"/>
    <col min="12807" max="13019" width="11.42578125" style="1"/>
    <col min="13020" max="13020" width="13.140625" style="1" customWidth="1"/>
    <col min="13021" max="13021" width="4" style="1" customWidth="1"/>
    <col min="13022" max="13022" width="12.85546875" style="1" customWidth="1"/>
    <col min="13023" max="13023" width="14.7109375" style="1" customWidth="1"/>
    <col min="13024" max="13024" width="10" style="1" customWidth="1"/>
    <col min="13025" max="13025" width="6.28515625" style="1" customWidth="1"/>
    <col min="13026" max="13026" width="12.28515625" style="1" customWidth="1"/>
    <col min="13027" max="13027" width="8.5703125" style="1" customWidth="1"/>
    <col min="13028" max="13028" width="13.7109375" style="1" customWidth="1"/>
    <col min="13029" max="13029" width="11.5703125" style="1" customWidth="1"/>
    <col min="13030" max="13030" width="24.7109375" style="1" customWidth="1"/>
    <col min="13031" max="13031" width="17.42578125" style="1" customWidth="1"/>
    <col min="13032" max="13032" width="20.85546875" style="1" customWidth="1"/>
    <col min="13033" max="13033" width="26.85546875" style="1" customWidth="1"/>
    <col min="13034" max="13034" width="8" style="1" customWidth="1"/>
    <col min="13035" max="13035" width="25" style="1" customWidth="1"/>
    <col min="13036" max="13036" width="12.7109375" style="1" customWidth="1"/>
    <col min="13037" max="13037" width="16.42578125" style="1" customWidth="1"/>
    <col min="13038" max="13038" width="23.5703125" style="1" customWidth="1"/>
    <col min="13039" max="13039" width="33.7109375" style="1" customWidth="1"/>
    <col min="13040" max="13040" width="31.140625" style="1" customWidth="1"/>
    <col min="13041" max="13041" width="19.28515625" style="1" customWidth="1"/>
    <col min="13042" max="13042" width="11.7109375" style="1" customWidth="1"/>
    <col min="13043" max="13043" width="15.42578125" style="1" customWidth="1"/>
    <col min="13044" max="13044" width="5.5703125" style="1" customWidth="1"/>
    <col min="13045" max="13045" width="4.7109375" style="1" customWidth="1"/>
    <col min="13046" max="13047" width="7.28515625" style="1" customWidth="1"/>
    <col min="13048" max="13048" width="8.42578125" style="1" customWidth="1"/>
    <col min="13049" max="13049" width="9.5703125" style="1" customWidth="1"/>
    <col min="13050" max="13050" width="6.28515625" style="1" customWidth="1"/>
    <col min="13051" max="13051" width="5.85546875" style="1" customWidth="1"/>
    <col min="13052" max="13053" width="4.42578125" style="1" customWidth="1"/>
    <col min="13054" max="13054" width="5" style="1" customWidth="1"/>
    <col min="13055" max="13055" width="5.85546875" style="1" customWidth="1"/>
    <col min="13056" max="13056" width="6.140625" style="1" customWidth="1"/>
    <col min="13057" max="13057" width="6.28515625" style="1" customWidth="1"/>
    <col min="13058" max="13058" width="4.85546875" style="1" customWidth="1"/>
    <col min="13059" max="13059" width="8.140625" style="1" customWidth="1"/>
    <col min="13060" max="13060" width="11.5703125" style="1" customWidth="1"/>
    <col min="13061" max="13061" width="13.7109375" style="1" customWidth="1"/>
    <col min="13062" max="13062" width="20.85546875" style="1" customWidth="1"/>
    <col min="13063" max="13275" width="11.42578125" style="1"/>
    <col min="13276" max="13276" width="13.140625" style="1" customWidth="1"/>
    <col min="13277" max="13277" width="4" style="1" customWidth="1"/>
    <col min="13278" max="13278" width="12.85546875" style="1" customWidth="1"/>
    <col min="13279" max="13279" width="14.7109375" style="1" customWidth="1"/>
    <col min="13280" max="13280" width="10" style="1" customWidth="1"/>
    <col min="13281" max="13281" width="6.28515625" style="1" customWidth="1"/>
    <col min="13282" max="13282" width="12.28515625" style="1" customWidth="1"/>
    <col min="13283" max="13283" width="8.5703125" style="1" customWidth="1"/>
    <col min="13284" max="13284" width="13.7109375" style="1" customWidth="1"/>
    <col min="13285" max="13285" width="11.5703125" style="1" customWidth="1"/>
    <col min="13286" max="13286" width="24.7109375" style="1" customWidth="1"/>
    <col min="13287" max="13287" width="17.42578125" style="1" customWidth="1"/>
    <col min="13288" max="13288" width="20.85546875" style="1" customWidth="1"/>
    <col min="13289" max="13289" width="26.85546875" style="1" customWidth="1"/>
    <col min="13290" max="13290" width="8" style="1" customWidth="1"/>
    <col min="13291" max="13291" width="25" style="1" customWidth="1"/>
    <col min="13292" max="13292" width="12.7109375" style="1" customWidth="1"/>
    <col min="13293" max="13293" width="16.42578125" style="1" customWidth="1"/>
    <col min="13294" max="13294" width="23.5703125" style="1" customWidth="1"/>
    <col min="13295" max="13295" width="33.7109375" style="1" customWidth="1"/>
    <col min="13296" max="13296" width="31.140625" style="1" customWidth="1"/>
    <col min="13297" max="13297" width="19.28515625" style="1" customWidth="1"/>
    <col min="13298" max="13298" width="11.7109375" style="1" customWidth="1"/>
    <col min="13299" max="13299" width="15.42578125" style="1" customWidth="1"/>
    <col min="13300" max="13300" width="5.5703125" style="1" customWidth="1"/>
    <col min="13301" max="13301" width="4.7109375" style="1" customWidth="1"/>
    <col min="13302" max="13303" width="7.28515625" style="1" customWidth="1"/>
    <col min="13304" max="13304" width="8.42578125" style="1" customWidth="1"/>
    <col min="13305" max="13305" width="9.5703125" style="1" customWidth="1"/>
    <col min="13306" max="13306" width="6.28515625" style="1" customWidth="1"/>
    <col min="13307" max="13307" width="5.85546875" style="1" customWidth="1"/>
    <col min="13308" max="13309" width="4.42578125" style="1" customWidth="1"/>
    <col min="13310" max="13310" width="5" style="1" customWidth="1"/>
    <col min="13311" max="13311" width="5.85546875" style="1" customWidth="1"/>
    <col min="13312" max="13312" width="6.140625" style="1" customWidth="1"/>
    <col min="13313" max="13313" width="6.28515625" style="1" customWidth="1"/>
    <col min="13314" max="13314" width="4.85546875" style="1" customWidth="1"/>
    <col min="13315" max="13315" width="8.140625" style="1" customWidth="1"/>
    <col min="13316" max="13316" width="11.5703125" style="1" customWidth="1"/>
    <col min="13317" max="13317" width="13.7109375" style="1" customWidth="1"/>
    <col min="13318" max="13318" width="20.85546875" style="1" customWidth="1"/>
    <col min="13319" max="13531" width="11.42578125" style="1"/>
    <col min="13532" max="13532" width="13.140625" style="1" customWidth="1"/>
    <col min="13533" max="13533" width="4" style="1" customWidth="1"/>
    <col min="13534" max="13534" width="12.85546875" style="1" customWidth="1"/>
    <col min="13535" max="13535" width="14.7109375" style="1" customWidth="1"/>
    <col min="13536" max="13536" width="10" style="1" customWidth="1"/>
    <col min="13537" max="13537" width="6.28515625" style="1" customWidth="1"/>
    <col min="13538" max="13538" width="12.28515625" style="1" customWidth="1"/>
    <col min="13539" max="13539" width="8.5703125" style="1" customWidth="1"/>
    <col min="13540" max="13540" width="13.7109375" style="1" customWidth="1"/>
    <col min="13541" max="13541" width="11.5703125" style="1" customWidth="1"/>
    <col min="13542" max="13542" width="24.7109375" style="1" customWidth="1"/>
    <col min="13543" max="13543" width="17.42578125" style="1" customWidth="1"/>
    <col min="13544" max="13544" width="20.85546875" style="1" customWidth="1"/>
    <col min="13545" max="13545" width="26.85546875" style="1" customWidth="1"/>
    <col min="13546" max="13546" width="8" style="1" customWidth="1"/>
    <col min="13547" max="13547" width="25" style="1" customWidth="1"/>
    <col min="13548" max="13548" width="12.7109375" style="1" customWidth="1"/>
    <col min="13549" max="13549" width="16.42578125" style="1" customWidth="1"/>
    <col min="13550" max="13550" width="23.5703125" style="1" customWidth="1"/>
    <col min="13551" max="13551" width="33.7109375" style="1" customWidth="1"/>
    <col min="13552" max="13552" width="31.140625" style="1" customWidth="1"/>
    <col min="13553" max="13553" width="19.28515625" style="1" customWidth="1"/>
    <col min="13554" max="13554" width="11.7109375" style="1" customWidth="1"/>
    <col min="13555" max="13555" width="15.42578125" style="1" customWidth="1"/>
    <col min="13556" max="13556" width="5.5703125" style="1" customWidth="1"/>
    <col min="13557" max="13557" width="4.7109375" style="1" customWidth="1"/>
    <col min="13558" max="13559" width="7.28515625" style="1" customWidth="1"/>
    <col min="13560" max="13560" width="8.42578125" style="1" customWidth="1"/>
    <col min="13561" max="13561" width="9.5703125" style="1" customWidth="1"/>
    <col min="13562" max="13562" width="6.28515625" style="1" customWidth="1"/>
    <col min="13563" max="13563" width="5.85546875" style="1" customWidth="1"/>
    <col min="13564" max="13565" width="4.42578125" style="1" customWidth="1"/>
    <col min="13566" max="13566" width="5" style="1" customWidth="1"/>
    <col min="13567" max="13567" width="5.85546875" style="1" customWidth="1"/>
    <col min="13568" max="13568" width="6.140625" style="1" customWidth="1"/>
    <col min="13569" max="13569" width="6.28515625" style="1" customWidth="1"/>
    <col min="13570" max="13570" width="4.85546875" style="1" customWidth="1"/>
    <col min="13571" max="13571" width="8.140625" style="1" customWidth="1"/>
    <col min="13572" max="13572" width="11.5703125" style="1" customWidth="1"/>
    <col min="13573" max="13573" width="13.7109375" style="1" customWidth="1"/>
    <col min="13574" max="13574" width="20.85546875" style="1" customWidth="1"/>
    <col min="13575" max="13787" width="11.42578125" style="1"/>
    <col min="13788" max="13788" width="13.140625" style="1" customWidth="1"/>
    <col min="13789" max="13789" width="4" style="1" customWidth="1"/>
    <col min="13790" max="13790" width="12.85546875" style="1" customWidth="1"/>
    <col min="13791" max="13791" width="14.7109375" style="1" customWidth="1"/>
    <col min="13792" max="13792" width="10" style="1" customWidth="1"/>
    <col min="13793" max="13793" width="6.28515625" style="1" customWidth="1"/>
    <col min="13794" max="13794" width="12.28515625" style="1" customWidth="1"/>
    <col min="13795" max="13795" width="8.5703125" style="1" customWidth="1"/>
    <col min="13796" max="13796" width="13.7109375" style="1" customWidth="1"/>
    <col min="13797" max="13797" width="11.5703125" style="1" customWidth="1"/>
    <col min="13798" max="13798" width="24.7109375" style="1" customWidth="1"/>
    <col min="13799" max="13799" width="17.42578125" style="1" customWidth="1"/>
    <col min="13800" max="13800" width="20.85546875" style="1" customWidth="1"/>
    <col min="13801" max="13801" width="26.85546875" style="1" customWidth="1"/>
    <col min="13802" max="13802" width="8" style="1" customWidth="1"/>
    <col min="13803" max="13803" width="25" style="1" customWidth="1"/>
    <col min="13804" max="13804" width="12.7109375" style="1" customWidth="1"/>
    <col min="13805" max="13805" width="16.42578125" style="1" customWidth="1"/>
    <col min="13806" max="13806" width="23.5703125" style="1" customWidth="1"/>
    <col min="13807" max="13807" width="33.7109375" style="1" customWidth="1"/>
    <col min="13808" max="13808" width="31.140625" style="1" customWidth="1"/>
    <col min="13809" max="13809" width="19.28515625" style="1" customWidth="1"/>
    <col min="13810" max="13810" width="11.7109375" style="1" customWidth="1"/>
    <col min="13811" max="13811" width="15.42578125" style="1" customWidth="1"/>
    <col min="13812" max="13812" width="5.5703125" style="1" customWidth="1"/>
    <col min="13813" max="13813" width="4.7109375" style="1" customWidth="1"/>
    <col min="13814" max="13815" width="7.28515625" style="1" customWidth="1"/>
    <col min="13816" max="13816" width="8.42578125" style="1" customWidth="1"/>
    <col min="13817" max="13817" width="9.5703125" style="1" customWidth="1"/>
    <col min="13818" max="13818" width="6.28515625" style="1" customWidth="1"/>
    <col min="13819" max="13819" width="5.85546875" style="1" customWidth="1"/>
    <col min="13820" max="13821" width="4.42578125" style="1" customWidth="1"/>
    <col min="13822" max="13822" width="5" style="1" customWidth="1"/>
    <col min="13823" max="13823" width="5.85546875" style="1" customWidth="1"/>
    <col min="13824" max="13824" width="6.140625" style="1" customWidth="1"/>
    <col min="13825" max="13825" width="6.28515625" style="1" customWidth="1"/>
    <col min="13826" max="13826" width="4.85546875" style="1" customWidth="1"/>
    <col min="13827" max="13827" width="8.140625" style="1" customWidth="1"/>
    <col min="13828" max="13828" width="11.5703125" style="1" customWidth="1"/>
    <col min="13829" max="13829" width="13.7109375" style="1" customWidth="1"/>
    <col min="13830" max="13830" width="20.85546875" style="1" customWidth="1"/>
    <col min="13831" max="14043" width="11.42578125" style="1"/>
    <col min="14044" max="14044" width="13.140625" style="1" customWidth="1"/>
    <col min="14045" max="14045" width="4" style="1" customWidth="1"/>
    <col min="14046" max="14046" width="12.85546875" style="1" customWidth="1"/>
    <col min="14047" max="14047" width="14.7109375" style="1" customWidth="1"/>
    <col min="14048" max="14048" width="10" style="1" customWidth="1"/>
    <col min="14049" max="14049" width="6.28515625" style="1" customWidth="1"/>
    <col min="14050" max="14050" width="12.28515625" style="1" customWidth="1"/>
    <col min="14051" max="14051" width="8.5703125" style="1" customWidth="1"/>
    <col min="14052" max="14052" width="13.7109375" style="1" customWidth="1"/>
    <col min="14053" max="14053" width="11.5703125" style="1" customWidth="1"/>
    <col min="14054" max="14054" width="24.7109375" style="1" customWidth="1"/>
    <col min="14055" max="14055" width="17.42578125" style="1" customWidth="1"/>
    <col min="14056" max="14056" width="20.85546875" style="1" customWidth="1"/>
    <col min="14057" max="14057" width="26.85546875" style="1" customWidth="1"/>
    <col min="14058" max="14058" width="8" style="1" customWidth="1"/>
    <col min="14059" max="14059" width="25" style="1" customWidth="1"/>
    <col min="14060" max="14060" width="12.7109375" style="1" customWidth="1"/>
    <col min="14061" max="14061" width="16.42578125" style="1" customWidth="1"/>
    <col min="14062" max="14062" width="23.5703125" style="1" customWidth="1"/>
    <col min="14063" max="14063" width="33.7109375" style="1" customWidth="1"/>
    <col min="14064" max="14064" width="31.140625" style="1" customWidth="1"/>
    <col min="14065" max="14065" width="19.28515625" style="1" customWidth="1"/>
    <col min="14066" max="14066" width="11.7109375" style="1" customWidth="1"/>
    <col min="14067" max="14067" width="15.42578125" style="1" customWidth="1"/>
    <col min="14068" max="14068" width="5.5703125" style="1" customWidth="1"/>
    <col min="14069" max="14069" width="4.7109375" style="1" customWidth="1"/>
    <col min="14070" max="14071" width="7.28515625" style="1" customWidth="1"/>
    <col min="14072" max="14072" width="8.42578125" style="1" customWidth="1"/>
    <col min="14073" max="14073" width="9.5703125" style="1" customWidth="1"/>
    <col min="14074" max="14074" width="6.28515625" style="1" customWidth="1"/>
    <col min="14075" max="14075" width="5.85546875" style="1" customWidth="1"/>
    <col min="14076" max="14077" width="4.42578125" style="1" customWidth="1"/>
    <col min="14078" max="14078" width="5" style="1" customWidth="1"/>
    <col min="14079" max="14079" width="5.85546875" style="1" customWidth="1"/>
    <col min="14080" max="14080" width="6.140625" style="1" customWidth="1"/>
    <col min="14081" max="14081" width="6.28515625" style="1" customWidth="1"/>
    <col min="14082" max="14082" width="4.85546875" style="1" customWidth="1"/>
    <col min="14083" max="14083" width="8.140625" style="1" customWidth="1"/>
    <col min="14084" max="14084" width="11.5703125" style="1" customWidth="1"/>
    <col min="14085" max="14085" width="13.7109375" style="1" customWidth="1"/>
    <col min="14086" max="14086" width="20.85546875" style="1" customWidth="1"/>
    <col min="14087" max="14299" width="11.42578125" style="1"/>
    <col min="14300" max="14300" width="13.140625" style="1" customWidth="1"/>
    <col min="14301" max="14301" width="4" style="1" customWidth="1"/>
    <col min="14302" max="14302" width="12.85546875" style="1" customWidth="1"/>
    <col min="14303" max="14303" width="14.7109375" style="1" customWidth="1"/>
    <col min="14304" max="14304" width="10" style="1" customWidth="1"/>
    <col min="14305" max="14305" width="6.28515625" style="1" customWidth="1"/>
    <col min="14306" max="14306" width="12.28515625" style="1" customWidth="1"/>
    <col min="14307" max="14307" width="8.5703125" style="1" customWidth="1"/>
    <col min="14308" max="14308" width="13.7109375" style="1" customWidth="1"/>
    <col min="14309" max="14309" width="11.5703125" style="1" customWidth="1"/>
    <col min="14310" max="14310" width="24.7109375" style="1" customWidth="1"/>
    <col min="14311" max="14311" width="17.42578125" style="1" customWidth="1"/>
    <col min="14312" max="14312" width="20.85546875" style="1" customWidth="1"/>
    <col min="14313" max="14313" width="26.85546875" style="1" customWidth="1"/>
    <col min="14314" max="14314" width="8" style="1" customWidth="1"/>
    <col min="14315" max="14315" width="25" style="1" customWidth="1"/>
    <col min="14316" max="14316" width="12.7109375" style="1" customWidth="1"/>
    <col min="14317" max="14317" width="16.42578125" style="1" customWidth="1"/>
    <col min="14318" max="14318" width="23.5703125" style="1" customWidth="1"/>
    <col min="14319" max="14319" width="33.7109375" style="1" customWidth="1"/>
    <col min="14320" max="14320" width="31.140625" style="1" customWidth="1"/>
    <col min="14321" max="14321" width="19.28515625" style="1" customWidth="1"/>
    <col min="14322" max="14322" width="11.7109375" style="1" customWidth="1"/>
    <col min="14323" max="14323" width="15.42578125" style="1" customWidth="1"/>
    <col min="14324" max="14324" width="5.5703125" style="1" customWidth="1"/>
    <col min="14325" max="14325" width="4.7109375" style="1" customWidth="1"/>
    <col min="14326" max="14327" width="7.28515625" style="1" customWidth="1"/>
    <col min="14328" max="14328" width="8.42578125" style="1" customWidth="1"/>
    <col min="14329" max="14329" width="9.5703125" style="1" customWidth="1"/>
    <col min="14330" max="14330" width="6.28515625" style="1" customWidth="1"/>
    <col min="14331" max="14331" width="5.85546875" style="1" customWidth="1"/>
    <col min="14332" max="14333" width="4.42578125" style="1" customWidth="1"/>
    <col min="14334" max="14334" width="5" style="1" customWidth="1"/>
    <col min="14335" max="14335" width="5.85546875" style="1" customWidth="1"/>
    <col min="14336" max="14336" width="6.140625" style="1" customWidth="1"/>
    <col min="14337" max="14337" width="6.28515625" style="1" customWidth="1"/>
    <col min="14338" max="14338" width="4.85546875" style="1" customWidth="1"/>
    <col min="14339" max="14339" width="8.140625" style="1" customWidth="1"/>
    <col min="14340" max="14340" width="11.5703125" style="1" customWidth="1"/>
    <col min="14341" max="14341" width="13.7109375" style="1" customWidth="1"/>
    <col min="14342" max="14342" width="20.85546875" style="1" customWidth="1"/>
    <col min="14343" max="14555" width="11.42578125" style="1"/>
    <col min="14556" max="14556" width="13.140625" style="1" customWidth="1"/>
    <col min="14557" max="14557" width="4" style="1" customWidth="1"/>
    <col min="14558" max="14558" width="12.85546875" style="1" customWidth="1"/>
    <col min="14559" max="14559" width="14.7109375" style="1" customWidth="1"/>
    <col min="14560" max="14560" width="10" style="1" customWidth="1"/>
    <col min="14561" max="14561" width="6.28515625" style="1" customWidth="1"/>
    <col min="14562" max="14562" width="12.28515625" style="1" customWidth="1"/>
    <col min="14563" max="14563" width="8.5703125" style="1" customWidth="1"/>
    <col min="14564" max="14564" width="13.7109375" style="1" customWidth="1"/>
    <col min="14565" max="14565" width="11.5703125" style="1" customWidth="1"/>
    <col min="14566" max="14566" width="24.7109375" style="1" customWidth="1"/>
    <col min="14567" max="14567" width="17.42578125" style="1" customWidth="1"/>
    <col min="14568" max="14568" width="20.85546875" style="1" customWidth="1"/>
    <col min="14569" max="14569" width="26.85546875" style="1" customWidth="1"/>
    <col min="14570" max="14570" width="8" style="1" customWidth="1"/>
    <col min="14571" max="14571" width="25" style="1" customWidth="1"/>
    <col min="14572" max="14572" width="12.7109375" style="1" customWidth="1"/>
    <col min="14573" max="14573" width="16.42578125" style="1" customWidth="1"/>
    <col min="14574" max="14574" width="23.5703125" style="1" customWidth="1"/>
    <col min="14575" max="14575" width="33.7109375" style="1" customWidth="1"/>
    <col min="14576" max="14576" width="31.140625" style="1" customWidth="1"/>
    <col min="14577" max="14577" width="19.28515625" style="1" customWidth="1"/>
    <col min="14578" max="14578" width="11.7109375" style="1" customWidth="1"/>
    <col min="14579" max="14579" width="15.42578125" style="1" customWidth="1"/>
    <col min="14580" max="14580" width="5.5703125" style="1" customWidth="1"/>
    <col min="14581" max="14581" width="4.7109375" style="1" customWidth="1"/>
    <col min="14582" max="14583" width="7.28515625" style="1" customWidth="1"/>
    <col min="14584" max="14584" width="8.42578125" style="1" customWidth="1"/>
    <col min="14585" max="14585" width="9.5703125" style="1" customWidth="1"/>
    <col min="14586" max="14586" width="6.28515625" style="1" customWidth="1"/>
    <col min="14587" max="14587" width="5.85546875" style="1" customWidth="1"/>
    <col min="14588" max="14589" width="4.42578125" style="1" customWidth="1"/>
    <col min="14590" max="14590" width="5" style="1" customWidth="1"/>
    <col min="14591" max="14591" width="5.85546875" style="1" customWidth="1"/>
    <col min="14592" max="14592" width="6.140625" style="1" customWidth="1"/>
    <col min="14593" max="14593" width="6.28515625" style="1" customWidth="1"/>
    <col min="14594" max="14594" width="4.85546875" style="1" customWidth="1"/>
    <col min="14595" max="14595" width="8.140625" style="1" customWidth="1"/>
    <col min="14596" max="14596" width="11.5703125" style="1" customWidth="1"/>
    <col min="14597" max="14597" width="13.7109375" style="1" customWidth="1"/>
    <col min="14598" max="14598" width="20.85546875" style="1" customWidth="1"/>
    <col min="14599" max="14811" width="11.42578125" style="1"/>
    <col min="14812" max="14812" width="13.140625" style="1" customWidth="1"/>
    <col min="14813" max="14813" width="4" style="1" customWidth="1"/>
    <col min="14814" max="14814" width="12.85546875" style="1" customWidth="1"/>
    <col min="14815" max="14815" width="14.7109375" style="1" customWidth="1"/>
    <col min="14816" max="14816" width="10" style="1" customWidth="1"/>
    <col min="14817" max="14817" width="6.28515625" style="1" customWidth="1"/>
    <col min="14818" max="14818" width="12.28515625" style="1" customWidth="1"/>
    <col min="14819" max="14819" width="8.5703125" style="1" customWidth="1"/>
    <col min="14820" max="14820" width="13.7109375" style="1" customWidth="1"/>
    <col min="14821" max="14821" width="11.5703125" style="1" customWidth="1"/>
    <col min="14822" max="14822" width="24.7109375" style="1" customWidth="1"/>
    <col min="14823" max="14823" width="17.42578125" style="1" customWidth="1"/>
    <col min="14824" max="14824" width="20.85546875" style="1" customWidth="1"/>
    <col min="14825" max="14825" width="26.85546875" style="1" customWidth="1"/>
    <col min="14826" max="14826" width="8" style="1" customWidth="1"/>
    <col min="14827" max="14827" width="25" style="1" customWidth="1"/>
    <col min="14828" max="14828" width="12.7109375" style="1" customWidth="1"/>
    <col min="14829" max="14829" width="16.42578125" style="1" customWidth="1"/>
    <col min="14830" max="14830" width="23.5703125" style="1" customWidth="1"/>
    <col min="14831" max="14831" width="33.7109375" style="1" customWidth="1"/>
    <col min="14832" max="14832" width="31.140625" style="1" customWidth="1"/>
    <col min="14833" max="14833" width="19.28515625" style="1" customWidth="1"/>
    <col min="14834" max="14834" width="11.7109375" style="1" customWidth="1"/>
    <col min="14835" max="14835" width="15.42578125" style="1" customWidth="1"/>
    <col min="14836" max="14836" width="5.5703125" style="1" customWidth="1"/>
    <col min="14837" max="14837" width="4.7109375" style="1" customWidth="1"/>
    <col min="14838" max="14839" width="7.28515625" style="1" customWidth="1"/>
    <col min="14840" max="14840" width="8.42578125" style="1" customWidth="1"/>
    <col min="14841" max="14841" width="9.5703125" style="1" customWidth="1"/>
    <col min="14842" max="14842" width="6.28515625" style="1" customWidth="1"/>
    <col min="14843" max="14843" width="5.85546875" style="1" customWidth="1"/>
    <col min="14844" max="14845" width="4.42578125" style="1" customWidth="1"/>
    <col min="14846" max="14846" width="5" style="1" customWidth="1"/>
    <col min="14847" max="14847" width="5.85546875" style="1" customWidth="1"/>
    <col min="14848" max="14848" width="6.140625" style="1" customWidth="1"/>
    <col min="14849" max="14849" width="6.28515625" style="1" customWidth="1"/>
    <col min="14850" max="14850" width="4.85546875" style="1" customWidth="1"/>
    <col min="14851" max="14851" width="8.140625" style="1" customWidth="1"/>
    <col min="14852" max="14852" width="11.5703125" style="1" customWidth="1"/>
    <col min="14853" max="14853" width="13.7109375" style="1" customWidth="1"/>
    <col min="14854" max="14854" width="20.85546875" style="1" customWidth="1"/>
    <col min="14855" max="15067" width="11.42578125" style="1"/>
    <col min="15068" max="15068" width="13.140625" style="1" customWidth="1"/>
    <col min="15069" max="15069" width="4" style="1" customWidth="1"/>
    <col min="15070" max="15070" width="12.85546875" style="1" customWidth="1"/>
    <col min="15071" max="15071" width="14.7109375" style="1" customWidth="1"/>
    <col min="15072" max="15072" width="10" style="1" customWidth="1"/>
    <col min="15073" max="15073" width="6.28515625" style="1" customWidth="1"/>
    <col min="15074" max="15074" width="12.28515625" style="1" customWidth="1"/>
    <col min="15075" max="15075" width="8.5703125" style="1" customWidth="1"/>
    <col min="15076" max="15076" width="13.7109375" style="1" customWidth="1"/>
    <col min="15077" max="15077" width="11.5703125" style="1" customWidth="1"/>
    <col min="15078" max="15078" width="24.7109375" style="1" customWidth="1"/>
    <col min="15079" max="15079" width="17.42578125" style="1" customWidth="1"/>
    <col min="15080" max="15080" width="20.85546875" style="1" customWidth="1"/>
    <col min="15081" max="15081" width="26.85546875" style="1" customWidth="1"/>
    <col min="15082" max="15082" width="8" style="1" customWidth="1"/>
    <col min="15083" max="15083" width="25" style="1" customWidth="1"/>
    <col min="15084" max="15084" width="12.7109375" style="1" customWidth="1"/>
    <col min="15085" max="15085" width="16.42578125" style="1" customWidth="1"/>
    <col min="15086" max="15086" width="23.5703125" style="1" customWidth="1"/>
    <col min="15087" max="15087" width="33.7109375" style="1" customWidth="1"/>
    <col min="15088" max="15088" width="31.140625" style="1" customWidth="1"/>
    <col min="15089" max="15089" width="19.28515625" style="1" customWidth="1"/>
    <col min="15090" max="15090" width="11.7109375" style="1" customWidth="1"/>
    <col min="15091" max="15091" width="15.42578125" style="1" customWidth="1"/>
    <col min="15092" max="15092" width="5.5703125" style="1" customWidth="1"/>
    <col min="15093" max="15093" width="4.7109375" style="1" customWidth="1"/>
    <col min="15094" max="15095" width="7.28515625" style="1" customWidth="1"/>
    <col min="15096" max="15096" width="8.42578125" style="1" customWidth="1"/>
    <col min="15097" max="15097" width="9.5703125" style="1" customWidth="1"/>
    <col min="15098" max="15098" width="6.28515625" style="1" customWidth="1"/>
    <col min="15099" max="15099" width="5.85546875" style="1" customWidth="1"/>
    <col min="15100" max="15101" width="4.42578125" style="1" customWidth="1"/>
    <col min="15102" max="15102" width="5" style="1" customWidth="1"/>
    <col min="15103" max="15103" width="5.85546875" style="1" customWidth="1"/>
    <col min="15104" max="15104" width="6.140625" style="1" customWidth="1"/>
    <col min="15105" max="15105" width="6.28515625" style="1" customWidth="1"/>
    <col min="15106" max="15106" width="4.85546875" style="1" customWidth="1"/>
    <col min="15107" max="15107" width="8.140625" style="1" customWidth="1"/>
    <col min="15108" max="15108" width="11.5703125" style="1" customWidth="1"/>
    <col min="15109" max="15109" width="13.7109375" style="1" customWidth="1"/>
    <col min="15110" max="15110" width="20.85546875" style="1" customWidth="1"/>
    <col min="15111" max="15323" width="11.42578125" style="1"/>
    <col min="15324" max="15324" width="13.140625" style="1" customWidth="1"/>
    <col min="15325" max="15325" width="4" style="1" customWidth="1"/>
    <col min="15326" max="15326" width="12.85546875" style="1" customWidth="1"/>
    <col min="15327" max="15327" width="14.7109375" style="1" customWidth="1"/>
    <col min="15328" max="15328" width="10" style="1" customWidth="1"/>
    <col min="15329" max="15329" width="6.28515625" style="1" customWidth="1"/>
    <col min="15330" max="15330" width="12.28515625" style="1" customWidth="1"/>
    <col min="15331" max="15331" width="8.5703125" style="1" customWidth="1"/>
    <col min="15332" max="15332" width="13.7109375" style="1" customWidth="1"/>
    <col min="15333" max="15333" width="11.5703125" style="1" customWidth="1"/>
    <col min="15334" max="15334" width="24.7109375" style="1" customWidth="1"/>
    <col min="15335" max="15335" width="17.42578125" style="1" customWidth="1"/>
    <col min="15336" max="15336" width="20.85546875" style="1" customWidth="1"/>
    <col min="15337" max="15337" width="26.85546875" style="1" customWidth="1"/>
    <col min="15338" max="15338" width="8" style="1" customWidth="1"/>
    <col min="15339" max="15339" width="25" style="1" customWidth="1"/>
    <col min="15340" max="15340" width="12.7109375" style="1" customWidth="1"/>
    <col min="15341" max="15341" width="16.42578125" style="1" customWidth="1"/>
    <col min="15342" max="15342" width="23.5703125" style="1" customWidth="1"/>
    <col min="15343" max="15343" width="33.7109375" style="1" customWidth="1"/>
    <col min="15344" max="15344" width="31.140625" style="1" customWidth="1"/>
    <col min="15345" max="15345" width="19.28515625" style="1" customWidth="1"/>
    <col min="15346" max="15346" width="11.7109375" style="1" customWidth="1"/>
    <col min="15347" max="15347" width="15.42578125" style="1" customWidth="1"/>
    <col min="15348" max="15348" width="5.5703125" style="1" customWidth="1"/>
    <col min="15349" max="15349" width="4.7109375" style="1" customWidth="1"/>
    <col min="15350" max="15351" width="7.28515625" style="1" customWidth="1"/>
    <col min="15352" max="15352" width="8.42578125" style="1" customWidth="1"/>
    <col min="15353" max="15353" width="9.5703125" style="1" customWidth="1"/>
    <col min="15354" max="15354" width="6.28515625" style="1" customWidth="1"/>
    <col min="15355" max="15355" width="5.85546875" style="1" customWidth="1"/>
    <col min="15356" max="15357" width="4.42578125" style="1" customWidth="1"/>
    <col min="15358" max="15358" width="5" style="1" customWidth="1"/>
    <col min="15359" max="15359" width="5.85546875" style="1" customWidth="1"/>
    <col min="15360" max="15360" width="6.140625" style="1" customWidth="1"/>
    <col min="15361" max="15361" width="6.28515625" style="1" customWidth="1"/>
    <col min="15362" max="15362" width="4.85546875" style="1" customWidth="1"/>
    <col min="15363" max="15363" width="8.140625" style="1" customWidth="1"/>
    <col min="15364" max="15364" width="11.5703125" style="1" customWidth="1"/>
    <col min="15365" max="15365" width="13.7109375" style="1" customWidth="1"/>
    <col min="15366" max="15366" width="20.85546875" style="1" customWidth="1"/>
    <col min="15367" max="15579" width="11.42578125" style="1"/>
    <col min="15580" max="15580" width="13.140625" style="1" customWidth="1"/>
    <col min="15581" max="15581" width="4" style="1" customWidth="1"/>
    <col min="15582" max="15582" width="12.85546875" style="1" customWidth="1"/>
    <col min="15583" max="15583" width="14.7109375" style="1" customWidth="1"/>
    <col min="15584" max="15584" width="10" style="1" customWidth="1"/>
    <col min="15585" max="15585" width="6.28515625" style="1" customWidth="1"/>
    <col min="15586" max="15586" width="12.28515625" style="1" customWidth="1"/>
    <col min="15587" max="15587" width="8.5703125" style="1" customWidth="1"/>
    <col min="15588" max="15588" width="13.7109375" style="1" customWidth="1"/>
    <col min="15589" max="15589" width="11.5703125" style="1" customWidth="1"/>
    <col min="15590" max="15590" width="24.7109375" style="1" customWidth="1"/>
    <col min="15591" max="15591" width="17.42578125" style="1" customWidth="1"/>
    <col min="15592" max="15592" width="20.85546875" style="1" customWidth="1"/>
    <col min="15593" max="15593" width="26.85546875" style="1" customWidth="1"/>
    <col min="15594" max="15594" width="8" style="1" customWidth="1"/>
    <col min="15595" max="15595" width="25" style="1" customWidth="1"/>
    <col min="15596" max="15596" width="12.7109375" style="1" customWidth="1"/>
    <col min="15597" max="15597" width="16.42578125" style="1" customWidth="1"/>
    <col min="15598" max="15598" width="23.5703125" style="1" customWidth="1"/>
    <col min="15599" max="15599" width="33.7109375" style="1" customWidth="1"/>
    <col min="15600" max="15600" width="31.140625" style="1" customWidth="1"/>
    <col min="15601" max="15601" width="19.28515625" style="1" customWidth="1"/>
    <col min="15602" max="15602" width="11.7109375" style="1" customWidth="1"/>
    <col min="15603" max="15603" width="15.42578125" style="1" customWidth="1"/>
    <col min="15604" max="15604" width="5.5703125" style="1" customWidth="1"/>
    <col min="15605" max="15605" width="4.7109375" style="1" customWidth="1"/>
    <col min="15606" max="15607" width="7.28515625" style="1" customWidth="1"/>
    <col min="15608" max="15608" width="8.42578125" style="1" customWidth="1"/>
    <col min="15609" max="15609" width="9.5703125" style="1" customWidth="1"/>
    <col min="15610" max="15610" width="6.28515625" style="1" customWidth="1"/>
    <col min="15611" max="15611" width="5.85546875" style="1" customWidth="1"/>
    <col min="15612" max="15613" width="4.42578125" style="1" customWidth="1"/>
    <col min="15614" max="15614" width="5" style="1" customWidth="1"/>
    <col min="15615" max="15615" width="5.85546875" style="1" customWidth="1"/>
    <col min="15616" max="15616" width="6.140625" style="1" customWidth="1"/>
    <col min="15617" max="15617" width="6.28515625" style="1" customWidth="1"/>
    <col min="15618" max="15618" width="4.85546875" style="1" customWidth="1"/>
    <col min="15619" max="15619" width="8.140625" style="1" customWidth="1"/>
    <col min="15620" max="15620" width="11.5703125" style="1" customWidth="1"/>
    <col min="15621" max="15621" width="13.7109375" style="1" customWidth="1"/>
    <col min="15622" max="15622" width="20.85546875" style="1" customWidth="1"/>
    <col min="15623" max="15835" width="11.42578125" style="1"/>
    <col min="15836" max="15836" width="13.140625" style="1" customWidth="1"/>
    <col min="15837" max="15837" width="4" style="1" customWidth="1"/>
    <col min="15838" max="15838" width="12.85546875" style="1" customWidth="1"/>
    <col min="15839" max="15839" width="14.7109375" style="1" customWidth="1"/>
    <col min="15840" max="15840" width="10" style="1" customWidth="1"/>
    <col min="15841" max="15841" width="6.28515625" style="1" customWidth="1"/>
    <col min="15842" max="15842" width="12.28515625" style="1" customWidth="1"/>
    <col min="15843" max="15843" width="8.5703125" style="1" customWidth="1"/>
    <col min="15844" max="15844" width="13.7109375" style="1" customWidth="1"/>
    <col min="15845" max="15845" width="11.5703125" style="1" customWidth="1"/>
    <col min="15846" max="15846" width="24.7109375" style="1" customWidth="1"/>
    <col min="15847" max="15847" width="17.42578125" style="1" customWidth="1"/>
    <col min="15848" max="15848" width="20.85546875" style="1" customWidth="1"/>
    <col min="15849" max="15849" width="26.85546875" style="1" customWidth="1"/>
    <col min="15850" max="15850" width="8" style="1" customWidth="1"/>
    <col min="15851" max="15851" width="25" style="1" customWidth="1"/>
    <col min="15852" max="15852" width="12.7109375" style="1" customWidth="1"/>
    <col min="15853" max="15853" width="16.42578125" style="1" customWidth="1"/>
    <col min="15854" max="15854" width="23.5703125" style="1" customWidth="1"/>
    <col min="15855" max="15855" width="33.7109375" style="1" customWidth="1"/>
    <col min="15856" max="15856" width="31.140625" style="1" customWidth="1"/>
    <col min="15857" max="15857" width="19.28515625" style="1" customWidth="1"/>
    <col min="15858" max="15858" width="11.7109375" style="1" customWidth="1"/>
    <col min="15859" max="15859" width="15.42578125" style="1" customWidth="1"/>
    <col min="15860" max="15860" width="5.5703125" style="1" customWidth="1"/>
    <col min="15861" max="15861" width="4.7109375" style="1" customWidth="1"/>
    <col min="15862" max="15863" width="7.28515625" style="1" customWidth="1"/>
    <col min="15864" max="15864" width="8.42578125" style="1" customWidth="1"/>
    <col min="15865" max="15865" width="9.5703125" style="1" customWidth="1"/>
    <col min="15866" max="15866" width="6.28515625" style="1" customWidth="1"/>
    <col min="15867" max="15867" width="5.85546875" style="1" customWidth="1"/>
    <col min="15868" max="15869" width="4.42578125" style="1" customWidth="1"/>
    <col min="15870" max="15870" width="5" style="1" customWidth="1"/>
    <col min="15871" max="15871" width="5.85546875" style="1" customWidth="1"/>
    <col min="15872" max="15872" width="6.140625" style="1" customWidth="1"/>
    <col min="15873" max="15873" width="6.28515625" style="1" customWidth="1"/>
    <col min="15874" max="15874" width="4.85546875" style="1" customWidth="1"/>
    <col min="15875" max="15875" width="8.140625" style="1" customWidth="1"/>
    <col min="15876" max="15876" width="11.5703125" style="1" customWidth="1"/>
    <col min="15877" max="15877" width="13.7109375" style="1" customWidth="1"/>
    <col min="15878" max="15878" width="20.85546875" style="1" customWidth="1"/>
    <col min="15879" max="16091" width="11.42578125" style="1"/>
    <col min="16092" max="16092" width="13.140625" style="1" customWidth="1"/>
    <col min="16093" max="16093" width="4" style="1" customWidth="1"/>
    <col min="16094" max="16094" width="12.85546875" style="1" customWidth="1"/>
    <col min="16095" max="16095" width="14.7109375" style="1" customWidth="1"/>
    <col min="16096" max="16096" width="10" style="1" customWidth="1"/>
    <col min="16097" max="16097" width="6.28515625" style="1" customWidth="1"/>
    <col min="16098" max="16098" width="12.28515625" style="1" customWidth="1"/>
    <col min="16099" max="16099" width="8.5703125" style="1" customWidth="1"/>
    <col min="16100" max="16100" width="13.7109375" style="1" customWidth="1"/>
    <col min="16101" max="16101" width="11.5703125" style="1" customWidth="1"/>
    <col min="16102" max="16102" width="24.7109375" style="1" customWidth="1"/>
    <col min="16103" max="16103" width="17.42578125" style="1" customWidth="1"/>
    <col min="16104" max="16104" width="20.85546875" style="1" customWidth="1"/>
    <col min="16105" max="16105" width="26.85546875" style="1" customWidth="1"/>
    <col min="16106" max="16106" width="8" style="1" customWidth="1"/>
    <col min="16107" max="16107" width="25" style="1" customWidth="1"/>
    <col min="16108" max="16108" width="12.7109375" style="1" customWidth="1"/>
    <col min="16109" max="16109" width="16.42578125" style="1" customWidth="1"/>
    <col min="16110" max="16110" width="23.5703125" style="1" customWidth="1"/>
    <col min="16111" max="16111" width="33.7109375" style="1" customWidth="1"/>
    <col min="16112" max="16112" width="31.140625" style="1" customWidth="1"/>
    <col min="16113" max="16113" width="19.28515625" style="1" customWidth="1"/>
    <col min="16114" max="16114" width="11.7109375" style="1" customWidth="1"/>
    <col min="16115" max="16115" width="15.42578125" style="1" customWidth="1"/>
    <col min="16116" max="16116" width="5.5703125" style="1" customWidth="1"/>
    <col min="16117" max="16117" width="4.7109375" style="1" customWidth="1"/>
    <col min="16118" max="16119" width="7.28515625" style="1" customWidth="1"/>
    <col min="16120" max="16120" width="8.42578125" style="1" customWidth="1"/>
    <col min="16121" max="16121" width="9.5703125" style="1" customWidth="1"/>
    <col min="16122" max="16122" width="6.28515625" style="1" customWidth="1"/>
    <col min="16123" max="16123" width="5.85546875" style="1" customWidth="1"/>
    <col min="16124" max="16125" width="4.42578125" style="1" customWidth="1"/>
    <col min="16126" max="16126" width="5" style="1" customWidth="1"/>
    <col min="16127" max="16127" width="5.85546875" style="1" customWidth="1"/>
    <col min="16128" max="16128" width="6.140625" style="1" customWidth="1"/>
    <col min="16129" max="16129" width="6.28515625" style="1" customWidth="1"/>
    <col min="16130" max="16130" width="4.85546875" style="1" customWidth="1"/>
    <col min="16131" max="16131" width="8.140625" style="1" customWidth="1"/>
    <col min="16132" max="16132" width="11.5703125" style="1" customWidth="1"/>
    <col min="16133" max="16133" width="13.7109375" style="1" customWidth="1"/>
    <col min="16134" max="16134" width="20.85546875" style="1" customWidth="1"/>
    <col min="16135" max="16384" width="11.42578125" style="1"/>
  </cols>
  <sheetData>
    <row r="1" spans="1:1376" ht="21" customHeight="1" x14ac:dyDescent="0.2">
      <c r="A1" s="2976" t="s">
        <v>2555</v>
      </c>
      <c r="B1" s="2977"/>
      <c r="C1" s="2977"/>
      <c r="D1" s="2977"/>
      <c r="E1" s="2977"/>
      <c r="F1" s="2977"/>
      <c r="G1" s="2977"/>
      <c r="H1" s="2977"/>
      <c r="I1" s="2977"/>
      <c r="J1" s="2977"/>
      <c r="K1" s="2977"/>
      <c r="L1" s="2977"/>
      <c r="M1" s="2977"/>
      <c r="N1" s="2977"/>
      <c r="O1" s="2977"/>
      <c r="P1" s="2977"/>
      <c r="Q1" s="2977"/>
      <c r="R1" s="2977"/>
      <c r="S1" s="2977"/>
      <c r="T1" s="2977"/>
      <c r="U1" s="2977"/>
      <c r="V1" s="2977"/>
      <c r="W1" s="2977"/>
      <c r="X1" s="2977"/>
      <c r="Y1" s="2977"/>
      <c r="Z1" s="2977"/>
      <c r="AA1" s="2977"/>
      <c r="AB1" s="2977"/>
      <c r="AC1" s="2977"/>
      <c r="AD1" s="2977"/>
      <c r="AE1" s="2977"/>
      <c r="AF1" s="2977"/>
      <c r="AG1" s="2977"/>
      <c r="AH1" s="2977"/>
      <c r="AI1" s="2977"/>
      <c r="AJ1" s="2977"/>
      <c r="AK1" s="2977"/>
      <c r="AL1" s="2977"/>
      <c r="AM1" s="2977"/>
      <c r="AN1" s="2977"/>
      <c r="AO1" s="2977"/>
      <c r="AP1" s="3454"/>
      <c r="AQ1" s="2401" t="s">
        <v>1</v>
      </c>
    </row>
    <row r="2" spans="1:1376" ht="14.25" customHeight="1" x14ac:dyDescent="0.2">
      <c r="A2" s="2978"/>
      <c r="B2" s="2923"/>
      <c r="C2" s="2923"/>
      <c r="D2" s="2923"/>
      <c r="E2" s="2923"/>
      <c r="F2" s="2923"/>
      <c r="G2" s="2923"/>
      <c r="H2" s="2923"/>
      <c r="I2" s="2923"/>
      <c r="J2" s="2923"/>
      <c r="K2" s="2923"/>
      <c r="L2" s="2923"/>
      <c r="M2" s="2923"/>
      <c r="N2" s="2923"/>
      <c r="O2" s="2923"/>
      <c r="P2" s="2923"/>
      <c r="Q2" s="2923"/>
      <c r="R2" s="2923"/>
      <c r="S2" s="2923"/>
      <c r="T2" s="2923"/>
      <c r="U2" s="2923"/>
      <c r="V2" s="2923"/>
      <c r="W2" s="2923"/>
      <c r="X2" s="2923"/>
      <c r="Y2" s="2923"/>
      <c r="Z2" s="2923"/>
      <c r="AA2" s="2923"/>
      <c r="AB2" s="2923"/>
      <c r="AC2" s="2923"/>
      <c r="AD2" s="2923"/>
      <c r="AE2" s="2923"/>
      <c r="AF2" s="2923"/>
      <c r="AG2" s="2923"/>
      <c r="AH2" s="2923"/>
      <c r="AI2" s="2923"/>
      <c r="AJ2" s="2923"/>
      <c r="AK2" s="2923"/>
      <c r="AL2" s="2923"/>
      <c r="AM2" s="2923"/>
      <c r="AN2" s="2923"/>
      <c r="AO2" s="2923"/>
      <c r="AP2" s="3455"/>
      <c r="AQ2" s="2402">
        <v>6</v>
      </c>
    </row>
    <row r="3" spans="1:1376" ht="18" customHeight="1" x14ac:dyDescent="0.2">
      <c r="A3" s="2978"/>
      <c r="B3" s="2923"/>
      <c r="C3" s="2923"/>
      <c r="D3" s="2923"/>
      <c r="E3" s="2923"/>
      <c r="F3" s="2923"/>
      <c r="G3" s="2923"/>
      <c r="H3" s="2923"/>
      <c r="I3" s="2923"/>
      <c r="J3" s="2923"/>
      <c r="K3" s="2923"/>
      <c r="L3" s="2923"/>
      <c r="M3" s="2923"/>
      <c r="N3" s="2923"/>
      <c r="O3" s="2923"/>
      <c r="P3" s="2923"/>
      <c r="Q3" s="2923"/>
      <c r="R3" s="2923"/>
      <c r="S3" s="2923"/>
      <c r="T3" s="2923"/>
      <c r="U3" s="2923"/>
      <c r="V3" s="2923"/>
      <c r="W3" s="2923"/>
      <c r="X3" s="2923"/>
      <c r="Y3" s="2923"/>
      <c r="Z3" s="2923"/>
      <c r="AA3" s="2923"/>
      <c r="AB3" s="2923"/>
      <c r="AC3" s="2923"/>
      <c r="AD3" s="2923"/>
      <c r="AE3" s="2923"/>
      <c r="AF3" s="2923"/>
      <c r="AG3" s="2923"/>
      <c r="AH3" s="2923"/>
      <c r="AI3" s="2923"/>
      <c r="AJ3" s="2923"/>
      <c r="AK3" s="2923"/>
      <c r="AL3" s="2923"/>
      <c r="AM3" s="2923"/>
      <c r="AN3" s="2923"/>
      <c r="AO3" s="2923"/>
      <c r="AP3" s="3455"/>
      <c r="AQ3" s="2403" t="s">
        <v>5</v>
      </c>
    </row>
    <row r="4" spans="1:1376" s="6" customFormat="1" ht="18.75" customHeight="1" x14ac:dyDescent="0.2">
      <c r="A4" s="2979"/>
      <c r="B4" s="2924"/>
      <c r="C4" s="2924"/>
      <c r="D4" s="2924"/>
      <c r="E4" s="2924"/>
      <c r="F4" s="2924"/>
      <c r="G4" s="2924"/>
      <c r="H4" s="2924"/>
      <c r="I4" s="2924"/>
      <c r="J4" s="2924"/>
      <c r="K4" s="2924"/>
      <c r="L4" s="2924"/>
      <c r="M4" s="2924"/>
      <c r="N4" s="2924"/>
      <c r="O4" s="2924"/>
      <c r="P4" s="2924"/>
      <c r="Q4" s="2924"/>
      <c r="R4" s="2924"/>
      <c r="S4" s="2924"/>
      <c r="T4" s="2924"/>
      <c r="U4" s="2924"/>
      <c r="V4" s="2924"/>
      <c r="W4" s="2924"/>
      <c r="X4" s="2924"/>
      <c r="Y4" s="2924"/>
      <c r="Z4" s="2924"/>
      <c r="AA4" s="2924"/>
      <c r="AB4" s="2924"/>
      <c r="AC4" s="2924"/>
      <c r="AD4" s="2924"/>
      <c r="AE4" s="2924"/>
      <c r="AF4" s="2924"/>
      <c r="AG4" s="2924"/>
      <c r="AH4" s="2924"/>
      <c r="AI4" s="2924"/>
      <c r="AJ4" s="2924"/>
      <c r="AK4" s="2924"/>
      <c r="AL4" s="2924"/>
      <c r="AM4" s="2924"/>
      <c r="AN4" s="2924"/>
      <c r="AO4" s="2924"/>
      <c r="AP4" s="3456"/>
      <c r="AQ4" s="2404" t="s">
        <v>162</v>
      </c>
      <c r="AR4" s="2405"/>
      <c r="AS4" s="2405"/>
      <c r="AT4" s="2405"/>
      <c r="AU4" s="2405"/>
      <c r="AV4" s="2405"/>
      <c r="AW4" s="2405"/>
      <c r="AX4" s="2405"/>
      <c r="AY4" s="2405"/>
      <c r="AZ4" s="2405"/>
      <c r="BA4" s="2405"/>
      <c r="BB4" s="2405"/>
      <c r="BC4" s="2405"/>
      <c r="BD4" s="2405"/>
      <c r="BE4" s="2405"/>
      <c r="BF4" s="2405"/>
      <c r="BG4" s="2405"/>
      <c r="BH4" s="2405"/>
      <c r="BI4" s="2405"/>
      <c r="BJ4" s="2405"/>
      <c r="BK4" s="2405"/>
      <c r="BL4" s="2405"/>
      <c r="BM4" s="2405"/>
      <c r="BN4" s="2405"/>
      <c r="BO4" s="2405"/>
      <c r="BP4" s="2405"/>
      <c r="BQ4" s="2405"/>
      <c r="BR4" s="2405"/>
      <c r="BS4" s="2405"/>
      <c r="BT4" s="2405"/>
      <c r="BU4" s="2405"/>
      <c r="BV4" s="2405"/>
      <c r="BW4" s="2405"/>
      <c r="BX4" s="2405"/>
      <c r="BY4" s="2405"/>
      <c r="BZ4" s="2405"/>
      <c r="CA4" s="2405"/>
      <c r="CB4" s="2405"/>
      <c r="CC4" s="2405"/>
      <c r="CD4" s="2405"/>
      <c r="CE4" s="2405"/>
      <c r="CF4" s="2405"/>
      <c r="CG4" s="2405"/>
      <c r="CH4" s="2405"/>
      <c r="CI4" s="2405"/>
      <c r="CJ4" s="2405"/>
      <c r="CK4" s="2405"/>
      <c r="CL4" s="2405"/>
      <c r="CM4" s="2405"/>
      <c r="CN4" s="2405"/>
      <c r="CO4" s="2405"/>
      <c r="CP4" s="2405"/>
      <c r="CQ4" s="2405"/>
      <c r="CR4" s="2405"/>
      <c r="CS4" s="2405"/>
      <c r="CT4" s="2405"/>
      <c r="CU4" s="2405"/>
      <c r="CV4" s="2405"/>
      <c r="CW4" s="2405"/>
      <c r="CX4" s="2405"/>
      <c r="CY4" s="2405"/>
      <c r="CZ4" s="2405"/>
      <c r="DA4" s="2405"/>
      <c r="DB4" s="2405"/>
      <c r="DC4" s="2405"/>
      <c r="DD4" s="2405"/>
      <c r="DE4" s="2405"/>
      <c r="DF4" s="2405"/>
      <c r="DG4" s="2405"/>
      <c r="DH4" s="2405"/>
      <c r="DI4" s="2405"/>
      <c r="DJ4" s="2405"/>
      <c r="DK4" s="2405"/>
      <c r="DL4" s="2405"/>
      <c r="DM4" s="2405"/>
      <c r="DN4" s="2405"/>
      <c r="DO4" s="2405"/>
      <c r="DP4" s="2405"/>
      <c r="DQ4" s="2405"/>
      <c r="DR4" s="2405"/>
      <c r="DS4" s="2405"/>
      <c r="DT4" s="2405"/>
      <c r="DU4" s="2405"/>
      <c r="DV4" s="2405"/>
      <c r="DW4" s="2405"/>
      <c r="DX4" s="2405"/>
      <c r="DY4" s="2405"/>
      <c r="DZ4" s="2405"/>
      <c r="EA4" s="2405"/>
      <c r="EB4" s="2405"/>
      <c r="EC4" s="2405"/>
      <c r="ED4" s="2405"/>
      <c r="EE4" s="2405"/>
      <c r="EF4" s="2405"/>
      <c r="EG4" s="2405"/>
      <c r="EH4" s="2405"/>
      <c r="EI4" s="2405"/>
      <c r="EJ4" s="2405"/>
      <c r="EK4" s="2405"/>
      <c r="EL4" s="2405"/>
      <c r="EM4" s="2405"/>
      <c r="EN4" s="2405"/>
      <c r="EO4" s="2405"/>
      <c r="EP4" s="2405"/>
      <c r="EQ4" s="2405"/>
      <c r="ER4" s="2405"/>
      <c r="ES4" s="2405"/>
      <c r="ET4" s="2405"/>
      <c r="EU4" s="2405"/>
      <c r="EV4" s="2405"/>
      <c r="EW4" s="2405"/>
      <c r="EX4" s="2405"/>
      <c r="EY4" s="2405"/>
      <c r="EZ4" s="2405"/>
      <c r="FA4" s="2405"/>
      <c r="FB4" s="2405"/>
      <c r="FC4" s="2405"/>
      <c r="FD4" s="2405"/>
      <c r="FE4" s="2405"/>
      <c r="FF4" s="2405"/>
      <c r="FG4" s="2405"/>
      <c r="FH4" s="2405"/>
      <c r="FI4" s="2405"/>
      <c r="FJ4" s="2405"/>
      <c r="FK4" s="2405"/>
      <c r="FL4" s="2405"/>
      <c r="FM4" s="2405"/>
      <c r="FN4" s="2405"/>
      <c r="FO4" s="2405"/>
      <c r="FP4" s="2405"/>
      <c r="FQ4" s="2405"/>
      <c r="FR4" s="2405"/>
      <c r="FS4" s="2405"/>
      <c r="FT4" s="2405"/>
      <c r="FU4" s="2405"/>
      <c r="FV4" s="2405"/>
      <c r="FW4" s="2405"/>
      <c r="FX4" s="2405"/>
      <c r="FY4" s="2405"/>
      <c r="FZ4" s="2405"/>
      <c r="GA4" s="2405"/>
      <c r="GB4" s="2405"/>
      <c r="GC4" s="2405"/>
      <c r="GD4" s="2405"/>
      <c r="GE4" s="2405"/>
      <c r="GF4" s="2405"/>
      <c r="GG4" s="2405"/>
      <c r="GH4" s="2405"/>
      <c r="GI4" s="2405"/>
      <c r="GJ4" s="2405"/>
      <c r="GK4" s="2405"/>
      <c r="GL4" s="2405"/>
      <c r="GM4" s="2405"/>
      <c r="GN4" s="2405"/>
      <c r="GO4" s="2405"/>
      <c r="GP4" s="2405"/>
      <c r="GQ4" s="2405"/>
      <c r="GR4" s="2405"/>
      <c r="GS4" s="2405"/>
      <c r="GT4" s="2405"/>
      <c r="GU4" s="2405"/>
      <c r="GV4" s="2405"/>
      <c r="GW4" s="2405"/>
      <c r="GX4" s="2405"/>
      <c r="GY4" s="2405"/>
      <c r="GZ4" s="2405"/>
      <c r="HA4" s="2405"/>
      <c r="HB4" s="2405"/>
      <c r="HC4" s="2405"/>
      <c r="HD4" s="2405"/>
      <c r="HE4" s="2405"/>
      <c r="HF4" s="2405"/>
      <c r="HG4" s="2405"/>
      <c r="HH4" s="2405"/>
      <c r="HI4" s="2405"/>
      <c r="HJ4" s="2405"/>
      <c r="HK4" s="2405"/>
      <c r="HL4" s="2405"/>
      <c r="HM4" s="2405"/>
      <c r="HN4" s="2405"/>
      <c r="HO4" s="2405"/>
      <c r="HP4" s="2405"/>
      <c r="HQ4" s="2405"/>
      <c r="HR4" s="2405"/>
      <c r="HS4" s="2405"/>
      <c r="HT4" s="2405"/>
      <c r="HU4" s="2405"/>
      <c r="HV4" s="2405"/>
      <c r="HW4" s="2405"/>
      <c r="HX4" s="2405"/>
      <c r="HY4" s="2405"/>
      <c r="HZ4" s="2405"/>
      <c r="IA4" s="2405"/>
      <c r="IB4" s="2405"/>
      <c r="IC4" s="2405"/>
      <c r="ID4" s="2405"/>
      <c r="IE4" s="2405"/>
      <c r="IF4" s="2405"/>
      <c r="IG4" s="2405"/>
      <c r="IH4" s="2405"/>
      <c r="II4" s="2405"/>
      <c r="IJ4" s="2405"/>
      <c r="IK4" s="2405"/>
      <c r="IL4" s="2405"/>
      <c r="IM4" s="2405"/>
      <c r="IN4" s="2405"/>
      <c r="IO4" s="2405"/>
      <c r="IP4" s="2405"/>
      <c r="IQ4" s="2405"/>
      <c r="IR4" s="2405"/>
      <c r="IS4" s="2405"/>
      <c r="IT4" s="2405"/>
      <c r="IU4" s="2405"/>
      <c r="IV4" s="2405"/>
      <c r="IW4" s="2405"/>
      <c r="IX4" s="2405"/>
      <c r="IY4" s="2405"/>
      <c r="IZ4" s="2405"/>
      <c r="JA4" s="2405"/>
      <c r="JB4" s="2405"/>
      <c r="JC4" s="2405"/>
      <c r="JD4" s="2405"/>
      <c r="JE4" s="2405"/>
      <c r="JF4" s="2405"/>
      <c r="JG4" s="2405"/>
      <c r="JH4" s="2405"/>
      <c r="JI4" s="2405"/>
      <c r="JJ4" s="2405"/>
      <c r="JK4" s="2405"/>
      <c r="JL4" s="2405"/>
      <c r="JM4" s="2405"/>
      <c r="JN4" s="2405"/>
      <c r="JO4" s="2405"/>
      <c r="JP4" s="2405"/>
      <c r="JQ4" s="2405"/>
      <c r="JR4" s="2405"/>
      <c r="JS4" s="2405"/>
      <c r="JT4" s="2405"/>
      <c r="JU4" s="2405"/>
      <c r="JV4" s="2405"/>
      <c r="JW4" s="2405"/>
      <c r="JX4" s="2405"/>
      <c r="JY4" s="2405"/>
      <c r="JZ4" s="2405"/>
      <c r="KA4" s="2405"/>
      <c r="KB4" s="2405"/>
      <c r="KC4" s="2405"/>
      <c r="KD4" s="2405"/>
      <c r="KE4" s="2405"/>
      <c r="KF4" s="2405"/>
      <c r="KG4" s="2405"/>
      <c r="KH4" s="2405"/>
      <c r="KI4" s="2405"/>
      <c r="KJ4" s="2405"/>
      <c r="KK4" s="2405"/>
      <c r="KL4" s="2405"/>
      <c r="KM4" s="2405"/>
      <c r="KN4" s="2405"/>
      <c r="KO4" s="2405"/>
      <c r="KP4" s="2405"/>
      <c r="KQ4" s="2405"/>
      <c r="KR4" s="2405"/>
      <c r="KS4" s="2405"/>
      <c r="KT4" s="2405"/>
      <c r="KU4" s="2405"/>
      <c r="KV4" s="2405"/>
      <c r="KW4" s="2405"/>
      <c r="KX4" s="2405"/>
      <c r="KY4" s="2405"/>
      <c r="KZ4" s="2405"/>
      <c r="LA4" s="2405"/>
      <c r="LB4" s="2405"/>
      <c r="LC4" s="2405"/>
      <c r="LD4" s="2405"/>
      <c r="LE4" s="2405"/>
      <c r="LF4" s="2405"/>
      <c r="LG4" s="2405"/>
      <c r="LH4" s="2405"/>
      <c r="LI4" s="2405"/>
      <c r="LJ4" s="2405"/>
      <c r="LK4" s="2405"/>
      <c r="LL4" s="2405"/>
      <c r="LM4" s="2405"/>
      <c r="LN4" s="2405"/>
      <c r="LO4" s="2405"/>
      <c r="LP4" s="2405"/>
      <c r="LQ4" s="2405"/>
      <c r="LR4" s="2405"/>
      <c r="LS4" s="2405"/>
      <c r="LT4" s="2405"/>
      <c r="LU4" s="2405"/>
      <c r="LV4" s="2405"/>
      <c r="LW4" s="2405"/>
      <c r="LX4" s="2405"/>
      <c r="LY4" s="2405"/>
      <c r="LZ4" s="2405"/>
      <c r="MA4" s="2405"/>
      <c r="MB4" s="2405"/>
      <c r="MC4" s="2405"/>
      <c r="MD4" s="2405"/>
      <c r="ME4" s="2405"/>
      <c r="MF4" s="2405"/>
      <c r="MG4" s="2405"/>
      <c r="MH4" s="2405"/>
      <c r="MI4" s="2405"/>
      <c r="MJ4" s="2405"/>
      <c r="MK4" s="2405"/>
      <c r="ML4" s="2405"/>
      <c r="MM4" s="2405"/>
      <c r="MN4" s="2405"/>
      <c r="MO4" s="2405"/>
      <c r="MP4" s="2405"/>
      <c r="MQ4" s="2405"/>
      <c r="MR4" s="2405"/>
      <c r="MS4" s="2405"/>
      <c r="MT4" s="2405"/>
      <c r="MU4" s="2405"/>
      <c r="MV4" s="2405"/>
      <c r="MW4" s="2405"/>
      <c r="MX4" s="2405"/>
      <c r="MY4" s="2405"/>
      <c r="MZ4" s="2405"/>
      <c r="NA4" s="2405"/>
      <c r="NB4" s="2405"/>
      <c r="NC4" s="2405"/>
      <c r="ND4" s="2405"/>
      <c r="NE4" s="2405"/>
      <c r="NF4" s="2405"/>
      <c r="NG4" s="2405"/>
      <c r="NH4" s="2405"/>
      <c r="NI4" s="2405"/>
      <c r="NJ4" s="2405"/>
      <c r="NK4" s="2405"/>
      <c r="NL4" s="2405"/>
      <c r="NM4" s="2405"/>
      <c r="NN4" s="2405"/>
      <c r="NO4" s="2405"/>
      <c r="NP4" s="2405"/>
      <c r="NQ4" s="2405"/>
      <c r="NR4" s="2405"/>
      <c r="NS4" s="2405"/>
      <c r="NT4" s="2405"/>
      <c r="NU4" s="2405"/>
      <c r="NV4" s="2405"/>
      <c r="NW4" s="2405"/>
      <c r="NX4" s="2405"/>
      <c r="NY4" s="2405"/>
      <c r="NZ4" s="2405"/>
      <c r="OA4" s="2405"/>
      <c r="OB4" s="2405"/>
      <c r="OC4" s="2405"/>
      <c r="OD4" s="2405"/>
      <c r="OE4" s="2405"/>
      <c r="OF4" s="2405"/>
      <c r="OG4" s="2405"/>
      <c r="OH4" s="2405"/>
      <c r="OI4" s="2405"/>
      <c r="OJ4" s="2405"/>
      <c r="OK4" s="2405"/>
      <c r="OL4" s="2405"/>
      <c r="OM4" s="2405"/>
      <c r="ON4" s="2405"/>
      <c r="OO4" s="2405"/>
      <c r="OP4" s="2405"/>
      <c r="OQ4" s="2405"/>
      <c r="OR4" s="2405"/>
      <c r="OS4" s="2405"/>
      <c r="OT4" s="2405"/>
      <c r="OU4" s="2405"/>
      <c r="OV4" s="2405"/>
      <c r="OW4" s="2405"/>
      <c r="OX4" s="2405"/>
      <c r="OY4" s="2405"/>
      <c r="OZ4" s="2405"/>
      <c r="PA4" s="2405"/>
      <c r="PB4" s="2405"/>
      <c r="PC4" s="2405"/>
      <c r="PD4" s="2405"/>
      <c r="PE4" s="2405"/>
      <c r="PF4" s="2405"/>
      <c r="PG4" s="2405"/>
      <c r="PH4" s="2405"/>
      <c r="PI4" s="2405"/>
      <c r="PJ4" s="2405"/>
      <c r="PK4" s="2405"/>
      <c r="PL4" s="2405"/>
      <c r="PM4" s="2405"/>
      <c r="PN4" s="2405"/>
      <c r="PO4" s="2405"/>
      <c r="PP4" s="2405"/>
      <c r="PQ4" s="2405"/>
      <c r="PR4" s="2405"/>
      <c r="PS4" s="2405"/>
      <c r="PT4" s="2405"/>
      <c r="PU4" s="2405"/>
      <c r="PV4" s="2405"/>
      <c r="PW4" s="2405"/>
      <c r="PX4" s="2405"/>
      <c r="PY4" s="2405"/>
      <c r="PZ4" s="2405"/>
      <c r="QA4" s="2405"/>
      <c r="QB4" s="2405"/>
      <c r="QC4" s="2405"/>
      <c r="QD4" s="2405"/>
      <c r="QE4" s="2405"/>
      <c r="QF4" s="2405"/>
      <c r="QG4" s="2405"/>
      <c r="QH4" s="2405"/>
      <c r="QI4" s="2405"/>
      <c r="QJ4" s="2405"/>
      <c r="QK4" s="2405"/>
      <c r="QL4" s="2405"/>
      <c r="QM4" s="2405"/>
      <c r="QN4" s="2405"/>
      <c r="QO4" s="2405"/>
      <c r="QP4" s="2405"/>
      <c r="QQ4" s="2405"/>
      <c r="QR4" s="2405"/>
      <c r="QS4" s="2405"/>
      <c r="QT4" s="2405"/>
      <c r="QU4" s="2405"/>
      <c r="QV4" s="2405"/>
      <c r="QW4" s="2405"/>
      <c r="QX4" s="2405"/>
      <c r="QY4" s="2405"/>
      <c r="QZ4" s="2405"/>
      <c r="RA4" s="2405"/>
      <c r="RB4" s="2405"/>
      <c r="RC4" s="2405"/>
      <c r="RD4" s="2405"/>
      <c r="RE4" s="2405"/>
      <c r="RF4" s="2405"/>
      <c r="RG4" s="2405"/>
      <c r="RH4" s="2405"/>
      <c r="RI4" s="2405"/>
      <c r="RJ4" s="2405"/>
      <c r="RK4" s="2405"/>
      <c r="RL4" s="2405"/>
      <c r="RM4" s="2405"/>
      <c r="RN4" s="2405"/>
      <c r="RO4" s="2405"/>
      <c r="RP4" s="2405"/>
      <c r="RQ4" s="2405"/>
      <c r="RR4" s="2405"/>
      <c r="RS4" s="2405"/>
      <c r="RT4" s="2405"/>
      <c r="RU4" s="2405"/>
      <c r="RV4" s="2405"/>
      <c r="RW4" s="2405"/>
      <c r="RX4" s="2405"/>
      <c r="RY4" s="2405"/>
      <c r="RZ4" s="2405"/>
      <c r="SA4" s="2405"/>
      <c r="SB4" s="2405"/>
      <c r="SC4" s="2405"/>
      <c r="SD4" s="2405"/>
      <c r="SE4" s="2405"/>
      <c r="SF4" s="2405"/>
      <c r="SG4" s="2405"/>
      <c r="SH4" s="2405"/>
      <c r="SI4" s="2405"/>
      <c r="SJ4" s="2405"/>
      <c r="SK4" s="2405"/>
      <c r="SL4" s="2405"/>
      <c r="SM4" s="2405"/>
      <c r="SN4" s="2405"/>
      <c r="SO4" s="2405"/>
      <c r="SP4" s="2405"/>
      <c r="SQ4" s="2405"/>
      <c r="SR4" s="2405"/>
      <c r="SS4" s="2405"/>
      <c r="ST4" s="2405"/>
      <c r="SU4" s="2405"/>
      <c r="SV4" s="2405"/>
      <c r="SW4" s="2405"/>
      <c r="SX4" s="2405"/>
      <c r="SY4" s="2405"/>
      <c r="SZ4" s="2405"/>
      <c r="TA4" s="2405"/>
      <c r="TB4" s="2405"/>
      <c r="TC4" s="2405"/>
      <c r="TD4" s="2405"/>
      <c r="TE4" s="2405"/>
      <c r="TF4" s="2405"/>
      <c r="TG4" s="2405"/>
      <c r="TH4" s="2405"/>
      <c r="TI4" s="2405"/>
      <c r="TJ4" s="2405"/>
      <c r="TK4" s="2405"/>
      <c r="TL4" s="2405"/>
      <c r="TM4" s="2405"/>
      <c r="TN4" s="2405"/>
      <c r="TO4" s="2405"/>
      <c r="TP4" s="2405"/>
      <c r="TQ4" s="2405"/>
      <c r="TR4" s="2405"/>
      <c r="TS4" s="2405"/>
      <c r="TT4" s="2405"/>
      <c r="TU4" s="2405"/>
      <c r="TV4" s="2405"/>
      <c r="TW4" s="2405"/>
      <c r="TX4" s="2405"/>
      <c r="TY4" s="2405"/>
      <c r="TZ4" s="2405"/>
      <c r="UA4" s="2405"/>
      <c r="UB4" s="2405"/>
      <c r="UC4" s="2405"/>
      <c r="UD4" s="2405"/>
      <c r="UE4" s="2405"/>
      <c r="UF4" s="2405"/>
      <c r="UG4" s="2405"/>
      <c r="UH4" s="2405"/>
      <c r="UI4" s="2405"/>
      <c r="UJ4" s="2405"/>
      <c r="UK4" s="2405"/>
      <c r="UL4" s="2405"/>
      <c r="UM4" s="2405"/>
      <c r="UN4" s="2405"/>
      <c r="UO4" s="2405"/>
      <c r="UP4" s="2405"/>
      <c r="UQ4" s="2405"/>
      <c r="UR4" s="2405"/>
      <c r="US4" s="2405"/>
      <c r="UT4" s="2405"/>
      <c r="UU4" s="2405"/>
      <c r="UV4" s="2405"/>
      <c r="UW4" s="2405"/>
      <c r="UX4" s="2405"/>
      <c r="UY4" s="2405"/>
      <c r="UZ4" s="2405"/>
      <c r="VA4" s="2405"/>
      <c r="VB4" s="2405"/>
      <c r="VC4" s="2405"/>
      <c r="VD4" s="2405"/>
      <c r="VE4" s="2405"/>
      <c r="VF4" s="2405"/>
      <c r="VG4" s="2405"/>
      <c r="VH4" s="2405"/>
      <c r="VI4" s="2405"/>
      <c r="VJ4" s="2405"/>
      <c r="VK4" s="2405"/>
      <c r="VL4" s="2405"/>
      <c r="VM4" s="2405"/>
      <c r="VN4" s="2405"/>
      <c r="VO4" s="2405"/>
      <c r="VP4" s="2405"/>
      <c r="VQ4" s="2405"/>
      <c r="VR4" s="2405"/>
      <c r="VS4" s="2405"/>
      <c r="VT4" s="2405"/>
      <c r="VU4" s="2405"/>
      <c r="VV4" s="2405"/>
      <c r="VW4" s="2405"/>
      <c r="VX4" s="2405"/>
      <c r="VY4" s="2405"/>
      <c r="VZ4" s="2405"/>
      <c r="WA4" s="2405"/>
      <c r="WB4" s="2405"/>
      <c r="WC4" s="2405"/>
      <c r="WD4" s="2405"/>
      <c r="WE4" s="2405"/>
      <c r="WF4" s="2405"/>
      <c r="WG4" s="2405"/>
      <c r="WH4" s="2405"/>
      <c r="WI4" s="2405"/>
      <c r="WJ4" s="2405"/>
      <c r="WK4" s="2405"/>
      <c r="WL4" s="2405"/>
      <c r="WM4" s="2405"/>
      <c r="WN4" s="2405"/>
      <c r="WO4" s="2405"/>
      <c r="WP4" s="2405"/>
      <c r="WQ4" s="2405"/>
      <c r="WR4" s="2405"/>
      <c r="WS4" s="2405"/>
      <c r="WT4" s="2405"/>
      <c r="WU4" s="2405"/>
      <c r="WV4" s="2405"/>
      <c r="WW4" s="2405"/>
      <c r="WX4" s="2405"/>
      <c r="WY4" s="2405"/>
      <c r="WZ4" s="2405"/>
      <c r="XA4" s="2405"/>
      <c r="XB4" s="2405"/>
      <c r="XC4" s="2405"/>
      <c r="XD4" s="2405"/>
      <c r="XE4" s="2405"/>
      <c r="XF4" s="2405"/>
      <c r="XG4" s="2405"/>
      <c r="XH4" s="2405"/>
      <c r="XI4" s="2405"/>
      <c r="XJ4" s="2405"/>
      <c r="XK4" s="2405"/>
      <c r="XL4" s="2405"/>
      <c r="XM4" s="2405"/>
      <c r="XN4" s="2405"/>
      <c r="XO4" s="2405"/>
      <c r="XP4" s="2405"/>
      <c r="XQ4" s="2405"/>
      <c r="XR4" s="2405"/>
      <c r="XS4" s="2405"/>
      <c r="XT4" s="2405"/>
      <c r="XU4" s="2405"/>
      <c r="XV4" s="2405"/>
      <c r="XW4" s="2405"/>
      <c r="XX4" s="2405"/>
      <c r="XY4" s="2405"/>
      <c r="XZ4" s="2405"/>
      <c r="YA4" s="2405"/>
      <c r="YB4" s="2405"/>
      <c r="YC4" s="2405"/>
      <c r="YD4" s="2405"/>
      <c r="YE4" s="2405"/>
      <c r="YF4" s="2405"/>
      <c r="YG4" s="2405"/>
      <c r="YH4" s="2405"/>
      <c r="YI4" s="2405"/>
      <c r="YJ4" s="2405"/>
      <c r="YK4" s="2405"/>
      <c r="YL4" s="2405"/>
      <c r="YM4" s="2405"/>
      <c r="YN4" s="2405"/>
      <c r="YO4" s="2405"/>
      <c r="YP4" s="2405"/>
      <c r="YQ4" s="2405"/>
      <c r="YR4" s="2405"/>
      <c r="YS4" s="2405"/>
      <c r="YT4" s="2405"/>
      <c r="YU4" s="2405"/>
      <c r="YV4" s="2405"/>
      <c r="YW4" s="2405"/>
      <c r="YX4" s="2405"/>
      <c r="YY4" s="2405"/>
      <c r="YZ4" s="2405"/>
      <c r="ZA4" s="2405"/>
      <c r="ZB4" s="2405"/>
      <c r="ZC4" s="2405"/>
      <c r="ZD4" s="2405"/>
      <c r="ZE4" s="2405"/>
      <c r="ZF4" s="2405"/>
      <c r="ZG4" s="2405"/>
      <c r="ZH4" s="2405"/>
      <c r="ZI4" s="2405"/>
      <c r="ZJ4" s="2405"/>
      <c r="ZK4" s="2405"/>
      <c r="ZL4" s="2405"/>
      <c r="ZM4" s="2405"/>
      <c r="ZN4" s="2405"/>
      <c r="ZO4" s="2405"/>
      <c r="ZP4" s="2405"/>
      <c r="ZQ4" s="2405"/>
      <c r="ZR4" s="2405"/>
      <c r="ZS4" s="2405"/>
      <c r="ZT4" s="2405"/>
      <c r="ZU4" s="2405"/>
      <c r="ZV4" s="2405"/>
      <c r="ZW4" s="2405"/>
      <c r="ZX4" s="2405"/>
      <c r="ZY4" s="2405"/>
      <c r="ZZ4" s="2405"/>
      <c r="AAA4" s="2405"/>
      <c r="AAB4" s="2405"/>
      <c r="AAC4" s="2405"/>
      <c r="AAD4" s="2405"/>
      <c r="AAE4" s="2405"/>
      <c r="AAF4" s="2405"/>
      <c r="AAG4" s="2405"/>
      <c r="AAH4" s="2405"/>
      <c r="AAI4" s="2405"/>
      <c r="AAJ4" s="2405"/>
      <c r="AAK4" s="2405"/>
      <c r="AAL4" s="2405"/>
      <c r="AAM4" s="2405"/>
      <c r="AAN4" s="2405"/>
      <c r="AAO4" s="2405"/>
      <c r="AAP4" s="2405"/>
      <c r="AAQ4" s="2405"/>
      <c r="AAR4" s="2405"/>
      <c r="AAS4" s="2405"/>
      <c r="AAT4" s="2405"/>
      <c r="AAU4" s="2405"/>
      <c r="AAV4" s="2405"/>
      <c r="AAW4" s="2405"/>
      <c r="AAX4" s="2405"/>
      <c r="AAY4" s="2405"/>
      <c r="AAZ4" s="2405"/>
      <c r="ABA4" s="2405"/>
      <c r="ABB4" s="2405"/>
      <c r="ABC4" s="2405"/>
      <c r="ABD4" s="2405"/>
      <c r="ABE4" s="2405"/>
      <c r="ABF4" s="2405"/>
      <c r="ABG4" s="2405"/>
      <c r="ABH4" s="2405"/>
      <c r="ABI4" s="2405"/>
      <c r="ABJ4" s="2405"/>
      <c r="ABK4" s="2405"/>
      <c r="ABL4" s="2405"/>
      <c r="ABM4" s="2405"/>
      <c r="ABN4" s="2405"/>
      <c r="ABO4" s="2405"/>
      <c r="ABP4" s="2405"/>
      <c r="ABQ4" s="2405"/>
      <c r="ABR4" s="2405"/>
      <c r="ABS4" s="2405"/>
      <c r="ABT4" s="2405"/>
      <c r="ABU4" s="2405"/>
      <c r="ABV4" s="2405"/>
      <c r="ABW4" s="2405"/>
      <c r="ABX4" s="2405"/>
      <c r="ABY4" s="2405"/>
      <c r="ABZ4" s="2405"/>
      <c r="ACA4" s="2405"/>
      <c r="ACB4" s="2405"/>
      <c r="ACC4" s="2405"/>
      <c r="ACD4" s="2405"/>
      <c r="ACE4" s="2405"/>
      <c r="ACF4" s="2405"/>
      <c r="ACG4" s="2405"/>
      <c r="ACH4" s="2405"/>
      <c r="ACI4" s="2405"/>
      <c r="ACJ4" s="2405"/>
      <c r="ACK4" s="2405"/>
      <c r="ACL4" s="2405"/>
      <c r="ACM4" s="2405"/>
      <c r="ACN4" s="2405"/>
      <c r="ACO4" s="2405"/>
      <c r="ACP4" s="2405"/>
      <c r="ACQ4" s="2405"/>
      <c r="ACR4" s="2405"/>
      <c r="ACS4" s="2405"/>
      <c r="ACT4" s="2405"/>
      <c r="ACU4" s="2405"/>
      <c r="ACV4" s="2405"/>
      <c r="ACW4" s="2405"/>
      <c r="ACX4" s="2405"/>
      <c r="ACY4" s="2405"/>
      <c r="ACZ4" s="2405"/>
      <c r="ADA4" s="2405"/>
      <c r="ADB4" s="2405"/>
      <c r="ADC4" s="2405"/>
      <c r="ADD4" s="2405"/>
      <c r="ADE4" s="2405"/>
      <c r="ADF4" s="2405"/>
      <c r="ADG4" s="2405"/>
      <c r="ADH4" s="2405"/>
      <c r="ADI4" s="2405"/>
      <c r="ADJ4" s="2405"/>
      <c r="ADK4" s="2405"/>
      <c r="ADL4" s="2405"/>
      <c r="ADM4" s="2405"/>
      <c r="ADN4" s="2405"/>
      <c r="ADO4" s="2405"/>
      <c r="ADP4" s="2405"/>
      <c r="ADQ4" s="2405"/>
      <c r="ADR4" s="2405"/>
      <c r="ADS4" s="2405"/>
      <c r="ADT4" s="2405"/>
      <c r="ADU4" s="2405"/>
      <c r="ADV4" s="2405"/>
      <c r="ADW4" s="2405"/>
      <c r="ADX4" s="2405"/>
      <c r="ADY4" s="2405"/>
      <c r="ADZ4" s="2405"/>
      <c r="AEA4" s="2405"/>
      <c r="AEB4" s="2405"/>
      <c r="AEC4" s="2405"/>
      <c r="AED4" s="2405"/>
      <c r="AEE4" s="2405"/>
      <c r="AEF4" s="2405"/>
      <c r="AEG4" s="2405"/>
      <c r="AEH4" s="2405"/>
      <c r="AEI4" s="2405"/>
      <c r="AEJ4" s="2405"/>
      <c r="AEK4" s="2405"/>
      <c r="AEL4" s="2405"/>
      <c r="AEM4" s="2405"/>
      <c r="AEN4" s="2405"/>
      <c r="AEO4" s="2405"/>
      <c r="AEP4" s="2405"/>
      <c r="AEQ4" s="2405"/>
      <c r="AER4" s="2405"/>
      <c r="AES4" s="2405"/>
      <c r="AET4" s="2405"/>
      <c r="AEU4" s="2405"/>
      <c r="AEV4" s="2405"/>
      <c r="AEW4" s="2405"/>
      <c r="AEX4" s="2405"/>
      <c r="AEY4" s="2405"/>
      <c r="AEZ4" s="2405"/>
      <c r="AFA4" s="2405"/>
      <c r="AFB4" s="2405"/>
      <c r="AFC4" s="2405"/>
      <c r="AFD4" s="2405"/>
      <c r="AFE4" s="2405"/>
      <c r="AFF4" s="2405"/>
      <c r="AFG4" s="2405"/>
      <c r="AFH4" s="2405"/>
      <c r="AFI4" s="2405"/>
      <c r="AFJ4" s="2405"/>
      <c r="AFK4" s="2405"/>
      <c r="AFL4" s="2405"/>
      <c r="AFM4" s="2405"/>
      <c r="AFN4" s="2405"/>
      <c r="AFO4" s="2405"/>
      <c r="AFP4" s="2405"/>
      <c r="AFQ4" s="2405"/>
      <c r="AFR4" s="2405"/>
      <c r="AFS4" s="2405"/>
      <c r="AFT4" s="2405"/>
      <c r="AFU4" s="2405"/>
      <c r="AFV4" s="2405"/>
      <c r="AFW4" s="2405"/>
      <c r="AFX4" s="2405"/>
      <c r="AFY4" s="2405"/>
      <c r="AFZ4" s="2405"/>
      <c r="AGA4" s="2405"/>
      <c r="AGB4" s="2405"/>
      <c r="AGC4" s="2405"/>
      <c r="AGD4" s="2405"/>
      <c r="AGE4" s="2405"/>
      <c r="AGF4" s="2405"/>
      <c r="AGG4" s="2405"/>
      <c r="AGH4" s="2405"/>
      <c r="AGI4" s="2405"/>
      <c r="AGJ4" s="2405"/>
      <c r="AGK4" s="2405"/>
      <c r="AGL4" s="2405"/>
      <c r="AGM4" s="2405"/>
      <c r="AGN4" s="2405"/>
      <c r="AGO4" s="2405"/>
      <c r="AGP4" s="2405"/>
      <c r="AGQ4" s="2405"/>
      <c r="AGR4" s="2405"/>
      <c r="AGS4" s="2405"/>
      <c r="AGT4" s="2405"/>
      <c r="AGU4" s="2405"/>
      <c r="AGV4" s="2405"/>
      <c r="AGW4" s="2405"/>
      <c r="AGX4" s="2405"/>
      <c r="AGY4" s="2405"/>
      <c r="AGZ4" s="2405"/>
      <c r="AHA4" s="2405"/>
      <c r="AHB4" s="2405"/>
      <c r="AHC4" s="2405"/>
      <c r="AHD4" s="2405"/>
      <c r="AHE4" s="2405"/>
      <c r="AHF4" s="2405"/>
      <c r="AHG4" s="2405"/>
      <c r="AHH4" s="2405"/>
      <c r="AHI4" s="2405"/>
      <c r="AHJ4" s="2405"/>
      <c r="AHK4" s="2405"/>
      <c r="AHL4" s="2405"/>
      <c r="AHM4" s="2405"/>
      <c r="AHN4" s="2405"/>
      <c r="AHO4" s="2405"/>
      <c r="AHP4" s="2405"/>
      <c r="AHQ4" s="2405"/>
      <c r="AHR4" s="2405"/>
      <c r="AHS4" s="2405"/>
      <c r="AHT4" s="2405"/>
      <c r="AHU4" s="2405"/>
      <c r="AHV4" s="2405"/>
      <c r="AHW4" s="2405"/>
      <c r="AHX4" s="2405"/>
      <c r="AHY4" s="2405"/>
      <c r="AHZ4" s="2405"/>
      <c r="AIA4" s="2405"/>
      <c r="AIB4" s="2405"/>
      <c r="AIC4" s="2405"/>
      <c r="AID4" s="2405"/>
      <c r="AIE4" s="2405"/>
      <c r="AIF4" s="2405"/>
      <c r="AIG4" s="2405"/>
      <c r="AIH4" s="2405"/>
      <c r="AII4" s="2405"/>
      <c r="AIJ4" s="2405"/>
      <c r="AIK4" s="2405"/>
      <c r="AIL4" s="2405"/>
      <c r="AIM4" s="2405"/>
      <c r="AIN4" s="2405"/>
      <c r="AIO4" s="2405"/>
      <c r="AIP4" s="2405"/>
      <c r="AIQ4" s="2405"/>
      <c r="AIR4" s="2405"/>
      <c r="AIS4" s="2405"/>
      <c r="AIT4" s="2405"/>
      <c r="AIU4" s="2405"/>
      <c r="AIV4" s="2405"/>
      <c r="AIW4" s="2405"/>
      <c r="AIX4" s="2405"/>
      <c r="AIY4" s="2405"/>
      <c r="AIZ4" s="2405"/>
      <c r="AJA4" s="2405"/>
      <c r="AJB4" s="2405"/>
      <c r="AJC4" s="2405"/>
      <c r="AJD4" s="2405"/>
      <c r="AJE4" s="2405"/>
      <c r="AJF4" s="2405"/>
      <c r="AJG4" s="2405"/>
      <c r="AJH4" s="2405"/>
      <c r="AJI4" s="2405"/>
      <c r="AJJ4" s="2405"/>
      <c r="AJK4" s="2405"/>
      <c r="AJL4" s="2405"/>
      <c r="AJM4" s="2405"/>
      <c r="AJN4" s="2405"/>
      <c r="AJO4" s="2405"/>
      <c r="AJP4" s="2405"/>
      <c r="AJQ4" s="2405"/>
      <c r="AJR4" s="2405"/>
      <c r="AJS4" s="2405"/>
      <c r="AJT4" s="2405"/>
      <c r="AJU4" s="2405"/>
      <c r="AJV4" s="2405"/>
      <c r="AJW4" s="2405"/>
      <c r="AJX4" s="2405"/>
      <c r="AJY4" s="2405"/>
      <c r="AJZ4" s="2405"/>
      <c r="AKA4" s="2405"/>
      <c r="AKB4" s="2405"/>
      <c r="AKC4" s="2405"/>
      <c r="AKD4" s="2405"/>
      <c r="AKE4" s="2405"/>
      <c r="AKF4" s="2405"/>
      <c r="AKG4" s="2405"/>
      <c r="AKH4" s="2405"/>
      <c r="AKI4" s="2405"/>
      <c r="AKJ4" s="2405"/>
      <c r="AKK4" s="2405"/>
      <c r="AKL4" s="2405"/>
      <c r="AKM4" s="2405"/>
      <c r="AKN4" s="2405"/>
      <c r="AKO4" s="2405"/>
      <c r="AKP4" s="2405"/>
      <c r="AKQ4" s="2405"/>
      <c r="AKR4" s="2405"/>
      <c r="AKS4" s="2405"/>
      <c r="AKT4" s="2405"/>
      <c r="AKU4" s="2405"/>
      <c r="AKV4" s="2405"/>
      <c r="AKW4" s="2405"/>
      <c r="AKX4" s="2405"/>
      <c r="AKY4" s="2405"/>
      <c r="AKZ4" s="2405"/>
      <c r="ALA4" s="2405"/>
      <c r="ALB4" s="2405"/>
      <c r="ALC4" s="2405"/>
      <c r="ALD4" s="2405"/>
      <c r="ALE4" s="2405"/>
      <c r="ALF4" s="2405"/>
      <c r="ALG4" s="2405"/>
      <c r="ALH4" s="2405"/>
      <c r="ALI4" s="2405"/>
      <c r="ALJ4" s="2405"/>
      <c r="ALK4" s="2405"/>
      <c r="ALL4" s="2405"/>
      <c r="ALM4" s="2405"/>
      <c r="ALN4" s="2405"/>
      <c r="ALO4" s="2405"/>
      <c r="ALP4" s="2405"/>
      <c r="ALQ4" s="2405"/>
      <c r="ALR4" s="2405"/>
      <c r="ALS4" s="2405"/>
      <c r="ALT4" s="2405"/>
      <c r="ALU4" s="2405"/>
      <c r="ALV4" s="2405"/>
      <c r="ALW4" s="2405"/>
      <c r="ALX4" s="2405"/>
      <c r="ALY4" s="2405"/>
      <c r="ALZ4" s="2405"/>
      <c r="AMA4" s="2405"/>
      <c r="AMB4" s="2405"/>
      <c r="AMC4" s="2405"/>
      <c r="AMD4" s="2405"/>
      <c r="AME4" s="2405"/>
      <c r="AMF4" s="2405"/>
      <c r="AMG4" s="2405"/>
      <c r="AMH4" s="2405"/>
      <c r="AMI4" s="2405"/>
      <c r="AMJ4" s="2405"/>
      <c r="AMK4" s="2405"/>
      <c r="AML4" s="2405"/>
      <c r="AMM4" s="2405"/>
      <c r="AMN4" s="2405"/>
      <c r="AMO4" s="2405"/>
      <c r="AMP4" s="2405"/>
      <c r="AMQ4" s="2405"/>
      <c r="AMR4" s="2405"/>
      <c r="AMS4" s="2405"/>
      <c r="AMT4" s="2405"/>
      <c r="AMU4" s="2405"/>
      <c r="AMV4" s="2405"/>
      <c r="AMW4" s="2405"/>
      <c r="AMX4" s="2405"/>
      <c r="AMY4" s="2405"/>
      <c r="AMZ4" s="2405"/>
      <c r="ANA4" s="2405"/>
      <c r="ANB4" s="2405"/>
      <c r="ANC4" s="2405"/>
      <c r="AND4" s="2405"/>
      <c r="ANE4" s="2405"/>
      <c r="ANF4" s="2405"/>
      <c r="ANG4" s="2405"/>
      <c r="ANH4" s="2405"/>
      <c r="ANI4" s="2405"/>
      <c r="ANJ4" s="2405"/>
      <c r="ANK4" s="2405"/>
      <c r="ANL4" s="2405"/>
      <c r="ANM4" s="2405"/>
      <c r="ANN4" s="2405"/>
      <c r="ANO4" s="2405"/>
      <c r="ANP4" s="2405"/>
      <c r="ANQ4" s="2405"/>
      <c r="ANR4" s="2405"/>
      <c r="ANS4" s="2405"/>
      <c r="ANT4" s="2405"/>
      <c r="ANU4" s="2405"/>
      <c r="ANV4" s="2405"/>
      <c r="ANW4" s="2405"/>
      <c r="ANX4" s="2405"/>
      <c r="ANY4" s="2405"/>
      <c r="ANZ4" s="2405"/>
      <c r="AOA4" s="2405"/>
      <c r="AOB4" s="2405"/>
      <c r="AOC4" s="2405"/>
      <c r="AOD4" s="2405"/>
      <c r="AOE4" s="2405"/>
      <c r="AOF4" s="2405"/>
      <c r="AOG4" s="2405"/>
      <c r="AOH4" s="2405"/>
      <c r="AOI4" s="2405"/>
      <c r="AOJ4" s="2405"/>
      <c r="AOK4" s="2405"/>
      <c r="AOL4" s="2405"/>
      <c r="AOM4" s="2405"/>
      <c r="AON4" s="2405"/>
      <c r="AOO4" s="2405"/>
      <c r="AOP4" s="2405"/>
      <c r="AOQ4" s="2405"/>
      <c r="AOR4" s="2405"/>
      <c r="AOS4" s="2405"/>
      <c r="AOT4" s="2405"/>
      <c r="AOU4" s="2405"/>
      <c r="AOV4" s="2405"/>
      <c r="AOW4" s="2405"/>
      <c r="AOX4" s="2405"/>
      <c r="AOY4" s="2405"/>
      <c r="AOZ4" s="2405"/>
      <c r="APA4" s="2405"/>
      <c r="APB4" s="2405"/>
      <c r="APC4" s="2405"/>
      <c r="APD4" s="2405"/>
      <c r="APE4" s="2405"/>
      <c r="APF4" s="2405"/>
      <c r="APG4" s="2405"/>
      <c r="APH4" s="2405"/>
      <c r="API4" s="2405"/>
      <c r="APJ4" s="2405"/>
      <c r="APK4" s="2405"/>
      <c r="APL4" s="2405"/>
      <c r="APM4" s="2405"/>
      <c r="APN4" s="2405"/>
      <c r="APO4" s="2405"/>
      <c r="APP4" s="2405"/>
      <c r="APQ4" s="2405"/>
      <c r="APR4" s="2405"/>
      <c r="APS4" s="2405"/>
      <c r="APT4" s="2405"/>
      <c r="APU4" s="2405"/>
      <c r="APV4" s="2405"/>
      <c r="APW4" s="2405"/>
      <c r="APX4" s="2405"/>
      <c r="APY4" s="2405"/>
      <c r="APZ4" s="2405"/>
      <c r="AQA4" s="2405"/>
      <c r="AQB4" s="2405"/>
      <c r="AQC4" s="2405"/>
      <c r="AQD4" s="2405"/>
      <c r="AQE4" s="2405"/>
      <c r="AQF4" s="2405"/>
      <c r="AQG4" s="2405"/>
      <c r="AQH4" s="2405"/>
      <c r="AQI4" s="2405"/>
      <c r="AQJ4" s="2405"/>
      <c r="AQK4" s="2405"/>
      <c r="AQL4" s="2405"/>
      <c r="AQM4" s="2405"/>
      <c r="AQN4" s="2405"/>
      <c r="AQO4" s="2405"/>
      <c r="AQP4" s="2405"/>
      <c r="AQQ4" s="2405"/>
      <c r="AQR4" s="2405"/>
      <c r="AQS4" s="2405"/>
      <c r="AQT4" s="2405"/>
      <c r="AQU4" s="2405"/>
      <c r="AQV4" s="2405"/>
      <c r="AQW4" s="2405"/>
      <c r="AQX4" s="2405"/>
      <c r="AQY4" s="2405"/>
      <c r="AQZ4" s="2405"/>
      <c r="ARA4" s="2405"/>
      <c r="ARB4" s="2405"/>
      <c r="ARC4" s="2405"/>
      <c r="ARD4" s="2405"/>
      <c r="ARE4" s="2405"/>
      <c r="ARF4" s="2405"/>
      <c r="ARG4" s="2405"/>
      <c r="ARH4" s="2405"/>
      <c r="ARI4" s="2405"/>
      <c r="ARJ4" s="2405"/>
      <c r="ARK4" s="2405"/>
      <c r="ARL4" s="2405"/>
      <c r="ARM4" s="2405"/>
      <c r="ARN4" s="2405"/>
      <c r="ARO4" s="2405"/>
      <c r="ARP4" s="2405"/>
      <c r="ARQ4" s="2405"/>
      <c r="ARR4" s="2405"/>
      <c r="ARS4" s="2405"/>
      <c r="ART4" s="2405"/>
      <c r="ARU4" s="2405"/>
      <c r="ARV4" s="2405"/>
      <c r="ARW4" s="2405"/>
      <c r="ARX4" s="2405"/>
      <c r="ARY4" s="2405"/>
      <c r="ARZ4" s="2405"/>
      <c r="ASA4" s="2405"/>
      <c r="ASB4" s="2405"/>
      <c r="ASC4" s="2405"/>
      <c r="ASD4" s="2405"/>
      <c r="ASE4" s="2405"/>
      <c r="ASF4" s="2405"/>
      <c r="ASG4" s="2405"/>
      <c r="ASH4" s="2405"/>
      <c r="ASI4" s="2405"/>
      <c r="ASJ4" s="2405"/>
      <c r="ASK4" s="2405"/>
      <c r="ASL4" s="2405"/>
      <c r="ASM4" s="2405"/>
      <c r="ASN4" s="2405"/>
      <c r="ASO4" s="2405"/>
      <c r="ASP4" s="2405"/>
      <c r="ASQ4" s="2405"/>
      <c r="ASR4" s="2405"/>
      <c r="ASS4" s="2405"/>
      <c r="AST4" s="2405"/>
      <c r="ASU4" s="2405"/>
      <c r="ASV4" s="2405"/>
      <c r="ASW4" s="2405"/>
      <c r="ASX4" s="2405"/>
      <c r="ASY4" s="2405"/>
      <c r="ASZ4" s="2405"/>
      <c r="ATA4" s="2405"/>
      <c r="ATB4" s="2405"/>
      <c r="ATC4" s="2405"/>
      <c r="ATD4" s="2405"/>
      <c r="ATE4" s="2405"/>
      <c r="ATF4" s="2405"/>
      <c r="ATG4" s="2405"/>
      <c r="ATH4" s="2405"/>
      <c r="ATI4" s="2405"/>
      <c r="ATJ4" s="2405"/>
      <c r="ATK4" s="2405"/>
      <c r="ATL4" s="2405"/>
      <c r="ATM4" s="2405"/>
      <c r="ATN4" s="2405"/>
      <c r="ATO4" s="2405"/>
      <c r="ATP4" s="2405"/>
      <c r="ATQ4" s="2405"/>
      <c r="ATR4" s="2405"/>
      <c r="ATS4" s="2405"/>
      <c r="ATT4" s="2405"/>
      <c r="ATU4" s="2405"/>
      <c r="ATV4" s="2405"/>
      <c r="ATW4" s="2405"/>
      <c r="ATX4" s="2405"/>
      <c r="ATY4" s="2405"/>
      <c r="ATZ4" s="2405"/>
      <c r="AUA4" s="2405"/>
      <c r="AUB4" s="2405"/>
      <c r="AUC4" s="2405"/>
      <c r="AUD4" s="2405"/>
      <c r="AUE4" s="2405"/>
      <c r="AUF4" s="2405"/>
      <c r="AUG4" s="2405"/>
      <c r="AUH4" s="2405"/>
      <c r="AUI4" s="2405"/>
      <c r="AUJ4" s="2405"/>
      <c r="AUK4" s="2405"/>
      <c r="AUL4" s="2405"/>
      <c r="AUM4" s="2405"/>
      <c r="AUN4" s="2405"/>
      <c r="AUO4" s="2405"/>
      <c r="AUP4" s="2405"/>
      <c r="AUQ4" s="2405"/>
      <c r="AUR4" s="2405"/>
      <c r="AUS4" s="2405"/>
      <c r="AUT4" s="2405"/>
      <c r="AUU4" s="2405"/>
      <c r="AUV4" s="2405"/>
      <c r="AUW4" s="2405"/>
      <c r="AUX4" s="2405"/>
      <c r="AUY4" s="2405"/>
      <c r="AUZ4" s="2405"/>
      <c r="AVA4" s="2405"/>
      <c r="AVB4" s="2405"/>
      <c r="AVC4" s="2405"/>
      <c r="AVD4" s="2405"/>
      <c r="AVE4" s="2405"/>
      <c r="AVF4" s="2405"/>
      <c r="AVG4" s="2405"/>
      <c r="AVH4" s="2405"/>
      <c r="AVI4" s="2405"/>
      <c r="AVJ4" s="2405"/>
      <c r="AVK4" s="2405"/>
      <c r="AVL4" s="2405"/>
      <c r="AVM4" s="2405"/>
      <c r="AVN4" s="2405"/>
      <c r="AVO4" s="2405"/>
      <c r="AVP4" s="2405"/>
      <c r="AVQ4" s="2405"/>
      <c r="AVR4" s="2405"/>
      <c r="AVS4" s="2405"/>
      <c r="AVT4" s="2405"/>
      <c r="AVU4" s="2405"/>
      <c r="AVV4" s="2405"/>
      <c r="AVW4" s="2405"/>
      <c r="AVX4" s="2405"/>
      <c r="AVY4" s="2405"/>
      <c r="AVZ4" s="2405"/>
      <c r="AWA4" s="2405"/>
      <c r="AWB4" s="2405"/>
      <c r="AWC4" s="2405"/>
      <c r="AWD4" s="2405"/>
      <c r="AWE4" s="2405"/>
      <c r="AWF4" s="2405"/>
      <c r="AWG4" s="2405"/>
      <c r="AWH4" s="2405"/>
      <c r="AWI4" s="2405"/>
      <c r="AWJ4" s="2405"/>
      <c r="AWK4" s="2405"/>
      <c r="AWL4" s="2405"/>
      <c r="AWM4" s="2405"/>
      <c r="AWN4" s="2405"/>
      <c r="AWO4" s="2405"/>
      <c r="AWP4" s="2405"/>
      <c r="AWQ4" s="2405"/>
      <c r="AWR4" s="2405"/>
      <c r="AWS4" s="2405"/>
      <c r="AWT4" s="2405"/>
      <c r="AWU4" s="2405"/>
      <c r="AWV4" s="2405"/>
      <c r="AWW4" s="2405"/>
      <c r="AWX4" s="2405"/>
      <c r="AWY4" s="2405"/>
      <c r="AWZ4" s="2405"/>
      <c r="AXA4" s="2405"/>
      <c r="AXB4" s="2405"/>
      <c r="AXC4" s="2405"/>
      <c r="AXD4" s="2405"/>
      <c r="AXE4" s="2405"/>
      <c r="AXF4" s="2405"/>
      <c r="AXG4" s="2405"/>
      <c r="AXH4" s="2405"/>
      <c r="AXI4" s="2405"/>
      <c r="AXJ4" s="2405"/>
      <c r="AXK4" s="2405"/>
      <c r="AXL4" s="2405"/>
      <c r="AXM4" s="2405"/>
      <c r="AXN4" s="2405"/>
      <c r="AXO4" s="2405"/>
      <c r="AXP4" s="2405"/>
      <c r="AXQ4" s="2405"/>
      <c r="AXR4" s="2405"/>
      <c r="AXS4" s="2405"/>
      <c r="AXT4" s="2405"/>
      <c r="AXU4" s="2405"/>
      <c r="AXV4" s="2405"/>
      <c r="AXW4" s="2405"/>
      <c r="AXX4" s="2405"/>
      <c r="AXY4" s="2405"/>
      <c r="AXZ4" s="2405"/>
      <c r="AYA4" s="2405"/>
      <c r="AYB4" s="2405"/>
      <c r="AYC4" s="2405"/>
      <c r="AYD4" s="2405"/>
      <c r="AYE4" s="2405"/>
      <c r="AYF4" s="2405"/>
      <c r="AYG4" s="2405"/>
      <c r="AYH4" s="2405"/>
      <c r="AYI4" s="2405"/>
      <c r="AYJ4" s="2405"/>
      <c r="AYK4" s="2405"/>
      <c r="AYL4" s="2405"/>
      <c r="AYM4" s="2405"/>
      <c r="AYN4" s="2405"/>
      <c r="AYO4" s="2405"/>
      <c r="AYP4" s="2405"/>
      <c r="AYQ4" s="2405"/>
      <c r="AYR4" s="2405"/>
      <c r="AYS4" s="2405"/>
      <c r="AYT4" s="2405"/>
      <c r="AYU4" s="2405"/>
      <c r="AYV4" s="2405"/>
      <c r="AYW4" s="2405"/>
      <c r="AYX4" s="2405"/>
      <c r="AYY4" s="2405"/>
      <c r="AYZ4" s="2405"/>
      <c r="AZA4" s="2405"/>
      <c r="AZB4" s="2405"/>
      <c r="AZC4" s="2405"/>
      <c r="AZD4" s="2405"/>
      <c r="AZE4" s="2405"/>
      <c r="AZF4" s="2405"/>
      <c r="AZG4" s="2405"/>
      <c r="AZH4" s="2405"/>
      <c r="AZI4" s="2405"/>
      <c r="AZJ4" s="2405"/>
      <c r="AZK4" s="2405"/>
      <c r="AZL4" s="2405"/>
      <c r="AZM4" s="2405"/>
      <c r="AZN4" s="2405"/>
      <c r="AZO4" s="2405"/>
      <c r="AZP4" s="2405"/>
      <c r="AZQ4" s="2405"/>
      <c r="AZR4" s="2405"/>
      <c r="AZS4" s="2405"/>
      <c r="AZT4" s="2405"/>
      <c r="AZU4" s="2405"/>
      <c r="AZV4" s="2405"/>
      <c r="AZW4" s="2405"/>
      <c r="AZX4" s="2405"/>
    </row>
    <row r="5" spans="1:1376" ht="16.5" customHeight="1" x14ac:dyDescent="0.2">
      <c r="A5" s="2980" t="s">
        <v>8</v>
      </c>
      <c r="B5" s="2925"/>
      <c r="C5" s="2925"/>
      <c r="D5" s="2925"/>
      <c r="E5" s="2925"/>
      <c r="F5" s="2925"/>
      <c r="G5" s="2925"/>
      <c r="H5" s="2925"/>
      <c r="I5" s="2925"/>
      <c r="J5" s="2925"/>
      <c r="K5" s="2925"/>
      <c r="L5" s="2925"/>
      <c r="M5" s="2925"/>
      <c r="N5" s="2926" t="s">
        <v>9</v>
      </c>
      <c r="O5" s="2926"/>
      <c r="P5" s="2926"/>
      <c r="Q5" s="2926"/>
      <c r="R5" s="2926"/>
      <c r="S5" s="2926"/>
      <c r="T5" s="2926"/>
      <c r="U5" s="2926"/>
      <c r="V5" s="2926"/>
      <c r="W5" s="2926"/>
      <c r="X5" s="2926"/>
      <c r="Y5" s="2926"/>
      <c r="Z5" s="2926"/>
      <c r="AA5" s="2926"/>
      <c r="AB5" s="2926"/>
      <c r="AC5" s="2926"/>
      <c r="AD5" s="2926"/>
      <c r="AE5" s="2926"/>
      <c r="AF5" s="2926"/>
      <c r="AG5" s="2926"/>
      <c r="AH5" s="2926"/>
      <c r="AI5" s="2926"/>
      <c r="AJ5" s="2926"/>
      <c r="AK5" s="2926"/>
      <c r="AL5" s="2926"/>
      <c r="AM5" s="2926"/>
      <c r="AN5" s="2926"/>
      <c r="AO5" s="2926"/>
      <c r="AP5" s="2926"/>
      <c r="AQ5" s="2926"/>
    </row>
    <row r="6" spans="1:1376" ht="16.5" customHeight="1" x14ac:dyDescent="0.25">
      <c r="A6" s="2981"/>
      <c r="B6" s="2982"/>
      <c r="C6" s="2982"/>
      <c r="D6" s="2982"/>
      <c r="E6" s="2982"/>
      <c r="F6" s="2982"/>
      <c r="G6" s="2982"/>
      <c r="H6" s="2982"/>
      <c r="I6" s="2982"/>
      <c r="J6" s="2982"/>
      <c r="K6" s="2982"/>
      <c r="L6" s="2982"/>
      <c r="M6" s="2982"/>
      <c r="N6" s="398"/>
      <c r="O6" s="314"/>
      <c r="P6" s="250"/>
      <c r="Q6" s="251"/>
      <c r="R6" s="2406"/>
      <c r="S6" s="250"/>
      <c r="T6" s="250"/>
      <c r="U6" s="250"/>
      <c r="V6" s="251"/>
      <c r="W6" s="251"/>
      <c r="X6" s="251"/>
      <c r="Y6" s="2984" t="s">
        <v>10</v>
      </c>
      <c r="Z6" s="2982"/>
      <c r="AA6" s="2982"/>
      <c r="AB6" s="2982"/>
      <c r="AC6" s="2982"/>
      <c r="AD6" s="2982"/>
      <c r="AE6" s="2982"/>
      <c r="AF6" s="2982"/>
      <c r="AG6" s="2982"/>
      <c r="AH6" s="2982"/>
      <c r="AI6" s="2982"/>
      <c r="AJ6" s="2982"/>
      <c r="AK6" s="2982"/>
      <c r="AL6" s="2982"/>
      <c r="AM6" s="2982"/>
      <c r="AN6" s="1690"/>
      <c r="AO6" s="399"/>
      <c r="AP6" s="399"/>
      <c r="AQ6" s="2407"/>
    </row>
    <row r="7" spans="1:1376" s="2018" customFormat="1" ht="45.75" customHeight="1" x14ac:dyDescent="0.2">
      <c r="A7" s="2986" t="s">
        <v>11</v>
      </c>
      <c r="B7" s="2930" t="s">
        <v>12</v>
      </c>
      <c r="C7" s="2931"/>
      <c r="D7" s="2931" t="s">
        <v>11</v>
      </c>
      <c r="E7" s="2930" t="s">
        <v>13</v>
      </c>
      <c r="F7" s="2931"/>
      <c r="G7" s="2931" t="s">
        <v>11</v>
      </c>
      <c r="H7" s="2930" t="s">
        <v>14</v>
      </c>
      <c r="I7" s="2931"/>
      <c r="J7" s="2931" t="s">
        <v>11</v>
      </c>
      <c r="K7" s="2930" t="s">
        <v>15</v>
      </c>
      <c r="L7" s="2934" t="s">
        <v>16</v>
      </c>
      <c r="M7" s="2934" t="s">
        <v>832</v>
      </c>
      <c r="N7" s="2934" t="s">
        <v>18</v>
      </c>
      <c r="O7" s="2934" t="s">
        <v>19</v>
      </c>
      <c r="P7" s="2934" t="s">
        <v>9</v>
      </c>
      <c r="Q7" s="2994" t="s">
        <v>20</v>
      </c>
      <c r="R7" s="3550" t="s">
        <v>21</v>
      </c>
      <c r="S7" s="2930" t="s">
        <v>22</v>
      </c>
      <c r="T7" s="2930" t="s">
        <v>23</v>
      </c>
      <c r="U7" s="2934" t="s">
        <v>24</v>
      </c>
      <c r="V7" s="3546" t="s">
        <v>21</v>
      </c>
      <c r="W7" s="2928" t="s">
        <v>11</v>
      </c>
      <c r="X7" s="2934" t="s">
        <v>25</v>
      </c>
      <c r="Y7" s="3549" t="s">
        <v>26</v>
      </c>
      <c r="Z7" s="3549"/>
      <c r="AA7" s="2945" t="s">
        <v>27</v>
      </c>
      <c r="AB7" s="2945"/>
      <c r="AC7" s="2945"/>
      <c r="AD7" s="2945"/>
      <c r="AE7" s="2946" t="s">
        <v>28</v>
      </c>
      <c r="AF7" s="2947"/>
      <c r="AG7" s="2947"/>
      <c r="AH7" s="2947"/>
      <c r="AI7" s="2947"/>
      <c r="AJ7" s="2947"/>
      <c r="AK7" s="2944" t="s">
        <v>29</v>
      </c>
      <c r="AL7" s="2945"/>
      <c r="AM7" s="2945"/>
      <c r="AN7" s="2988" t="s">
        <v>30</v>
      </c>
      <c r="AO7" s="2990" t="s">
        <v>31</v>
      </c>
      <c r="AP7" s="2990" t="s">
        <v>32</v>
      </c>
      <c r="AQ7" s="2936" t="s">
        <v>33</v>
      </c>
      <c r="AR7" s="1716"/>
      <c r="AS7" s="1716"/>
      <c r="AT7" s="1716"/>
      <c r="AU7" s="1716"/>
      <c r="AV7" s="1716"/>
      <c r="AW7" s="1716"/>
      <c r="AX7" s="1716"/>
      <c r="AY7" s="1716"/>
      <c r="AZ7" s="1716"/>
      <c r="BA7" s="1716"/>
      <c r="BB7" s="1716"/>
      <c r="BC7" s="1716"/>
      <c r="BD7" s="1716"/>
      <c r="BE7" s="1716"/>
      <c r="BF7" s="1716"/>
      <c r="BG7" s="1716"/>
      <c r="BH7" s="1716"/>
      <c r="BI7" s="1716"/>
      <c r="BJ7" s="1716"/>
      <c r="BK7" s="1716"/>
      <c r="BL7" s="1716"/>
      <c r="BM7" s="1716"/>
      <c r="BN7" s="1716"/>
      <c r="BO7" s="1716"/>
      <c r="BP7" s="1716"/>
      <c r="BQ7" s="1716"/>
      <c r="BR7" s="1716"/>
      <c r="BS7" s="1716"/>
      <c r="BT7" s="1716"/>
      <c r="BU7" s="1716"/>
      <c r="BV7" s="1716"/>
      <c r="BW7" s="1716"/>
      <c r="BX7" s="1716"/>
      <c r="BY7" s="1716"/>
      <c r="BZ7" s="1716"/>
      <c r="CA7" s="1716"/>
      <c r="CB7" s="1716"/>
      <c r="CC7" s="1716"/>
      <c r="CD7" s="1716"/>
      <c r="CE7" s="1716"/>
      <c r="CF7" s="1716"/>
      <c r="CG7" s="1716"/>
      <c r="CH7" s="1716"/>
      <c r="CI7" s="1716"/>
      <c r="CJ7" s="1716"/>
      <c r="CK7" s="1716"/>
      <c r="CL7" s="1716"/>
      <c r="CM7" s="1716"/>
      <c r="CN7" s="1716"/>
      <c r="CO7" s="1716"/>
      <c r="CP7" s="1716"/>
      <c r="CQ7" s="1716"/>
      <c r="CR7" s="1716"/>
      <c r="CS7" s="1716"/>
      <c r="CT7" s="1716"/>
      <c r="CU7" s="1716"/>
      <c r="CV7" s="1716"/>
      <c r="CW7" s="1716"/>
      <c r="CX7" s="1716"/>
      <c r="CY7" s="1716"/>
      <c r="CZ7" s="1716"/>
      <c r="DA7" s="1716"/>
      <c r="DB7" s="1716"/>
      <c r="DC7" s="1716"/>
      <c r="DD7" s="1716"/>
      <c r="DE7" s="1716"/>
      <c r="DF7" s="1716"/>
      <c r="DG7" s="1716"/>
      <c r="DH7" s="1716"/>
      <c r="DI7" s="1716"/>
      <c r="DJ7" s="1716"/>
      <c r="DK7" s="1716"/>
      <c r="DL7" s="1716"/>
      <c r="DM7" s="1716"/>
      <c r="DN7" s="1716"/>
      <c r="DO7" s="1716"/>
      <c r="DP7" s="1716"/>
      <c r="DQ7" s="1716"/>
      <c r="DR7" s="1716"/>
      <c r="DS7" s="1716"/>
      <c r="DT7" s="1716"/>
      <c r="DU7" s="1716"/>
      <c r="DV7" s="1716"/>
      <c r="DW7" s="1716"/>
      <c r="DX7" s="1716"/>
      <c r="DY7" s="1716"/>
      <c r="DZ7" s="1716"/>
      <c r="EA7" s="1716"/>
      <c r="EB7" s="1716"/>
      <c r="EC7" s="1716"/>
      <c r="ED7" s="1716"/>
      <c r="EE7" s="1716"/>
      <c r="EF7" s="1716"/>
      <c r="EG7" s="1716"/>
      <c r="EH7" s="1716"/>
      <c r="EI7" s="1716"/>
      <c r="EJ7" s="1716"/>
      <c r="EK7" s="1716"/>
      <c r="EL7" s="1716"/>
      <c r="EM7" s="1716"/>
      <c r="EN7" s="1716"/>
      <c r="EO7" s="1716"/>
      <c r="EP7" s="1716"/>
      <c r="EQ7" s="1716"/>
      <c r="ER7" s="1716"/>
      <c r="ES7" s="1716"/>
      <c r="ET7" s="1716"/>
      <c r="EU7" s="1716"/>
      <c r="EV7" s="1716"/>
      <c r="EW7" s="1716"/>
      <c r="EX7" s="1716"/>
      <c r="EY7" s="1716"/>
      <c r="EZ7" s="1716"/>
      <c r="FA7" s="1716"/>
      <c r="FB7" s="1716"/>
      <c r="FC7" s="1716"/>
      <c r="FD7" s="1716"/>
      <c r="FE7" s="1716"/>
      <c r="FF7" s="1716"/>
      <c r="FG7" s="1716"/>
      <c r="FH7" s="1716"/>
      <c r="FI7" s="1716"/>
      <c r="FJ7" s="1716"/>
      <c r="FK7" s="1716"/>
      <c r="FL7" s="1716"/>
      <c r="FM7" s="1716"/>
      <c r="FN7" s="1716"/>
      <c r="FO7" s="1716"/>
      <c r="FP7" s="1716"/>
      <c r="FQ7" s="1716"/>
      <c r="FR7" s="1716"/>
      <c r="FS7" s="1716"/>
      <c r="FT7" s="1716"/>
      <c r="FU7" s="1716"/>
      <c r="FV7" s="1716"/>
      <c r="FW7" s="1716"/>
      <c r="FX7" s="1716"/>
      <c r="FY7" s="1716"/>
      <c r="FZ7" s="1716"/>
      <c r="GA7" s="1716"/>
      <c r="GB7" s="1716"/>
      <c r="GC7" s="1716"/>
      <c r="GD7" s="1716"/>
      <c r="GE7" s="1716"/>
      <c r="GF7" s="1716"/>
      <c r="GG7" s="1716"/>
      <c r="GH7" s="1716"/>
      <c r="GI7" s="1716"/>
      <c r="GJ7" s="1716"/>
      <c r="GK7" s="1716"/>
      <c r="GL7" s="1716"/>
      <c r="GM7" s="1716"/>
      <c r="GN7" s="1716"/>
      <c r="GO7" s="1716"/>
      <c r="GP7" s="1716"/>
      <c r="GQ7" s="1716"/>
      <c r="GR7" s="1716"/>
      <c r="GS7" s="1716"/>
      <c r="GT7" s="1716"/>
      <c r="GU7" s="1716"/>
      <c r="GV7" s="1716"/>
      <c r="GW7" s="1716"/>
      <c r="GX7" s="1716"/>
      <c r="GY7" s="1716"/>
      <c r="GZ7" s="1716"/>
      <c r="HA7" s="1716"/>
      <c r="HB7" s="1716"/>
      <c r="HC7" s="1716"/>
      <c r="HD7" s="1716"/>
      <c r="HE7" s="1716"/>
      <c r="HF7" s="1716"/>
      <c r="HG7" s="1716"/>
      <c r="HH7" s="1716"/>
      <c r="HI7" s="1716"/>
      <c r="HJ7" s="1716"/>
      <c r="HK7" s="1716"/>
      <c r="HL7" s="1716"/>
      <c r="HM7" s="1716"/>
      <c r="HN7" s="1716"/>
      <c r="HO7" s="1716"/>
      <c r="HP7" s="1716"/>
      <c r="HQ7" s="1716"/>
      <c r="HR7" s="1716"/>
      <c r="HS7" s="1716"/>
      <c r="HT7" s="1716"/>
      <c r="HU7" s="1716"/>
      <c r="HV7" s="1716"/>
      <c r="HW7" s="1716"/>
      <c r="HX7" s="1716"/>
      <c r="HY7" s="1716"/>
      <c r="HZ7" s="1716"/>
      <c r="IA7" s="1716"/>
      <c r="IB7" s="1716"/>
      <c r="IC7" s="1716"/>
      <c r="ID7" s="1716"/>
      <c r="IE7" s="1716"/>
      <c r="IF7" s="1716"/>
      <c r="IG7" s="1716"/>
      <c r="IH7" s="1716"/>
      <c r="II7" s="1716"/>
      <c r="IJ7" s="1716"/>
      <c r="IK7" s="1716"/>
      <c r="IL7" s="1716"/>
      <c r="IM7" s="1716"/>
      <c r="IN7" s="1716"/>
      <c r="IO7" s="1716"/>
      <c r="IP7" s="1716"/>
      <c r="IQ7" s="1716"/>
      <c r="IR7" s="1716"/>
      <c r="IS7" s="1716"/>
      <c r="IT7" s="1716"/>
      <c r="IU7" s="1716"/>
      <c r="IV7" s="1716"/>
      <c r="IW7" s="1716"/>
      <c r="IX7" s="1716"/>
      <c r="IY7" s="1716"/>
      <c r="IZ7" s="1716"/>
      <c r="JA7" s="1716"/>
      <c r="JB7" s="1716"/>
      <c r="JC7" s="1716"/>
      <c r="JD7" s="1716"/>
      <c r="JE7" s="1716"/>
      <c r="JF7" s="1716"/>
      <c r="JG7" s="1716"/>
      <c r="JH7" s="1716"/>
      <c r="JI7" s="1716"/>
      <c r="JJ7" s="1716"/>
      <c r="JK7" s="1716"/>
      <c r="JL7" s="1716"/>
      <c r="JM7" s="1716"/>
      <c r="JN7" s="1716"/>
      <c r="JO7" s="1716"/>
      <c r="JP7" s="1716"/>
      <c r="JQ7" s="1716"/>
      <c r="JR7" s="1716"/>
      <c r="JS7" s="1716"/>
      <c r="JT7" s="1716"/>
      <c r="JU7" s="1716"/>
      <c r="JV7" s="1716"/>
      <c r="JW7" s="1716"/>
      <c r="JX7" s="1716"/>
      <c r="JY7" s="1716"/>
      <c r="JZ7" s="1716"/>
      <c r="KA7" s="1716"/>
      <c r="KB7" s="1716"/>
      <c r="KC7" s="1716"/>
      <c r="KD7" s="1716"/>
      <c r="KE7" s="1716"/>
      <c r="KF7" s="1716"/>
      <c r="KG7" s="1716"/>
      <c r="KH7" s="1716"/>
      <c r="KI7" s="1716"/>
      <c r="KJ7" s="1716"/>
      <c r="KK7" s="1716"/>
      <c r="KL7" s="1716"/>
      <c r="KM7" s="1716"/>
      <c r="KN7" s="1716"/>
      <c r="KO7" s="1716"/>
      <c r="KP7" s="1716"/>
      <c r="KQ7" s="1716"/>
      <c r="KR7" s="1716"/>
      <c r="KS7" s="1716"/>
      <c r="KT7" s="1716"/>
      <c r="KU7" s="1716"/>
      <c r="KV7" s="1716"/>
      <c r="KW7" s="1716"/>
      <c r="KX7" s="1716"/>
      <c r="KY7" s="1716"/>
      <c r="KZ7" s="1716"/>
      <c r="LA7" s="1716"/>
      <c r="LB7" s="1716"/>
      <c r="LC7" s="1716"/>
      <c r="LD7" s="1716"/>
      <c r="LE7" s="1716"/>
      <c r="LF7" s="1716"/>
      <c r="LG7" s="1716"/>
      <c r="LH7" s="1716"/>
      <c r="LI7" s="1716"/>
      <c r="LJ7" s="1716"/>
      <c r="LK7" s="1716"/>
      <c r="LL7" s="1716"/>
      <c r="LM7" s="1716"/>
      <c r="LN7" s="1716"/>
      <c r="LO7" s="1716"/>
      <c r="LP7" s="1716"/>
      <c r="LQ7" s="1716"/>
      <c r="LR7" s="1716"/>
      <c r="LS7" s="1716"/>
      <c r="LT7" s="1716"/>
      <c r="LU7" s="1716"/>
      <c r="LV7" s="1716"/>
      <c r="LW7" s="1716"/>
      <c r="LX7" s="1716"/>
      <c r="LY7" s="1716"/>
      <c r="LZ7" s="1716"/>
      <c r="MA7" s="1716"/>
      <c r="MB7" s="1716"/>
      <c r="MC7" s="1716"/>
      <c r="MD7" s="1716"/>
      <c r="ME7" s="1716"/>
      <c r="MF7" s="1716"/>
      <c r="MG7" s="1716"/>
      <c r="MH7" s="1716"/>
      <c r="MI7" s="1716"/>
      <c r="MJ7" s="1716"/>
      <c r="MK7" s="1716"/>
      <c r="ML7" s="1716"/>
      <c r="MM7" s="1716"/>
      <c r="MN7" s="1716"/>
      <c r="MO7" s="1716"/>
      <c r="MP7" s="1716"/>
      <c r="MQ7" s="1716"/>
      <c r="MR7" s="1716"/>
      <c r="MS7" s="1716"/>
      <c r="MT7" s="1716"/>
      <c r="MU7" s="1716"/>
      <c r="MV7" s="1716"/>
      <c r="MW7" s="1716"/>
      <c r="MX7" s="1716"/>
      <c r="MY7" s="1716"/>
      <c r="MZ7" s="1716"/>
      <c r="NA7" s="1716"/>
      <c r="NB7" s="1716"/>
      <c r="NC7" s="1716"/>
      <c r="ND7" s="1716"/>
      <c r="NE7" s="1716"/>
      <c r="NF7" s="1716"/>
      <c r="NG7" s="1716"/>
      <c r="NH7" s="1716"/>
      <c r="NI7" s="1716"/>
      <c r="NJ7" s="1716"/>
      <c r="NK7" s="1716"/>
      <c r="NL7" s="1716"/>
      <c r="NM7" s="1716"/>
      <c r="NN7" s="1716"/>
      <c r="NO7" s="1716"/>
      <c r="NP7" s="1716"/>
      <c r="NQ7" s="1716"/>
      <c r="NR7" s="1716"/>
      <c r="NS7" s="1716"/>
      <c r="NT7" s="1716"/>
      <c r="NU7" s="1716"/>
      <c r="NV7" s="1716"/>
      <c r="NW7" s="1716"/>
      <c r="NX7" s="1716"/>
      <c r="NY7" s="1716"/>
      <c r="NZ7" s="1716"/>
      <c r="OA7" s="1716"/>
      <c r="OB7" s="1716"/>
      <c r="OC7" s="1716"/>
      <c r="OD7" s="1716"/>
      <c r="OE7" s="1716"/>
      <c r="OF7" s="1716"/>
      <c r="OG7" s="1716"/>
      <c r="OH7" s="1716"/>
      <c r="OI7" s="1716"/>
      <c r="OJ7" s="1716"/>
      <c r="OK7" s="1716"/>
      <c r="OL7" s="1716"/>
      <c r="OM7" s="1716"/>
      <c r="ON7" s="1716"/>
      <c r="OO7" s="1716"/>
      <c r="OP7" s="1716"/>
      <c r="OQ7" s="1716"/>
      <c r="OR7" s="1716"/>
      <c r="OS7" s="1716"/>
      <c r="OT7" s="1716"/>
      <c r="OU7" s="1716"/>
      <c r="OV7" s="1716"/>
      <c r="OW7" s="1716"/>
      <c r="OX7" s="1716"/>
      <c r="OY7" s="1716"/>
      <c r="OZ7" s="1716"/>
      <c r="PA7" s="1716"/>
      <c r="PB7" s="1716"/>
      <c r="PC7" s="1716"/>
      <c r="PD7" s="1716"/>
      <c r="PE7" s="1716"/>
      <c r="PF7" s="1716"/>
      <c r="PG7" s="1716"/>
      <c r="PH7" s="1716"/>
      <c r="PI7" s="1716"/>
      <c r="PJ7" s="1716"/>
      <c r="PK7" s="1716"/>
      <c r="PL7" s="1716"/>
      <c r="PM7" s="1716"/>
      <c r="PN7" s="1716"/>
      <c r="PO7" s="1716"/>
      <c r="PP7" s="1716"/>
      <c r="PQ7" s="1716"/>
      <c r="PR7" s="1716"/>
      <c r="PS7" s="1716"/>
      <c r="PT7" s="1716"/>
      <c r="PU7" s="1716"/>
      <c r="PV7" s="1716"/>
      <c r="PW7" s="1716"/>
      <c r="PX7" s="1716"/>
      <c r="PY7" s="1716"/>
      <c r="PZ7" s="1716"/>
      <c r="QA7" s="1716"/>
      <c r="QB7" s="1716"/>
      <c r="QC7" s="1716"/>
      <c r="QD7" s="1716"/>
      <c r="QE7" s="1716"/>
      <c r="QF7" s="1716"/>
      <c r="QG7" s="1716"/>
      <c r="QH7" s="1716"/>
      <c r="QI7" s="1716"/>
      <c r="QJ7" s="1716"/>
      <c r="QK7" s="1716"/>
      <c r="QL7" s="1716"/>
      <c r="QM7" s="1716"/>
      <c r="QN7" s="1716"/>
      <c r="QO7" s="1716"/>
      <c r="QP7" s="1716"/>
      <c r="QQ7" s="1716"/>
      <c r="QR7" s="1716"/>
      <c r="QS7" s="1716"/>
      <c r="QT7" s="1716"/>
      <c r="QU7" s="1716"/>
      <c r="QV7" s="1716"/>
      <c r="QW7" s="1716"/>
      <c r="QX7" s="1716"/>
      <c r="QY7" s="1716"/>
      <c r="QZ7" s="1716"/>
      <c r="RA7" s="1716"/>
      <c r="RB7" s="1716"/>
      <c r="RC7" s="1716"/>
      <c r="RD7" s="1716"/>
      <c r="RE7" s="1716"/>
      <c r="RF7" s="1716"/>
      <c r="RG7" s="1716"/>
      <c r="RH7" s="1716"/>
      <c r="RI7" s="1716"/>
      <c r="RJ7" s="1716"/>
      <c r="RK7" s="1716"/>
      <c r="RL7" s="1716"/>
      <c r="RM7" s="1716"/>
      <c r="RN7" s="1716"/>
      <c r="RO7" s="1716"/>
      <c r="RP7" s="1716"/>
      <c r="RQ7" s="1716"/>
      <c r="RR7" s="1716"/>
      <c r="RS7" s="1716"/>
      <c r="RT7" s="1716"/>
      <c r="RU7" s="1716"/>
      <c r="RV7" s="1716"/>
      <c r="RW7" s="1716"/>
      <c r="RX7" s="1716"/>
      <c r="RY7" s="1716"/>
      <c r="RZ7" s="1716"/>
      <c r="SA7" s="1716"/>
      <c r="SB7" s="1716"/>
      <c r="SC7" s="1716"/>
      <c r="SD7" s="1716"/>
      <c r="SE7" s="1716"/>
      <c r="SF7" s="1716"/>
      <c r="SG7" s="1716"/>
      <c r="SH7" s="1716"/>
      <c r="SI7" s="1716"/>
      <c r="SJ7" s="1716"/>
      <c r="SK7" s="1716"/>
      <c r="SL7" s="1716"/>
      <c r="SM7" s="1716"/>
      <c r="SN7" s="1716"/>
      <c r="SO7" s="1716"/>
      <c r="SP7" s="1716"/>
      <c r="SQ7" s="1716"/>
      <c r="SR7" s="1716"/>
      <c r="SS7" s="1716"/>
      <c r="ST7" s="1716"/>
      <c r="SU7" s="1716"/>
      <c r="SV7" s="1716"/>
      <c r="SW7" s="1716"/>
      <c r="SX7" s="1716"/>
      <c r="SY7" s="1716"/>
      <c r="SZ7" s="1716"/>
      <c r="TA7" s="1716"/>
      <c r="TB7" s="1716"/>
      <c r="TC7" s="1716"/>
      <c r="TD7" s="1716"/>
      <c r="TE7" s="1716"/>
      <c r="TF7" s="1716"/>
      <c r="TG7" s="1716"/>
      <c r="TH7" s="1716"/>
      <c r="TI7" s="1716"/>
      <c r="TJ7" s="1716"/>
      <c r="TK7" s="1716"/>
      <c r="TL7" s="1716"/>
      <c r="TM7" s="1716"/>
      <c r="TN7" s="1716"/>
      <c r="TO7" s="1716"/>
      <c r="TP7" s="1716"/>
      <c r="TQ7" s="1716"/>
      <c r="TR7" s="1716"/>
      <c r="TS7" s="1716"/>
      <c r="TT7" s="1716"/>
      <c r="TU7" s="1716"/>
      <c r="TV7" s="1716"/>
      <c r="TW7" s="1716"/>
      <c r="TX7" s="1716"/>
      <c r="TY7" s="1716"/>
      <c r="TZ7" s="1716"/>
      <c r="UA7" s="1716"/>
      <c r="UB7" s="1716"/>
      <c r="UC7" s="1716"/>
      <c r="UD7" s="1716"/>
      <c r="UE7" s="1716"/>
      <c r="UF7" s="1716"/>
      <c r="UG7" s="1716"/>
      <c r="UH7" s="1716"/>
      <c r="UI7" s="1716"/>
      <c r="UJ7" s="1716"/>
      <c r="UK7" s="1716"/>
      <c r="UL7" s="1716"/>
      <c r="UM7" s="1716"/>
      <c r="UN7" s="1716"/>
      <c r="UO7" s="1716"/>
      <c r="UP7" s="1716"/>
      <c r="UQ7" s="1716"/>
      <c r="UR7" s="1716"/>
      <c r="US7" s="1716"/>
      <c r="UT7" s="1716"/>
      <c r="UU7" s="1716"/>
      <c r="UV7" s="1716"/>
      <c r="UW7" s="1716"/>
      <c r="UX7" s="1716"/>
      <c r="UY7" s="1716"/>
      <c r="UZ7" s="1716"/>
      <c r="VA7" s="1716"/>
      <c r="VB7" s="1716"/>
      <c r="VC7" s="1716"/>
      <c r="VD7" s="1716"/>
      <c r="VE7" s="1716"/>
      <c r="VF7" s="1716"/>
      <c r="VG7" s="1716"/>
      <c r="VH7" s="1716"/>
      <c r="VI7" s="1716"/>
      <c r="VJ7" s="1716"/>
      <c r="VK7" s="1716"/>
      <c r="VL7" s="1716"/>
      <c r="VM7" s="1716"/>
      <c r="VN7" s="1716"/>
      <c r="VO7" s="1716"/>
      <c r="VP7" s="1716"/>
      <c r="VQ7" s="1716"/>
      <c r="VR7" s="1716"/>
      <c r="VS7" s="1716"/>
      <c r="VT7" s="1716"/>
      <c r="VU7" s="1716"/>
      <c r="VV7" s="1716"/>
      <c r="VW7" s="1716"/>
      <c r="VX7" s="1716"/>
      <c r="VY7" s="1716"/>
      <c r="VZ7" s="1716"/>
      <c r="WA7" s="1716"/>
      <c r="WB7" s="1716"/>
      <c r="WC7" s="1716"/>
      <c r="WD7" s="1716"/>
      <c r="WE7" s="1716"/>
      <c r="WF7" s="1716"/>
      <c r="WG7" s="1716"/>
      <c r="WH7" s="1716"/>
      <c r="WI7" s="1716"/>
      <c r="WJ7" s="1716"/>
      <c r="WK7" s="1716"/>
      <c r="WL7" s="1716"/>
      <c r="WM7" s="1716"/>
      <c r="WN7" s="1716"/>
      <c r="WO7" s="1716"/>
      <c r="WP7" s="1716"/>
      <c r="WQ7" s="1716"/>
      <c r="WR7" s="1716"/>
      <c r="WS7" s="1716"/>
      <c r="WT7" s="1716"/>
      <c r="WU7" s="1716"/>
      <c r="WV7" s="1716"/>
      <c r="WW7" s="1716"/>
      <c r="WX7" s="1716"/>
      <c r="WY7" s="1716"/>
      <c r="WZ7" s="1716"/>
      <c r="XA7" s="1716"/>
      <c r="XB7" s="1716"/>
      <c r="XC7" s="1716"/>
      <c r="XD7" s="1716"/>
      <c r="XE7" s="1716"/>
      <c r="XF7" s="1716"/>
      <c r="XG7" s="1716"/>
      <c r="XH7" s="1716"/>
      <c r="XI7" s="1716"/>
      <c r="XJ7" s="1716"/>
      <c r="XK7" s="1716"/>
      <c r="XL7" s="1716"/>
      <c r="XM7" s="1716"/>
      <c r="XN7" s="1716"/>
      <c r="XO7" s="1716"/>
      <c r="XP7" s="1716"/>
      <c r="XQ7" s="1716"/>
      <c r="XR7" s="1716"/>
      <c r="XS7" s="1716"/>
      <c r="XT7" s="1716"/>
      <c r="XU7" s="1716"/>
      <c r="XV7" s="1716"/>
      <c r="XW7" s="1716"/>
      <c r="XX7" s="1716"/>
      <c r="XY7" s="1716"/>
      <c r="XZ7" s="1716"/>
      <c r="YA7" s="1716"/>
      <c r="YB7" s="1716"/>
      <c r="YC7" s="1716"/>
      <c r="YD7" s="1716"/>
      <c r="YE7" s="1716"/>
      <c r="YF7" s="1716"/>
      <c r="YG7" s="1716"/>
      <c r="YH7" s="1716"/>
      <c r="YI7" s="1716"/>
      <c r="YJ7" s="1716"/>
      <c r="YK7" s="1716"/>
      <c r="YL7" s="1716"/>
      <c r="YM7" s="1716"/>
      <c r="YN7" s="1716"/>
      <c r="YO7" s="1716"/>
      <c r="YP7" s="1716"/>
      <c r="YQ7" s="1716"/>
      <c r="YR7" s="1716"/>
      <c r="YS7" s="1716"/>
      <c r="YT7" s="1716"/>
      <c r="YU7" s="1716"/>
      <c r="YV7" s="1716"/>
      <c r="YW7" s="1716"/>
      <c r="YX7" s="1716"/>
      <c r="YY7" s="1716"/>
      <c r="YZ7" s="1716"/>
      <c r="ZA7" s="1716"/>
      <c r="ZB7" s="1716"/>
      <c r="ZC7" s="1716"/>
      <c r="ZD7" s="1716"/>
      <c r="ZE7" s="1716"/>
      <c r="ZF7" s="1716"/>
      <c r="ZG7" s="1716"/>
      <c r="ZH7" s="1716"/>
      <c r="ZI7" s="1716"/>
      <c r="ZJ7" s="1716"/>
      <c r="ZK7" s="1716"/>
      <c r="ZL7" s="1716"/>
      <c r="ZM7" s="1716"/>
      <c r="ZN7" s="1716"/>
      <c r="ZO7" s="1716"/>
      <c r="ZP7" s="1716"/>
      <c r="ZQ7" s="1716"/>
      <c r="ZR7" s="1716"/>
      <c r="ZS7" s="1716"/>
      <c r="ZT7" s="1716"/>
      <c r="ZU7" s="1716"/>
      <c r="ZV7" s="1716"/>
      <c r="ZW7" s="1716"/>
      <c r="ZX7" s="1716"/>
      <c r="ZY7" s="1716"/>
      <c r="ZZ7" s="1716"/>
      <c r="AAA7" s="1716"/>
      <c r="AAB7" s="1716"/>
      <c r="AAC7" s="1716"/>
      <c r="AAD7" s="1716"/>
      <c r="AAE7" s="1716"/>
      <c r="AAF7" s="1716"/>
      <c r="AAG7" s="1716"/>
      <c r="AAH7" s="1716"/>
      <c r="AAI7" s="1716"/>
      <c r="AAJ7" s="1716"/>
      <c r="AAK7" s="1716"/>
      <c r="AAL7" s="1716"/>
      <c r="AAM7" s="1716"/>
      <c r="AAN7" s="1716"/>
      <c r="AAO7" s="1716"/>
      <c r="AAP7" s="1716"/>
      <c r="AAQ7" s="1716"/>
      <c r="AAR7" s="1716"/>
      <c r="AAS7" s="1716"/>
      <c r="AAT7" s="1716"/>
      <c r="AAU7" s="1716"/>
      <c r="AAV7" s="1716"/>
      <c r="AAW7" s="1716"/>
      <c r="AAX7" s="1716"/>
      <c r="AAY7" s="1716"/>
      <c r="AAZ7" s="1716"/>
      <c r="ABA7" s="1716"/>
      <c r="ABB7" s="1716"/>
      <c r="ABC7" s="1716"/>
      <c r="ABD7" s="1716"/>
      <c r="ABE7" s="1716"/>
      <c r="ABF7" s="1716"/>
      <c r="ABG7" s="1716"/>
      <c r="ABH7" s="1716"/>
      <c r="ABI7" s="1716"/>
      <c r="ABJ7" s="1716"/>
      <c r="ABK7" s="1716"/>
      <c r="ABL7" s="1716"/>
      <c r="ABM7" s="1716"/>
      <c r="ABN7" s="1716"/>
      <c r="ABO7" s="1716"/>
      <c r="ABP7" s="1716"/>
      <c r="ABQ7" s="1716"/>
      <c r="ABR7" s="1716"/>
      <c r="ABS7" s="1716"/>
      <c r="ABT7" s="1716"/>
      <c r="ABU7" s="1716"/>
      <c r="ABV7" s="1716"/>
      <c r="ABW7" s="1716"/>
      <c r="ABX7" s="1716"/>
      <c r="ABY7" s="1716"/>
      <c r="ABZ7" s="1716"/>
      <c r="ACA7" s="1716"/>
      <c r="ACB7" s="1716"/>
      <c r="ACC7" s="1716"/>
      <c r="ACD7" s="1716"/>
      <c r="ACE7" s="1716"/>
      <c r="ACF7" s="1716"/>
      <c r="ACG7" s="1716"/>
      <c r="ACH7" s="1716"/>
      <c r="ACI7" s="1716"/>
      <c r="ACJ7" s="1716"/>
      <c r="ACK7" s="1716"/>
      <c r="ACL7" s="1716"/>
      <c r="ACM7" s="1716"/>
      <c r="ACN7" s="1716"/>
      <c r="ACO7" s="1716"/>
      <c r="ACP7" s="1716"/>
      <c r="ACQ7" s="1716"/>
      <c r="ACR7" s="1716"/>
      <c r="ACS7" s="1716"/>
      <c r="ACT7" s="1716"/>
      <c r="ACU7" s="1716"/>
      <c r="ACV7" s="1716"/>
      <c r="ACW7" s="1716"/>
      <c r="ACX7" s="1716"/>
      <c r="ACY7" s="1716"/>
      <c r="ACZ7" s="1716"/>
      <c r="ADA7" s="1716"/>
      <c r="ADB7" s="1716"/>
      <c r="ADC7" s="1716"/>
      <c r="ADD7" s="1716"/>
      <c r="ADE7" s="1716"/>
      <c r="ADF7" s="1716"/>
      <c r="ADG7" s="1716"/>
      <c r="ADH7" s="1716"/>
      <c r="ADI7" s="1716"/>
      <c r="ADJ7" s="1716"/>
      <c r="ADK7" s="1716"/>
      <c r="ADL7" s="1716"/>
      <c r="ADM7" s="1716"/>
      <c r="ADN7" s="1716"/>
      <c r="ADO7" s="1716"/>
      <c r="ADP7" s="1716"/>
      <c r="ADQ7" s="1716"/>
      <c r="ADR7" s="1716"/>
      <c r="ADS7" s="1716"/>
      <c r="ADT7" s="1716"/>
      <c r="ADU7" s="1716"/>
      <c r="ADV7" s="1716"/>
      <c r="ADW7" s="1716"/>
      <c r="ADX7" s="1716"/>
      <c r="ADY7" s="1716"/>
      <c r="ADZ7" s="1716"/>
      <c r="AEA7" s="1716"/>
      <c r="AEB7" s="1716"/>
      <c r="AEC7" s="1716"/>
      <c r="AED7" s="1716"/>
      <c r="AEE7" s="1716"/>
      <c r="AEF7" s="1716"/>
      <c r="AEG7" s="1716"/>
      <c r="AEH7" s="1716"/>
      <c r="AEI7" s="1716"/>
      <c r="AEJ7" s="1716"/>
      <c r="AEK7" s="1716"/>
      <c r="AEL7" s="1716"/>
      <c r="AEM7" s="1716"/>
      <c r="AEN7" s="1716"/>
      <c r="AEO7" s="1716"/>
      <c r="AEP7" s="1716"/>
      <c r="AEQ7" s="1716"/>
      <c r="AER7" s="1716"/>
      <c r="AES7" s="1716"/>
      <c r="AET7" s="1716"/>
      <c r="AEU7" s="1716"/>
      <c r="AEV7" s="1716"/>
      <c r="AEW7" s="1716"/>
      <c r="AEX7" s="1716"/>
      <c r="AEY7" s="1716"/>
      <c r="AEZ7" s="1716"/>
      <c r="AFA7" s="1716"/>
      <c r="AFB7" s="1716"/>
      <c r="AFC7" s="1716"/>
      <c r="AFD7" s="1716"/>
      <c r="AFE7" s="1716"/>
      <c r="AFF7" s="1716"/>
      <c r="AFG7" s="1716"/>
      <c r="AFH7" s="1716"/>
      <c r="AFI7" s="1716"/>
      <c r="AFJ7" s="1716"/>
      <c r="AFK7" s="1716"/>
      <c r="AFL7" s="1716"/>
      <c r="AFM7" s="1716"/>
      <c r="AFN7" s="1716"/>
      <c r="AFO7" s="1716"/>
      <c r="AFP7" s="1716"/>
      <c r="AFQ7" s="1716"/>
      <c r="AFR7" s="1716"/>
      <c r="AFS7" s="1716"/>
      <c r="AFT7" s="1716"/>
      <c r="AFU7" s="1716"/>
      <c r="AFV7" s="1716"/>
      <c r="AFW7" s="1716"/>
      <c r="AFX7" s="1716"/>
      <c r="AFY7" s="1716"/>
      <c r="AFZ7" s="1716"/>
      <c r="AGA7" s="1716"/>
      <c r="AGB7" s="1716"/>
      <c r="AGC7" s="1716"/>
      <c r="AGD7" s="1716"/>
      <c r="AGE7" s="1716"/>
      <c r="AGF7" s="1716"/>
      <c r="AGG7" s="1716"/>
      <c r="AGH7" s="1716"/>
      <c r="AGI7" s="1716"/>
      <c r="AGJ7" s="1716"/>
      <c r="AGK7" s="1716"/>
      <c r="AGL7" s="1716"/>
      <c r="AGM7" s="1716"/>
      <c r="AGN7" s="1716"/>
      <c r="AGO7" s="1716"/>
      <c r="AGP7" s="1716"/>
      <c r="AGQ7" s="1716"/>
      <c r="AGR7" s="1716"/>
      <c r="AGS7" s="1716"/>
      <c r="AGT7" s="1716"/>
      <c r="AGU7" s="1716"/>
      <c r="AGV7" s="1716"/>
      <c r="AGW7" s="1716"/>
      <c r="AGX7" s="1716"/>
      <c r="AGY7" s="1716"/>
      <c r="AGZ7" s="1716"/>
      <c r="AHA7" s="1716"/>
      <c r="AHB7" s="1716"/>
      <c r="AHC7" s="1716"/>
      <c r="AHD7" s="1716"/>
      <c r="AHE7" s="1716"/>
      <c r="AHF7" s="1716"/>
      <c r="AHG7" s="1716"/>
      <c r="AHH7" s="1716"/>
      <c r="AHI7" s="1716"/>
      <c r="AHJ7" s="1716"/>
      <c r="AHK7" s="1716"/>
      <c r="AHL7" s="1716"/>
      <c r="AHM7" s="1716"/>
      <c r="AHN7" s="1716"/>
      <c r="AHO7" s="1716"/>
      <c r="AHP7" s="1716"/>
      <c r="AHQ7" s="1716"/>
      <c r="AHR7" s="1716"/>
      <c r="AHS7" s="1716"/>
      <c r="AHT7" s="1716"/>
      <c r="AHU7" s="1716"/>
      <c r="AHV7" s="1716"/>
      <c r="AHW7" s="1716"/>
      <c r="AHX7" s="1716"/>
      <c r="AHY7" s="1716"/>
      <c r="AHZ7" s="1716"/>
      <c r="AIA7" s="1716"/>
      <c r="AIB7" s="1716"/>
      <c r="AIC7" s="1716"/>
      <c r="AID7" s="1716"/>
      <c r="AIE7" s="1716"/>
      <c r="AIF7" s="1716"/>
      <c r="AIG7" s="1716"/>
      <c r="AIH7" s="1716"/>
      <c r="AII7" s="1716"/>
      <c r="AIJ7" s="1716"/>
      <c r="AIK7" s="1716"/>
      <c r="AIL7" s="1716"/>
      <c r="AIM7" s="1716"/>
      <c r="AIN7" s="1716"/>
      <c r="AIO7" s="1716"/>
      <c r="AIP7" s="1716"/>
      <c r="AIQ7" s="1716"/>
      <c r="AIR7" s="1716"/>
      <c r="AIS7" s="1716"/>
      <c r="AIT7" s="1716"/>
      <c r="AIU7" s="1716"/>
      <c r="AIV7" s="1716"/>
      <c r="AIW7" s="1716"/>
      <c r="AIX7" s="1716"/>
      <c r="AIY7" s="1716"/>
      <c r="AIZ7" s="1716"/>
      <c r="AJA7" s="1716"/>
      <c r="AJB7" s="1716"/>
      <c r="AJC7" s="1716"/>
      <c r="AJD7" s="1716"/>
      <c r="AJE7" s="1716"/>
      <c r="AJF7" s="1716"/>
      <c r="AJG7" s="1716"/>
      <c r="AJH7" s="1716"/>
      <c r="AJI7" s="1716"/>
      <c r="AJJ7" s="1716"/>
      <c r="AJK7" s="1716"/>
      <c r="AJL7" s="1716"/>
      <c r="AJM7" s="1716"/>
      <c r="AJN7" s="1716"/>
      <c r="AJO7" s="1716"/>
      <c r="AJP7" s="1716"/>
      <c r="AJQ7" s="1716"/>
      <c r="AJR7" s="1716"/>
      <c r="AJS7" s="1716"/>
      <c r="AJT7" s="1716"/>
      <c r="AJU7" s="1716"/>
      <c r="AJV7" s="1716"/>
      <c r="AJW7" s="1716"/>
      <c r="AJX7" s="1716"/>
      <c r="AJY7" s="1716"/>
      <c r="AJZ7" s="1716"/>
      <c r="AKA7" s="1716"/>
      <c r="AKB7" s="1716"/>
      <c r="AKC7" s="1716"/>
      <c r="AKD7" s="1716"/>
      <c r="AKE7" s="1716"/>
      <c r="AKF7" s="1716"/>
      <c r="AKG7" s="1716"/>
      <c r="AKH7" s="1716"/>
      <c r="AKI7" s="1716"/>
      <c r="AKJ7" s="1716"/>
      <c r="AKK7" s="1716"/>
      <c r="AKL7" s="1716"/>
      <c r="AKM7" s="1716"/>
      <c r="AKN7" s="1716"/>
      <c r="AKO7" s="1716"/>
      <c r="AKP7" s="1716"/>
      <c r="AKQ7" s="1716"/>
      <c r="AKR7" s="1716"/>
      <c r="AKS7" s="1716"/>
      <c r="AKT7" s="1716"/>
      <c r="AKU7" s="1716"/>
      <c r="AKV7" s="1716"/>
      <c r="AKW7" s="1716"/>
      <c r="AKX7" s="1716"/>
      <c r="AKY7" s="1716"/>
      <c r="AKZ7" s="1716"/>
      <c r="ALA7" s="1716"/>
      <c r="ALB7" s="1716"/>
      <c r="ALC7" s="1716"/>
      <c r="ALD7" s="1716"/>
      <c r="ALE7" s="1716"/>
      <c r="ALF7" s="1716"/>
      <c r="ALG7" s="1716"/>
      <c r="ALH7" s="1716"/>
      <c r="ALI7" s="1716"/>
      <c r="ALJ7" s="1716"/>
      <c r="ALK7" s="1716"/>
      <c r="ALL7" s="1716"/>
      <c r="ALM7" s="1716"/>
      <c r="ALN7" s="1716"/>
      <c r="ALO7" s="1716"/>
      <c r="ALP7" s="1716"/>
      <c r="ALQ7" s="1716"/>
      <c r="ALR7" s="1716"/>
      <c r="ALS7" s="1716"/>
      <c r="ALT7" s="1716"/>
      <c r="ALU7" s="1716"/>
      <c r="ALV7" s="1716"/>
      <c r="ALW7" s="1716"/>
      <c r="ALX7" s="1716"/>
      <c r="ALY7" s="1716"/>
      <c r="ALZ7" s="1716"/>
      <c r="AMA7" s="1716"/>
      <c r="AMB7" s="1716"/>
      <c r="AMC7" s="1716"/>
      <c r="AMD7" s="1716"/>
      <c r="AME7" s="1716"/>
      <c r="AMF7" s="1716"/>
      <c r="AMG7" s="1716"/>
      <c r="AMH7" s="1716"/>
      <c r="AMI7" s="1716"/>
      <c r="AMJ7" s="1716"/>
      <c r="AMK7" s="1716"/>
      <c r="AML7" s="1716"/>
      <c r="AMM7" s="1716"/>
      <c r="AMN7" s="1716"/>
      <c r="AMO7" s="1716"/>
      <c r="AMP7" s="1716"/>
      <c r="AMQ7" s="1716"/>
      <c r="AMR7" s="1716"/>
      <c r="AMS7" s="1716"/>
      <c r="AMT7" s="1716"/>
      <c r="AMU7" s="1716"/>
      <c r="AMV7" s="1716"/>
      <c r="AMW7" s="1716"/>
      <c r="AMX7" s="1716"/>
      <c r="AMY7" s="1716"/>
      <c r="AMZ7" s="1716"/>
      <c r="ANA7" s="1716"/>
      <c r="ANB7" s="1716"/>
      <c r="ANC7" s="1716"/>
      <c r="AND7" s="1716"/>
      <c r="ANE7" s="1716"/>
      <c r="ANF7" s="1716"/>
      <c r="ANG7" s="1716"/>
      <c r="ANH7" s="1716"/>
      <c r="ANI7" s="1716"/>
      <c r="ANJ7" s="1716"/>
      <c r="ANK7" s="1716"/>
      <c r="ANL7" s="1716"/>
      <c r="ANM7" s="1716"/>
      <c r="ANN7" s="1716"/>
      <c r="ANO7" s="1716"/>
      <c r="ANP7" s="1716"/>
      <c r="ANQ7" s="1716"/>
      <c r="ANR7" s="1716"/>
      <c r="ANS7" s="1716"/>
      <c r="ANT7" s="1716"/>
      <c r="ANU7" s="1716"/>
      <c r="ANV7" s="1716"/>
      <c r="ANW7" s="1716"/>
      <c r="ANX7" s="1716"/>
      <c r="ANY7" s="1716"/>
      <c r="ANZ7" s="1716"/>
      <c r="AOA7" s="1716"/>
      <c r="AOB7" s="1716"/>
      <c r="AOC7" s="1716"/>
      <c r="AOD7" s="1716"/>
      <c r="AOE7" s="1716"/>
      <c r="AOF7" s="1716"/>
      <c r="AOG7" s="1716"/>
      <c r="AOH7" s="1716"/>
      <c r="AOI7" s="1716"/>
      <c r="AOJ7" s="1716"/>
      <c r="AOK7" s="1716"/>
      <c r="AOL7" s="1716"/>
      <c r="AOM7" s="1716"/>
      <c r="AON7" s="1716"/>
      <c r="AOO7" s="1716"/>
      <c r="AOP7" s="1716"/>
      <c r="AOQ7" s="1716"/>
      <c r="AOR7" s="1716"/>
      <c r="AOS7" s="1716"/>
      <c r="AOT7" s="1716"/>
      <c r="AOU7" s="1716"/>
      <c r="AOV7" s="1716"/>
      <c r="AOW7" s="1716"/>
      <c r="AOX7" s="1716"/>
      <c r="AOY7" s="1716"/>
      <c r="AOZ7" s="1716"/>
      <c r="APA7" s="1716"/>
      <c r="APB7" s="1716"/>
      <c r="APC7" s="1716"/>
      <c r="APD7" s="1716"/>
      <c r="APE7" s="1716"/>
      <c r="APF7" s="1716"/>
      <c r="APG7" s="1716"/>
      <c r="APH7" s="1716"/>
      <c r="API7" s="1716"/>
      <c r="APJ7" s="1716"/>
      <c r="APK7" s="1716"/>
      <c r="APL7" s="1716"/>
      <c r="APM7" s="1716"/>
      <c r="APN7" s="1716"/>
      <c r="APO7" s="1716"/>
      <c r="APP7" s="1716"/>
      <c r="APQ7" s="1716"/>
      <c r="APR7" s="1716"/>
      <c r="APS7" s="1716"/>
      <c r="APT7" s="1716"/>
      <c r="APU7" s="1716"/>
      <c r="APV7" s="1716"/>
      <c r="APW7" s="1716"/>
      <c r="APX7" s="1716"/>
      <c r="APY7" s="1716"/>
      <c r="APZ7" s="1716"/>
      <c r="AQA7" s="1716"/>
      <c r="AQB7" s="1716"/>
      <c r="AQC7" s="1716"/>
      <c r="AQD7" s="1716"/>
      <c r="AQE7" s="1716"/>
      <c r="AQF7" s="1716"/>
      <c r="AQG7" s="1716"/>
      <c r="AQH7" s="1716"/>
      <c r="AQI7" s="1716"/>
      <c r="AQJ7" s="1716"/>
      <c r="AQK7" s="1716"/>
      <c r="AQL7" s="1716"/>
      <c r="AQM7" s="1716"/>
      <c r="AQN7" s="1716"/>
      <c r="AQO7" s="1716"/>
      <c r="AQP7" s="1716"/>
      <c r="AQQ7" s="1716"/>
      <c r="AQR7" s="1716"/>
      <c r="AQS7" s="1716"/>
      <c r="AQT7" s="1716"/>
      <c r="AQU7" s="1716"/>
      <c r="AQV7" s="1716"/>
      <c r="AQW7" s="1716"/>
      <c r="AQX7" s="1716"/>
      <c r="AQY7" s="1716"/>
      <c r="AQZ7" s="1716"/>
      <c r="ARA7" s="1716"/>
      <c r="ARB7" s="1716"/>
      <c r="ARC7" s="1716"/>
      <c r="ARD7" s="1716"/>
      <c r="ARE7" s="1716"/>
      <c r="ARF7" s="1716"/>
      <c r="ARG7" s="1716"/>
      <c r="ARH7" s="1716"/>
      <c r="ARI7" s="1716"/>
      <c r="ARJ7" s="1716"/>
      <c r="ARK7" s="1716"/>
      <c r="ARL7" s="1716"/>
      <c r="ARM7" s="1716"/>
      <c r="ARN7" s="1716"/>
      <c r="ARO7" s="1716"/>
      <c r="ARP7" s="1716"/>
      <c r="ARQ7" s="1716"/>
      <c r="ARR7" s="1716"/>
      <c r="ARS7" s="1716"/>
      <c r="ART7" s="1716"/>
      <c r="ARU7" s="1716"/>
      <c r="ARV7" s="1716"/>
      <c r="ARW7" s="1716"/>
      <c r="ARX7" s="1716"/>
      <c r="ARY7" s="1716"/>
      <c r="ARZ7" s="1716"/>
      <c r="ASA7" s="1716"/>
      <c r="ASB7" s="1716"/>
      <c r="ASC7" s="1716"/>
      <c r="ASD7" s="1716"/>
      <c r="ASE7" s="1716"/>
      <c r="ASF7" s="1716"/>
      <c r="ASG7" s="1716"/>
      <c r="ASH7" s="1716"/>
      <c r="ASI7" s="1716"/>
      <c r="ASJ7" s="1716"/>
      <c r="ASK7" s="1716"/>
      <c r="ASL7" s="1716"/>
      <c r="ASM7" s="1716"/>
      <c r="ASN7" s="1716"/>
      <c r="ASO7" s="1716"/>
      <c r="ASP7" s="1716"/>
      <c r="ASQ7" s="1716"/>
      <c r="ASR7" s="1716"/>
      <c r="ASS7" s="1716"/>
      <c r="AST7" s="1716"/>
      <c r="ASU7" s="1716"/>
      <c r="ASV7" s="1716"/>
      <c r="ASW7" s="1716"/>
      <c r="ASX7" s="1716"/>
      <c r="ASY7" s="1716"/>
      <c r="ASZ7" s="1716"/>
      <c r="ATA7" s="1716"/>
      <c r="ATB7" s="1716"/>
      <c r="ATC7" s="1716"/>
      <c r="ATD7" s="1716"/>
      <c r="ATE7" s="1716"/>
      <c r="ATF7" s="1716"/>
      <c r="ATG7" s="1716"/>
      <c r="ATH7" s="1716"/>
      <c r="ATI7" s="1716"/>
      <c r="ATJ7" s="1716"/>
      <c r="ATK7" s="1716"/>
      <c r="ATL7" s="1716"/>
      <c r="ATM7" s="1716"/>
      <c r="ATN7" s="1716"/>
      <c r="ATO7" s="1716"/>
      <c r="ATP7" s="1716"/>
      <c r="ATQ7" s="1716"/>
      <c r="ATR7" s="1716"/>
      <c r="ATS7" s="1716"/>
      <c r="ATT7" s="1716"/>
      <c r="ATU7" s="1716"/>
      <c r="ATV7" s="1716"/>
      <c r="ATW7" s="1716"/>
      <c r="ATX7" s="1716"/>
      <c r="ATY7" s="1716"/>
      <c r="ATZ7" s="1716"/>
      <c r="AUA7" s="1716"/>
      <c r="AUB7" s="1716"/>
      <c r="AUC7" s="1716"/>
      <c r="AUD7" s="1716"/>
      <c r="AUE7" s="1716"/>
      <c r="AUF7" s="1716"/>
      <c r="AUG7" s="1716"/>
      <c r="AUH7" s="1716"/>
      <c r="AUI7" s="1716"/>
      <c r="AUJ7" s="1716"/>
      <c r="AUK7" s="1716"/>
      <c r="AUL7" s="1716"/>
      <c r="AUM7" s="1716"/>
      <c r="AUN7" s="1716"/>
      <c r="AUO7" s="1716"/>
      <c r="AUP7" s="1716"/>
      <c r="AUQ7" s="1716"/>
      <c r="AUR7" s="1716"/>
      <c r="AUS7" s="1716"/>
      <c r="AUT7" s="1716"/>
      <c r="AUU7" s="1716"/>
      <c r="AUV7" s="1716"/>
      <c r="AUW7" s="1716"/>
      <c r="AUX7" s="1716"/>
      <c r="AUY7" s="1716"/>
      <c r="AUZ7" s="1716"/>
      <c r="AVA7" s="1716"/>
      <c r="AVB7" s="1716"/>
      <c r="AVC7" s="1716"/>
      <c r="AVD7" s="1716"/>
      <c r="AVE7" s="1716"/>
      <c r="AVF7" s="1716"/>
      <c r="AVG7" s="1716"/>
      <c r="AVH7" s="1716"/>
      <c r="AVI7" s="1716"/>
      <c r="AVJ7" s="1716"/>
      <c r="AVK7" s="1716"/>
      <c r="AVL7" s="1716"/>
      <c r="AVM7" s="1716"/>
      <c r="AVN7" s="1716"/>
      <c r="AVO7" s="1716"/>
      <c r="AVP7" s="1716"/>
      <c r="AVQ7" s="1716"/>
      <c r="AVR7" s="1716"/>
      <c r="AVS7" s="1716"/>
      <c r="AVT7" s="1716"/>
      <c r="AVU7" s="1716"/>
      <c r="AVV7" s="1716"/>
      <c r="AVW7" s="1716"/>
      <c r="AVX7" s="1716"/>
      <c r="AVY7" s="1716"/>
      <c r="AVZ7" s="1716"/>
      <c r="AWA7" s="1716"/>
      <c r="AWB7" s="1716"/>
      <c r="AWC7" s="1716"/>
      <c r="AWD7" s="1716"/>
      <c r="AWE7" s="1716"/>
      <c r="AWF7" s="1716"/>
      <c r="AWG7" s="1716"/>
      <c r="AWH7" s="1716"/>
      <c r="AWI7" s="1716"/>
      <c r="AWJ7" s="1716"/>
      <c r="AWK7" s="1716"/>
      <c r="AWL7" s="1716"/>
      <c r="AWM7" s="1716"/>
      <c r="AWN7" s="1716"/>
      <c r="AWO7" s="1716"/>
      <c r="AWP7" s="1716"/>
      <c r="AWQ7" s="1716"/>
      <c r="AWR7" s="1716"/>
      <c r="AWS7" s="1716"/>
      <c r="AWT7" s="1716"/>
      <c r="AWU7" s="1716"/>
      <c r="AWV7" s="1716"/>
      <c r="AWW7" s="1716"/>
      <c r="AWX7" s="1716"/>
      <c r="AWY7" s="1716"/>
      <c r="AWZ7" s="1716"/>
      <c r="AXA7" s="1716"/>
      <c r="AXB7" s="1716"/>
      <c r="AXC7" s="1716"/>
      <c r="AXD7" s="1716"/>
      <c r="AXE7" s="1716"/>
      <c r="AXF7" s="1716"/>
      <c r="AXG7" s="1716"/>
      <c r="AXH7" s="1716"/>
      <c r="AXI7" s="1716"/>
      <c r="AXJ7" s="1716"/>
      <c r="AXK7" s="1716"/>
      <c r="AXL7" s="1716"/>
      <c r="AXM7" s="1716"/>
      <c r="AXN7" s="1716"/>
      <c r="AXO7" s="1716"/>
      <c r="AXP7" s="1716"/>
      <c r="AXQ7" s="1716"/>
      <c r="AXR7" s="1716"/>
      <c r="AXS7" s="1716"/>
      <c r="AXT7" s="1716"/>
      <c r="AXU7" s="1716"/>
      <c r="AXV7" s="1716"/>
      <c r="AXW7" s="1716"/>
      <c r="AXX7" s="1716"/>
      <c r="AXY7" s="1716"/>
      <c r="AXZ7" s="1716"/>
      <c r="AYA7" s="1716"/>
      <c r="AYB7" s="1716"/>
      <c r="AYC7" s="1716"/>
      <c r="AYD7" s="1716"/>
      <c r="AYE7" s="1716"/>
      <c r="AYF7" s="1716"/>
      <c r="AYG7" s="1716"/>
      <c r="AYH7" s="1716"/>
      <c r="AYI7" s="1716"/>
      <c r="AYJ7" s="1716"/>
      <c r="AYK7" s="1716"/>
      <c r="AYL7" s="1716"/>
      <c r="AYM7" s="1716"/>
      <c r="AYN7" s="1716"/>
      <c r="AYO7" s="1716"/>
      <c r="AYP7" s="1716"/>
      <c r="AYQ7" s="1716"/>
      <c r="AYR7" s="1716"/>
      <c r="AYS7" s="1716"/>
      <c r="AYT7" s="1716"/>
      <c r="AYU7" s="1716"/>
      <c r="AYV7" s="1716"/>
      <c r="AYW7" s="1716"/>
      <c r="AYX7" s="1716"/>
      <c r="AYY7" s="1716"/>
      <c r="AYZ7" s="1716"/>
      <c r="AZA7" s="1716"/>
      <c r="AZB7" s="1716"/>
      <c r="AZC7" s="1716"/>
      <c r="AZD7" s="1716"/>
      <c r="AZE7" s="1716"/>
      <c r="AZF7" s="1716"/>
      <c r="AZG7" s="1716"/>
      <c r="AZH7" s="1716"/>
      <c r="AZI7" s="1716"/>
      <c r="AZJ7" s="1716"/>
      <c r="AZK7" s="1716"/>
      <c r="AZL7" s="1716"/>
      <c r="AZM7" s="1716"/>
      <c r="AZN7" s="1716"/>
      <c r="AZO7" s="1716"/>
      <c r="AZP7" s="1716"/>
      <c r="AZQ7" s="1716"/>
      <c r="AZR7" s="1716"/>
      <c r="AZS7" s="1716"/>
      <c r="AZT7" s="1716"/>
      <c r="AZU7" s="1716"/>
      <c r="AZV7" s="1716"/>
      <c r="AZW7" s="1716"/>
      <c r="AZX7" s="1716"/>
    </row>
    <row r="8" spans="1:1376" s="2018" customFormat="1" ht="108" customHeight="1" x14ac:dyDescent="0.2">
      <c r="A8" s="2987"/>
      <c r="B8" s="2932"/>
      <c r="C8" s="2933"/>
      <c r="D8" s="2933"/>
      <c r="E8" s="2932"/>
      <c r="F8" s="2933"/>
      <c r="G8" s="2933"/>
      <c r="H8" s="2932"/>
      <c r="I8" s="2933"/>
      <c r="J8" s="2933"/>
      <c r="K8" s="2932"/>
      <c r="L8" s="2935"/>
      <c r="M8" s="2935"/>
      <c r="N8" s="2935"/>
      <c r="O8" s="2935"/>
      <c r="P8" s="2935"/>
      <c r="Q8" s="2995"/>
      <c r="R8" s="3551"/>
      <c r="S8" s="2932"/>
      <c r="T8" s="2932"/>
      <c r="U8" s="2935"/>
      <c r="V8" s="3547"/>
      <c r="W8" s="2929"/>
      <c r="X8" s="2935"/>
      <c r="Y8" s="127" t="s">
        <v>34</v>
      </c>
      <c r="Z8" s="127" t="s">
        <v>35</v>
      </c>
      <c r="AA8" s="127" t="s">
        <v>36</v>
      </c>
      <c r="AB8" s="127" t="s">
        <v>121</v>
      </c>
      <c r="AC8" s="400" t="s">
        <v>164</v>
      </c>
      <c r="AD8" s="127" t="s">
        <v>123</v>
      </c>
      <c r="AE8" s="127" t="s">
        <v>40</v>
      </c>
      <c r="AF8" s="127" t="s">
        <v>41</v>
      </c>
      <c r="AG8" s="127" t="s">
        <v>42</v>
      </c>
      <c r="AH8" s="127" t="s">
        <v>43</v>
      </c>
      <c r="AI8" s="127" t="s">
        <v>44</v>
      </c>
      <c r="AJ8" s="127" t="s">
        <v>45</v>
      </c>
      <c r="AK8" s="127" t="s">
        <v>46</v>
      </c>
      <c r="AL8" s="127" t="s">
        <v>47</v>
      </c>
      <c r="AM8" s="127" t="s">
        <v>48</v>
      </c>
      <c r="AN8" s="2989"/>
      <c r="AO8" s="2990"/>
      <c r="AP8" s="2990"/>
      <c r="AQ8" s="2937"/>
      <c r="AR8" s="1716"/>
      <c r="AS8" s="1716"/>
      <c r="AT8" s="1716"/>
      <c r="AU8" s="1716"/>
      <c r="AV8" s="1716"/>
      <c r="AW8" s="1716"/>
      <c r="AX8" s="1716"/>
      <c r="AY8" s="1716"/>
      <c r="AZ8" s="1716"/>
      <c r="BA8" s="1716"/>
      <c r="BB8" s="1716"/>
      <c r="BC8" s="1716"/>
      <c r="BD8" s="1716"/>
      <c r="BE8" s="1716"/>
      <c r="BF8" s="1716"/>
      <c r="BG8" s="1716"/>
      <c r="BH8" s="1716"/>
      <c r="BI8" s="1716"/>
      <c r="BJ8" s="1716"/>
      <c r="BK8" s="1716"/>
      <c r="BL8" s="1716"/>
      <c r="BM8" s="1716"/>
      <c r="BN8" s="1716"/>
      <c r="BO8" s="1716"/>
      <c r="BP8" s="1716"/>
      <c r="BQ8" s="1716"/>
      <c r="BR8" s="1716"/>
      <c r="BS8" s="1716"/>
      <c r="BT8" s="1716"/>
      <c r="BU8" s="1716"/>
      <c r="BV8" s="1716"/>
      <c r="BW8" s="1716"/>
      <c r="BX8" s="1716"/>
      <c r="BY8" s="1716"/>
      <c r="BZ8" s="1716"/>
      <c r="CA8" s="1716"/>
      <c r="CB8" s="1716"/>
      <c r="CC8" s="1716"/>
      <c r="CD8" s="1716"/>
      <c r="CE8" s="1716"/>
      <c r="CF8" s="1716"/>
      <c r="CG8" s="1716"/>
      <c r="CH8" s="1716"/>
      <c r="CI8" s="1716"/>
      <c r="CJ8" s="1716"/>
      <c r="CK8" s="1716"/>
      <c r="CL8" s="1716"/>
      <c r="CM8" s="1716"/>
      <c r="CN8" s="1716"/>
      <c r="CO8" s="1716"/>
      <c r="CP8" s="1716"/>
      <c r="CQ8" s="1716"/>
      <c r="CR8" s="1716"/>
      <c r="CS8" s="1716"/>
      <c r="CT8" s="1716"/>
      <c r="CU8" s="1716"/>
      <c r="CV8" s="1716"/>
      <c r="CW8" s="1716"/>
      <c r="CX8" s="1716"/>
      <c r="CY8" s="1716"/>
      <c r="CZ8" s="1716"/>
      <c r="DA8" s="1716"/>
      <c r="DB8" s="1716"/>
      <c r="DC8" s="1716"/>
      <c r="DD8" s="1716"/>
      <c r="DE8" s="1716"/>
      <c r="DF8" s="1716"/>
      <c r="DG8" s="1716"/>
      <c r="DH8" s="1716"/>
      <c r="DI8" s="1716"/>
      <c r="DJ8" s="1716"/>
      <c r="DK8" s="1716"/>
      <c r="DL8" s="1716"/>
      <c r="DM8" s="1716"/>
      <c r="DN8" s="1716"/>
      <c r="DO8" s="1716"/>
      <c r="DP8" s="1716"/>
      <c r="DQ8" s="1716"/>
      <c r="DR8" s="1716"/>
      <c r="DS8" s="1716"/>
      <c r="DT8" s="1716"/>
      <c r="DU8" s="1716"/>
      <c r="DV8" s="1716"/>
      <c r="DW8" s="1716"/>
      <c r="DX8" s="1716"/>
      <c r="DY8" s="1716"/>
      <c r="DZ8" s="1716"/>
      <c r="EA8" s="1716"/>
      <c r="EB8" s="1716"/>
      <c r="EC8" s="1716"/>
      <c r="ED8" s="1716"/>
      <c r="EE8" s="1716"/>
      <c r="EF8" s="1716"/>
      <c r="EG8" s="1716"/>
      <c r="EH8" s="1716"/>
      <c r="EI8" s="1716"/>
      <c r="EJ8" s="1716"/>
      <c r="EK8" s="1716"/>
      <c r="EL8" s="1716"/>
      <c r="EM8" s="1716"/>
      <c r="EN8" s="1716"/>
      <c r="EO8" s="1716"/>
      <c r="EP8" s="1716"/>
      <c r="EQ8" s="1716"/>
      <c r="ER8" s="1716"/>
      <c r="ES8" s="1716"/>
      <c r="ET8" s="1716"/>
      <c r="EU8" s="1716"/>
      <c r="EV8" s="1716"/>
      <c r="EW8" s="1716"/>
      <c r="EX8" s="1716"/>
      <c r="EY8" s="1716"/>
      <c r="EZ8" s="1716"/>
      <c r="FA8" s="1716"/>
      <c r="FB8" s="1716"/>
      <c r="FC8" s="1716"/>
      <c r="FD8" s="1716"/>
      <c r="FE8" s="1716"/>
      <c r="FF8" s="1716"/>
      <c r="FG8" s="1716"/>
      <c r="FH8" s="1716"/>
      <c r="FI8" s="1716"/>
      <c r="FJ8" s="1716"/>
      <c r="FK8" s="1716"/>
      <c r="FL8" s="1716"/>
      <c r="FM8" s="1716"/>
      <c r="FN8" s="1716"/>
      <c r="FO8" s="1716"/>
      <c r="FP8" s="1716"/>
      <c r="FQ8" s="1716"/>
      <c r="FR8" s="1716"/>
      <c r="FS8" s="1716"/>
      <c r="FT8" s="1716"/>
      <c r="FU8" s="1716"/>
      <c r="FV8" s="1716"/>
      <c r="FW8" s="1716"/>
      <c r="FX8" s="1716"/>
      <c r="FY8" s="1716"/>
      <c r="FZ8" s="1716"/>
      <c r="GA8" s="1716"/>
      <c r="GB8" s="1716"/>
      <c r="GC8" s="1716"/>
      <c r="GD8" s="1716"/>
      <c r="GE8" s="1716"/>
      <c r="GF8" s="1716"/>
      <c r="GG8" s="1716"/>
      <c r="GH8" s="1716"/>
      <c r="GI8" s="1716"/>
      <c r="GJ8" s="1716"/>
      <c r="GK8" s="1716"/>
      <c r="GL8" s="1716"/>
      <c r="GM8" s="1716"/>
      <c r="GN8" s="1716"/>
      <c r="GO8" s="1716"/>
      <c r="GP8" s="1716"/>
      <c r="GQ8" s="1716"/>
      <c r="GR8" s="1716"/>
      <c r="GS8" s="1716"/>
      <c r="GT8" s="1716"/>
      <c r="GU8" s="1716"/>
      <c r="GV8" s="1716"/>
      <c r="GW8" s="1716"/>
      <c r="GX8" s="1716"/>
      <c r="GY8" s="1716"/>
      <c r="GZ8" s="1716"/>
      <c r="HA8" s="1716"/>
      <c r="HB8" s="1716"/>
      <c r="HC8" s="1716"/>
      <c r="HD8" s="1716"/>
      <c r="HE8" s="1716"/>
      <c r="HF8" s="1716"/>
      <c r="HG8" s="1716"/>
      <c r="HH8" s="1716"/>
      <c r="HI8" s="1716"/>
      <c r="HJ8" s="1716"/>
      <c r="HK8" s="1716"/>
      <c r="HL8" s="1716"/>
      <c r="HM8" s="1716"/>
      <c r="HN8" s="1716"/>
      <c r="HO8" s="1716"/>
      <c r="HP8" s="1716"/>
      <c r="HQ8" s="1716"/>
      <c r="HR8" s="1716"/>
      <c r="HS8" s="1716"/>
      <c r="HT8" s="1716"/>
      <c r="HU8" s="1716"/>
      <c r="HV8" s="1716"/>
      <c r="HW8" s="1716"/>
      <c r="HX8" s="1716"/>
      <c r="HY8" s="1716"/>
      <c r="HZ8" s="1716"/>
      <c r="IA8" s="1716"/>
      <c r="IB8" s="1716"/>
      <c r="IC8" s="1716"/>
      <c r="ID8" s="1716"/>
      <c r="IE8" s="1716"/>
      <c r="IF8" s="1716"/>
      <c r="IG8" s="1716"/>
      <c r="IH8" s="1716"/>
      <c r="II8" s="1716"/>
      <c r="IJ8" s="1716"/>
      <c r="IK8" s="1716"/>
      <c r="IL8" s="1716"/>
      <c r="IM8" s="1716"/>
      <c r="IN8" s="1716"/>
      <c r="IO8" s="1716"/>
      <c r="IP8" s="1716"/>
      <c r="IQ8" s="1716"/>
      <c r="IR8" s="1716"/>
      <c r="IS8" s="1716"/>
      <c r="IT8" s="1716"/>
      <c r="IU8" s="1716"/>
      <c r="IV8" s="1716"/>
      <c r="IW8" s="1716"/>
      <c r="IX8" s="1716"/>
      <c r="IY8" s="1716"/>
      <c r="IZ8" s="1716"/>
      <c r="JA8" s="1716"/>
      <c r="JB8" s="1716"/>
      <c r="JC8" s="1716"/>
      <c r="JD8" s="1716"/>
      <c r="JE8" s="1716"/>
      <c r="JF8" s="1716"/>
      <c r="JG8" s="1716"/>
      <c r="JH8" s="1716"/>
      <c r="JI8" s="1716"/>
      <c r="JJ8" s="1716"/>
      <c r="JK8" s="1716"/>
      <c r="JL8" s="1716"/>
      <c r="JM8" s="1716"/>
      <c r="JN8" s="1716"/>
      <c r="JO8" s="1716"/>
      <c r="JP8" s="1716"/>
      <c r="JQ8" s="1716"/>
      <c r="JR8" s="1716"/>
      <c r="JS8" s="1716"/>
      <c r="JT8" s="1716"/>
      <c r="JU8" s="1716"/>
      <c r="JV8" s="1716"/>
      <c r="JW8" s="1716"/>
      <c r="JX8" s="1716"/>
      <c r="JY8" s="1716"/>
      <c r="JZ8" s="1716"/>
      <c r="KA8" s="1716"/>
      <c r="KB8" s="1716"/>
      <c r="KC8" s="1716"/>
      <c r="KD8" s="1716"/>
      <c r="KE8" s="1716"/>
      <c r="KF8" s="1716"/>
      <c r="KG8" s="1716"/>
      <c r="KH8" s="1716"/>
      <c r="KI8" s="1716"/>
      <c r="KJ8" s="1716"/>
      <c r="KK8" s="1716"/>
      <c r="KL8" s="1716"/>
      <c r="KM8" s="1716"/>
      <c r="KN8" s="1716"/>
      <c r="KO8" s="1716"/>
      <c r="KP8" s="1716"/>
      <c r="KQ8" s="1716"/>
      <c r="KR8" s="1716"/>
      <c r="KS8" s="1716"/>
      <c r="KT8" s="1716"/>
      <c r="KU8" s="1716"/>
      <c r="KV8" s="1716"/>
      <c r="KW8" s="1716"/>
      <c r="KX8" s="1716"/>
      <c r="KY8" s="1716"/>
      <c r="KZ8" s="1716"/>
      <c r="LA8" s="1716"/>
      <c r="LB8" s="1716"/>
      <c r="LC8" s="1716"/>
      <c r="LD8" s="1716"/>
      <c r="LE8" s="1716"/>
      <c r="LF8" s="1716"/>
      <c r="LG8" s="1716"/>
      <c r="LH8" s="1716"/>
      <c r="LI8" s="1716"/>
      <c r="LJ8" s="1716"/>
      <c r="LK8" s="1716"/>
      <c r="LL8" s="1716"/>
      <c r="LM8" s="1716"/>
      <c r="LN8" s="1716"/>
      <c r="LO8" s="1716"/>
      <c r="LP8" s="1716"/>
      <c r="LQ8" s="1716"/>
      <c r="LR8" s="1716"/>
      <c r="LS8" s="1716"/>
      <c r="LT8" s="1716"/>
      <c r="LU8" s="1716"/>
      <c r="LV8" s="1716"/>
      <c r="LW8" s="1716"/>
      <c r="LX8" s="1716"/>
      <c r="LY8" s="1716"/>
      <c r="LZ8" s="1716"/>
      <c r="MA8" s="1716"/>
      <c r="MB8" s="1716"/>
      <c r="MC8" s="1716"/>
      <c r="MD8" s="1716"/>
      <c r="ME8" s="1716"/>
      <c r="MF8" s="1716"/>
      <c r="MG8" s="1716"/>
      <c r="MH8" s="1716"/>
      <c r="MI8" s="1716"/>
      <c r="MJ8" s="1716"/>
      <c r="MK8" s="1716"/>
      <c r="ML8" s="1716"/>
      <c r="MM8" s="1716"/>
      <c r="MN8" s="1716"/>
      <c r="MO8" s="1716"/>
      <c r="MP8" s="1716"/>
      <c r="MQ8" s="1716"/>
      <c r="MR8" s="1716"/>
      <c r="MS8" s="1716"/>
      <c r="MT8" s="1716"/>
      <c r="MU8" s="1716"/>
      <c r="MV8" s="1716"/>
      <c r="MW8" s="1716"/>
      <c r="MX8" s="1716"/>
      <c r="MY8" s="1716"/>
      <c r="MZ8" s="1716"/>
      <c r="NA8" s="1716"/>
      <c r="NB8" s="1716"/>
      <c r="NC8" s="1716"/>
      <c r="ND8" s="1716"/>
      <c r="NE8" s="1716"/>
      <c r="NF8" s="1716"/>
      <c r="NG8" s="1716"/>
      <c r="NH8" s="1716"/>
      <c r="NI8" s="1716"/>
      <c r="NJ8" s="1716"/>
      <c r="NK8" s="1716"/>
      <c r="NL8" s="1716"/>
      <c r="NM8" s="1716"/>
      <c r="NN8" s="1716"/>
      <c r="NO8" s="1716"/>
      <c r="NP8" s="1716"/>
      <c r="NQ8" s="1716"/>
      <c r="NR8" s="1716"/>
      <c r="NS8" s="1716"/>
      <c r="NT8" s="1716"/>
      <c r="NU8" s="1716"/>
      <c r="NV8" s="1716"/>
      <c r="NW8" s="1716"/>
      <c r="NX8" s="1716"/>
      <c r="NY8" s="1716"/>
      <c r="NZ8" s="1716"/>
      <c r="OA8" s="1716"/>
      <c r="OB8" s="1716"/>
      <c r="OC8" s="1716"/>
      <c r="OD8" s="1716"/>
      <c r="OE8" s="1716"/>
      <c r="OF8" s="1716"/>
      <c r="OG8" s="1716"/>
      <c r="OH8" s="1716"/>
      <c r="OI8" s="1716"/>
      <c r="OJ8" s="1716"/>
      <c r="OK8" s="1716"/>
      <c r="OL8" s="1716"/>
      <c r="OM8" s="1716"/>
      <c r="ON8" s="1716"/>
      <c r="OO8" s="1716"/>
      <c r="OP8" s="1716"/>
      <c r="OQ8" s="1716"/>
      <c r="OR8" s="1716"/>
      <c r="OS8" s="1716"/>
      <c r="OT8" s="1716"/>
      <c r="OU8" s="1716"/>
      <c r="OV8" s="1716"/>
      <c r="OW8" s="1716"/>
      <c r="OX8" s="1716"/>
      <c r="OY8" s="1716"/>
      <c r="OZ8" s="1716"/>
      <c r="PA8" s="1716"/>
      <c r="PB8" s="1716"/>
      <c r="PC8" s="1716"/>
      <c r="PD8" s="1716"/>
      <c r="PE8" s="1716"/>
      <c r="PF8" s="1716"/>
      <c r="PG8" s="1716"/>
      <c r="PH8" s="1716"/>
      <c r="PI8" s="1716"/>
      <c r="PJ8" s="1716"/>
      <c r="PK8" s="1716"/>
      <c r="PL8" s="1716"/>
      <c r="PM8" s="1716"/>
      <c r="PN8" s="1716"/>
      <c r="PO8" s="1716"/>
      <c r="PP8" s="1716"/>
      <c r="PQ8" s="1716"/>
      <c r="PR8" s="1716"/>
      <c r="PS8" s="1716"/>
      <c r="PT8" s="1716"/>
      <c r="PU8" s="1716"/>
      <c r="PV8" s="1716"/>
      <c r="PW8" s="1716"/>
      <c r="PX8" s="1716"/>
      <c r="PY8" s="1716"/>
      <c r="PZ8" s="1716"/>
      <c r="QA8" s="1716"/>
      <c r="QB8" s="1716"/>
      <c r="QC8" s="1716"/>
      <c r="QD8" s="1716"/>
      <c r="QE8" s="1716"/>
      <c r="QF8" s="1716"/>
      <c r="QG8" s="1716"/>
      <c r="QH8" s="1716"/>
      <c r="QI8" s="1716"/>
      <c r="QJ8" s="1716"/>
      <c r="QK8" s="1716"/>
      <c r="QL8" s="1716"/>
      <c r="QM8" s="1716"/>
      <c r="QN8" s="1716"/>
      <c r="QO8" s="1716"/>
      <c r="QP8" s="1716"/>
      <c r="QQ8" s="1716"/>
      <c r="QR8" s="1716"/>
      <c r="QS8" s="1716"/>
      <c r="QT8" s="1716"/>
      <c r="QU8" s="1716"/>
      <c r="QV8" s="1716"/>
      <c r="QW8" s="1716"/>
      <c r="QX8" s="1716"/>
      <c r="QY8" s="1716"/>
      <c r="QZ8" s="1716"/>
      <c r="RA8" s="1716"/>
      <c r="RB8" s="1716"/>
      <c r="RC8" s="1716"/>
      <c r="RD8" s="1716"/>
      <c r="RE8" s="1716"/>
      <c r="RF8" s="1716"/>
      <c r="RG8" s="1716"/>
      <c r="RH8" s="1716"/>
      <c r="RI8" s="1716"/>
      <c r="RJ8" s="1716"/>
      <c r="RK8" s="1716"/>
      <c r="RL8" s="1716"/>
      <c r="RM8" s="1716"/>
      <c r="RN8" s="1716"/>
      <c r="RO8" s="1716"/>
      <c r="RP8" s="1716"/>
      <c r="RQ8" s="1716"/>
      <c r="RR8" s="1716"/>
      <c r="RS8" s="1716"/>
      <c r="RT8" s="1716"/>
      <c r="RU8" s="1716"/>
      <c r="RV8" s="1716"/>
      <c r="RW8" s="1716"/>
      <c r="RX8" s="1716"/>
      <c r="RY8" s="1716"/>
      <c r="RZ8" s="1716"/>
      <c r="SA8" s="1716"/>
      <c r="SB8" s="1716"/>
      <c r="SC8" s="1716"/>
      <c r="SD8" s="1716"/>
      <c r="SE8" s="1716"/>
      <c r="SF8" s="1716"/>
      <c r="SG8" s="1716"/>
      <c r="SH8" s="1716"/>
      <c r="SI8" s="1716"/>
      <c r="SJ8" s="1716"/>
      <c r="SK8" s="1716"/>
      <c r="SL8" s="1716"/>
      <c r="SM8" s="1716"/>
      <c r="SN8" s="1716"/>
      <c r="SO8" s="1716"/>
      <c r="SP8" s="1716"/>
      <c r="SQ8" s="1716"/>
      <c r="SR8" s="1716"/>
      <c r="SS8" s="1716"/>
      <c r="ST8" s="1716"/>
      <c r="SU8" s="1716"/>
      <c r="SV8" s="1716"/>
      <c r="SW8" s="1716"/>
      <c r="SX8" s="1716"/>
      <c r="SY8" s="1716"/>
      <c r="SZ8" s="1716"/>
      <c r="TA8" s="1716"/>
      <c r="TB8" s="1716"/>
      <c r="TC8" s="1716"/>
      <c r="TD8" s="1716"/>
      <c r="TE8" s="1716"/>
      <c r="TF8" s="1716"/>
      <c r="TG8" s="1716"/>
      <c r="TH8" s="1716"/>
      <c r="TI8" s="1716"/>
      <c r="TJ8" s="1716"/>
      <c r="TK8" s="1716"/>
      <c r="TL8" s="1716"/>
      <c r="TM8" s="1716"/>
      <c r="TN8" s="1716"/>
      <c r="TO8" s="1716"/>
      <c r="TP8" s="1716"/>
      <c r="TQ8" s="1716"/>
      <c r="TR8" s="1716"/>
      <c r="TS8" s="1716"/>
      <c r="TT8" s="1716"/>
      <c r="TU8" s="1716"/>
      <c r="TV8" s="1716"/>
      <c r="TW8" s="1716"/>
      <c r="TX8" s="1716"/>
      <c r="TY8" s="1716"/>
      <c r="TZ8" s="1716"/>
      <c r="UA8" s="1716"/>
      <c r="UB8" s="1716"/>
      <c r="UC8" s="1716"/>
      <c r="UD8" s="1716"/>
      <c r="UE8" s="1716"/>
      <c r="UF8" s="1716"/>
      <c r="UG8" s="1716"/>
      <c r="UH8" s="1716"/>
      <c r="UI8" s="1716"/>
      <c r="UJ8" s="1716"/>
      <c r="UK8" s="1716"/>
      <c r="UL8" s="1716"/>
      <c r="UM8" s="1716"/>
      <c r="UN8" s="1716"/>
      <c r="UO8" s="1716"/>
      <c r="UP8" s="1716"/>
      <c r="UQ8" s="1716"/>
      <c r="UR8" s="1716"/>
      <c r="US8" s="1716"/>
      <c r="UT8" s="1716"/>
      <c r="UU8" s="1716"/>
      <c r="UV8" s="1716"/>
      <c r="UW8" s="1716"/>
      <c r="UX8" s="1716"/>
      <c r="UY8" s="1716"/>
      <c r="UZ8" s="1716"/>
      <c r="VA8" s="1716"/>
      <c r="VB8" s="1716"/>
      <c r="VC8" s="1716"/>
      <c r="VD8" s="1716"/>
      <c r="VE8" s="1716"/>
      <c r="VF8" s="1716"/>
      <c r="VG8" s="1716"/>
      <c r="VH8" s="1716"/>
      <c r="VI8" s="1716"/>
      <c r="VJ8" s="1716"/>
      <c r="VK8" s="1716"/>
      <c r="VL8" s="1716"/>
      <c r="VM8" s="1716"/>
      <c r="VN8" s="1716"/>
      <c r="VO8" s="1716"/>
      <c r="VP8" s="1716"/>
      <c r="VQ8" s="1716"/>
      <c r="VR8" s="1716"/>
      <c r="VS8" s="1716"/>
      <c r="VT8" s="1716"/>
      <c r="VU8" s="1716"/>
      <c r="VV8" s="1716"/>
      <c r="VW8" s="1716"/>
      <c r="VX8" s="1716"/>
      <c r="VY8" s="1716"/>
      <c r="VZ8" s="1716"/>
      <c r="WA8" s="1716"/>
      <c r="WB8" s="1716"/>
      <c r="WC8" s="1716"/>
      <c r="WD8" s="1716"/>
      <c r="WE8" s="1716"/>
      <c r="WF8" s="1716"/>
      <c r="WG8" s="1716"/>
      <c r="WH8" s="1716"/>
      <c r="WI8" s="1716"/>
      <c r="WJ8" s="1716"/>
      <c r="WK8" s="1716"/>
      <c r="WL8" s="1716"/>
      <c r="WM8" s="1716"/>
      <c r="WN8" s="1716"/>
      <c r="WO8" s="1716"/>
      <c r="WP8" s="1716"/>
      <c r="WQ8" s="1716"/>
      <c r="WR8" s="1716"/>
      <c r="WS8" s="1716"/>
      <c r="WT8" s="1716"/>
      <c r="WU8" s="1716"/>
      <c r="WV8" s="1716"/>
      <c r="WW8" s="1716"/>
      <c r="WX8" s="1716"/>
      <c r="WY8" s="1716"/>
      <c r="WZ8" s="1716"/>
      <c r="XA8" s="1716"/>
      <c r="XB8" s="1716"/>
      <c r="XC8" s="1716"/>
      <c r="XD8" s="1716"/>
      <c r="XE8" s="1716"/>
      <c r="XF8" s="1716"/>
      <c r="XG8" s="1716"/>
      <c r="XH8" s="1716"/>
      <c r="XI8" s="1716"/>
      <c r="XJ8" s="1716"/>
      <c r="XK8" s="1716"/>
      <c r="XL8" s="1716"/>
      <c r="XM8" s="1716"/>
      <c r="XN8" s="1716"/>
      <c r="XO8" s="1716"/>
      <c r="XP8" s="1716"/>
      <c r="XQ8" s="1716"/>
      <c r="XR8" s="1716"/>
      <c r="XS8" s="1716"/>
      <c r="XT8" s="1716"/>
      <c r="XU8" s="1716"/>
      <c r="XV8" s="1716"/>
      <c r="XW8" s="1716"/>
      <c r="XX8" s="1716"/>
      <c r="XY8" s="1716"/>
      <c r="XZ8" s="1716"/>
      <c r="YA8" s="1716"/>
      <c r="YB8" s="1716"/>
      <c r="YC8" s="1716"/>
      <c r="YD8" s="1716"/>
      <c r="YE8" s="1716"/>
      <c r="YF8" s="1716"/>
      <c r="YG8" s="1716"/>
      <c r="YH8" s="1716"/>
      <c r="YI8" s="1716"/>
      <c r="YJ8" s="1716"/>
      <c r="YK8" s="1716"/>
      <c r="YL8" s="1716"/>
      <c r="YM8" s="1716"/>
      <c r="YN8" s="1716"/>
      <c r="YO8" s="1716"/>
      <c r="YP8" s="1716"/>
      <c r="YQ8" s="1716"/>
      <c r="YR8" s="1716"/>
      <c r="YS8" s="1716"/>
      <c r="YT8" s="1716"/>
      <c r="YU8" s="1716"/>
      <c r="YV8" s="1716"/>
      <c r="YW8" s="1716"/>
      <c r="YX8" s="1716"/>
      <c r="YY8" s="1716"/>
      <c r="YZ8" s="1716"/>
      <c r="ZA8" s="1716"/>
      <c r="ZB8" s="1716"/>
      <c r="ZC8" s="1716"/>
      <c r="ZD8" s="1716"/>
      <c r="ZE8" s="1716"/>
      <c r="ZF8" s="1716"/>
      <c r="ZG8" s="1716"/>
      <c r="ZH8" s="1716"/>
      <c r="ZI8" s="1716"/>
      <c r="ZJ8" s="1716"/>
      <c r="ZK8" s="1716"/>
      <c r="ZL8" s="1716"/>
      <c r="ZM8" s="1716"/>
      <c r="ZN8" s="1716"/>
      <c r="ZO8" s="1716"/>
      <c r="ZP8" s="1716"/>
      <c r="ZQ8" s="1716"/>
      <c r="ZR8" s="1716"/>
      <c r="ZS8" s="1716"/>
      <c r="ZT8" s="1716"/>
      <c r="ZU8" s="1716"/>
      <c r="ZV8" s="1716"/>
      <c r="ZW8" s="1716"/>
      <c r="ZX8" s="1716"/>
      <c r="ZY8" s="1716"/>
      <c r="ZZ8" s="1716"/>
      <c r="AAA8" s="1716"/>
      <c r="AAB8" s="1716"/>
      <c r="AAC8" s="1716"/>
      <c r="AAD8" s="1716"/>
      <c r="AAE8" s="1716"/>
      <c r="AAF8" s="1716"/>
      <c r="AAG8" s="1716"/>
      <c r="AAH8" s="1716"/>
      <c r="AAI8" s="1716"/>
      <c r="AAJ8" s="1716"/>
      <c r="AAK8" s="1716"/>
      <c r="AAL8" s="1716"/>
      <c r="AAM8" s="1716"/>
      <c r="AAN8" s="1716"/>
      <c r="AAO8" s="1716"/>
      <c r="AAP8" s="1716"/>
      <c r="AAQ8" s="1716"/>
      <c r="AAR8" s="1716"/>
      <c r="AAS8" s="1716"/>
      <c r="AAT8" s="1716"/>
      <c r="AAU8" s="1716"/>
      <c r="AAV8" s="1716"/>
      <c r="AAW8" s="1716"/>
      <c r="AAX8" s="1716"/>
      <c r="AAY8" s="1716"/>
      <c r="AAZ8" s="1716"/>
      <c r="ABA8" s="1716"/>
      <c r="ABB8" s="1716"/>
      <c r="ABC8" s="1716"/>
      <c r="ABD8" s="1716"/>
      <c r="ABE8" s="1716"/>
      <c r="ABF8" s="1716"/>
      <c r="ABG8" s="1716"/>
      <c r="ABH8" s="1716"/>
      <c r="ABI8" s="1716"/>
      <c r="ABJ8" s="1716"/>
      <c r="ABK8" s="1716"/>
      <c r="ABL8" s="1716"/>
      <c r="ABM8" s="1716"/>
      <c r="ABN8" s="1716"/>
      <c r="ABO8" s="1716"/>
      <c r="ABP8" s="1716"/>
      <c r="ABQ8" s="1716"/>
      <c r="ABR8" s="1716"/>
      <c r="ABS8" s="1716"/>
      <c r="ABT8" s="1716"/>
      <c r="ABU8" s="1716"/>
      <c r="ABV8" s="1716"/>
      <c r="ABW8" s="1716"/>
      <c r="ABX8" s="1716"/>
      <c r="ABY8" s="1716"/>
      <c r="ABZ8" s="1716"/>
      <c r="ACA8" s="1716"/>
      <c r="ACB8" s="1716"/>
      <c r="ACC8" s="1716"/>
      <c r="ACD8" s="1716"/>
      <c r="ACE8" s="1716"/>
      <c r="ACF8" s="1716"/>
      <c r="ACG8" s="1716"/>
      <c r="ACH8" s="1716"/>
      <c r="ACI8" s="1716"/>
      <c r="ACJ8" s="1716"/>
      <c r="ACK8" s="1716"/>
      <c r="ACL8" s="1716"/>
      <c r="ACM8" s="1716"/>
      <c r="ACN8" s="1716"/>
      <c r="ACO8" s="1716"/>
      <c r="ACP8" s="1716"/>
      <c r="ACQ8" s="1716"/>
      <c r="ACR8" s="1716"/>
      <c r="ACS8" s="1716"/>
      <c r="ACT8" s="1716"/>
      <c r="ACU8" s="1716"/>
      <c r="ACV8" s="1716"/>
      <c r="ACW8" s="1716"/>
      <c r="ACX8" s="1716"/>
      <c r="ACY8" s="1716"/>
      <c r="ACZ8" s="1716"/>
      <c r="ADA8" s="1716"/>
      <c r="ADB8" s="1716"/>
      <c r="ADC8" s="1716"/>
      <c r="ADD8" s="1716"/>
      <c r="ADE8" s="1716"/>
      <c r="ADF8" s="1716"/>
      <c r="ADG8" s="1716"/>
      <c r="ADH8" s="1716"/>
      <c r="ADI8" s="1716"/>
      <c r="ADJ8" s="1716"/>
      <c r="ADK8" s="1716"/>
      <c r="ADL8" s="1716"/>
      <c r="ADM8" s="1716"/>
      <c r="ADN8" s="1716"/>
      <c r="ADO8" s="1716"/>
      <c r="ADP8" s="1716"/>
      <c r="ADQ8" s="1716"/>
      <c r="ADR8" s="1716"/>
      <c r="ADS8" s="1716"/>
      <c r="ADT8" s="1716"/>
      <c r="ADU8" s="1716"/>
      <c r="ADV8" s="1716"/>
      <c r="ADW8" s="1716"/>
      <c r="ADX8" s="1716"/>
      <c r="ADY8" s="1716"/>
      <c r="ADZ8" s="1716"/>
      <c r="AEA8" s="1716"/>
      <c r="AEB8" s="1716"/>
      <c r="AEC8" s="1716"/>
      <c r="AED8" s="1716"/>
      <c r="AEE8" s="1716"/>
      <c r="AEF8" s="1716"/>
      <c r="AEG8" s="1716"/>
      <c r="AEH8" s="1716"/>
      <c r="AEI8" s="1716"/>
      <c r="AEJ8" s="1716"/>
      <c r="AEK8" s="1716"/>
      <c r="AEL8" s="1716"/>
      <c r="AEM8" s="1716"/>
      <c r="AEN8" s="1716"/>
      <c r="AEO8" s="1716"/>
      <c r="AEP8" s="1716"/>
      <c r="AEQ8" s="1716"/>
      <c r="AER8" s="1716"/>
      <c r="AES8" s="1716"/>
      <c r="AET8" s="1716"/>
      <c r="AEU8" s="1716"/>
      <c r="AEV8" s="1716"/>
      <c r="AEW8" s="1716"/>
      <c r="AEX8" s="1716"/>
      <c r="AEY8" s="1716"/>
      <c r="AEZ8" s="1716"/>
      <c r="AFA8" s="1716"/>
      <c r="AFB8" s="1716"/>
      <c r="AFC8" s="1716"/>
      <c r="AFD8" s="1716"/>
      <c r="AFE8" s="1716"/>
      <c r="AFF8" s="1716"/>
      <c r="AFG8" s="1716"/>
      <c r="AFH8" s="1716"/>
      <c r="AFI8" s="1716"/>
      <c r="AFJ8" s="1716"/>
      <c r="AFK8" s="1716"/>
      <c r="AFL8" s="1716"/>
      <c r="AFM8" s="1716"/>
      <c r="AFN8" s="1716"/>
      <c r="AFO8" s="1716"/>
      <c r="AFP8" s="1716"/>
      <c r="AFQ8" s="1716"/>
      <c r="AFR8" s="1716"/>
      <c r="AFS8" s="1716"/>
      <c r="AFT8" s="1716"/>
      <c r="AFU8" s="1716"/>
      <c r="AFV8" s="1716"/>
      <c r="AFW8" s="1716"/>
      <c r="AFX8" s="1716"/>
      <c r="AFY8" s="1716"/>
      <c r="AFZ8" s="1716"/>
      <c r="AGA8" s="1716"/>
      <c r="AGB8" s="1716"/>
      <c r="AGC8" s="1716"/>
      <c r="AGD8" s="1716"/>
      <c r="AGE8" s="1716"/>
      <c r="AGF8" s="1716"/>
      <c r="AGG8" s="1716"/>
      <c r="AGH8" s="1716"/>
      <c r="AGI8" s="1716"/>
      <c r="AGJ8" s="1716"/>
      <c r="AGK8" s="1716"/>
      <c r="AGL8" s="1716"/>
      <c r="AGM8" s="1716"/>
      <c r="AGN8" s="1716"/>
      <c r="AGO8" s="1716"/>
      <c r="AGP8" s="1716"/>
      <c r="AGQ8" s="1716"/>
      <c r="AGR8" s="1716"/>
      <c r="AGS8" s="1716"/>
      <c r="AGT8" s="1716"/>
      <c r="AGU8" s="1716"/>
      <c r="AGV8" s="1716"/>
      <c r="AGW8" s="1716"/>
      <c r="AGX8" s="1716"/>
      <c r="AGY8" s="1716"/>
      <c r="AGZ8" s="1716"/>
      <c r="AHA8" s="1716"/>
      <c r="AHB8" s="1716"/>
      <c r="AHC8" s="1716"/>
      <c r="AHD8" s="1716"/>
      <c r="AHE8" s="1716"/>
      <c r="AHF8" s="1716"/>
      <c r="AHG8" s="1716"/>
      <c r="AHH8" s="1716"/>
      <c r="AHI8" s="1716"/>
      <c r="AHJ8" s="1716"/>
      <c r="AHK8" s="1716"/>
      <c r="AHL8" s="1716"/>
      <c r="AHM8" s="1716"/>
      <c r="AHN8" s="1716"/>
      <c r="AHO8" s="1716"/>
      <c r="AHP8" s="1716"/>
      <c r="AHQ8" s="1716"/>
      <c r="AHR8" s="1716"/>
      <c r="AHS8" s="1716"/>
      <c r="AHT8" s="1716"/>
      <c r="AHU8" s="1716"/>
      <c r="AHV8" s="1716"/>
      <c r="AHW8" s="1716"/>
      <c r="AHX8" s="1716"/>
      <c r="AHY8" s="1716"/>
      <c r="AHZ8" s="1716"/>
      <c r="AIA8" s="1716"/>
      <c r="AIB8" s="1716"/>
      <c r="AIC8" s="1716"/>
      <c r="AID8" s="1716"/>
      <c r="AIE8" s="1716"/>
      <c r="AIF8" s="1716"/>
      <c r="AIG8" s="1716"/>
      <c r="AIH8" s="1716"/>
      <c r="AII8" s="1716"/>
      <c r="AIJ8" s="1716"/>
      <c r="AIK8" s="1716"/>
      <c r="AIL8" s="1716"/>
      <c r="AIM8" s="1716"/>
      <c r="AIN8" s="1716"/>
      <c r="AIO8" s="1716"/>
      <c r="AIP8" s="1716"/>
      <c r="AIQ8" s="1716"/>
      <c r="AIR8" s="1716"/>
      <c r="AIS8" s="1716"/>
      <c r="AIT8" s="1716"/>
      <c r="AIU8" s="1716"/>
      <c r="AIV8" s="1716"/>
      <c r="AIW8" s="1716"/>
      <c r="AIX8" s="1716"/>
      <c r="AIY8" s="1716"/>
      <c r="AIZ8" s="1716"/>
      <c r="AJA8" s="1716"/>
      <c r="AJB8" s="1716"/>
      <c r="AJC8" s="1716"/>
      <c r="AJD8" s="1716"/>
      <c r="AJE8" s="1716"/>
      <c r="AJF8" s="1716"/>
      <c r="AJG8" s="1716"/>
      <c r="AJH8" s="1716"/>
      <c r="AJI8" s="1716"/>
      <c r="AJJ8" s="1716"/>
      <c r="AJK8" s="1716"/>
      <c r="AJL8" s="1716"/>
      <c r="AJM8" s="1716"/>
      <c r="AJN8" s="1716"/>
      <c r="AJO8" s="1716"/>
      <c r="AJP8" s="1716"/>
      <c r="AJQ8" s="1716"/>
      <c r="AJR8" s="1716"/>
      <c r="AJS8" s="1716"/>
      <c r="AJT8" s="1716"/>
      <c r="AJU8" s="1716"/>
      <c r="AJV8" s="1716"/>
      <c r="AJW8" s="1716"/>
      <c r="AJX8" s="1716"/>
      <c r="AJY8" s="1716"/>
      <c r="AJZ8" s="1716"/>
      <c r="AKA8" s="1716"/>
      <c r="AKB8" s="1716"/>
      <c r="AKC8" s="1716"/>
      <c r="AKD8" s="1716"/>
      <c r="AKE8" s="1716"/>
      <c r="AKF8" s="1716"/>
      <c r="AKG8" s="1716"/>
      <c r="AKH8" s="1716"/>
      <c r="AKI8" s="1716"/>
      <c r="AKJ8" s="1716"/>
      <c r="AKK8" s="1716"/>
      <c r="AKL8" s="1716"/>
      <c r="AKM8" s="1716"/>
      <c r="AKN8" s="1716"/>
      <c r="AKO8" s="1716"/>
      <c r="AKP8" s="1716"/>
      <c r="AKQ8" s="1716"/>
      <c r="AKR8" s="1716"/>
      <c r="AKS8" s="1716"/>
      <c r="AKT8" s="1716"/>
      <c r="AKU8" s="1716"/>
      <c r="AKV8" s="1716"/>
      <c r="AKW8" s="1716"/>
      <c r="AKX8" s="1716"/>
      <c r="AKY8" s="1716"/>
      <c r="AKZ8" s="1716"/>
      <c r="ALA8" s="1716"/>
      <c r="ALB8" s="1716"/>
      <c r="ALC8" s="1716"/>
      <c r="ALD8" s="1716"/>
      <c r="ALE8" s="1716"/>
      <c r="ALF8" s="1716"/>
      <c r="ALG8" s="1716"/>
      <c r="ALH8" s="1716"/>
      <c r="ALI8" s="1716"/>
      <c r="ALJ8" s="1716"/>
      <c r="ALK8" s="1716"/>
      <c r="ALL8" s="1716"/>
      <c r="ALM8" s="1716"/>
      <c r="ALN8" s="1716"/>
      <c r="ALO8" s="1716"/>
      <c r="ALP8" s="1716"/>
      <c r="ALQ8" s="1716"/>
      <c r="ALR8" s="1716"/>
      <c r="ALS8" s="1716"/>
      <c r="ALT8" s="1716"/>
      <c r="ALU8" s="1716"/>
      <c r="ALV8" s="1716"/>
      <c r="ALW8" s="1716"/>
      <c r="ALX8" s="1716"/>
      <c r="ALY8" s="1716"/>
      <c r="ALZ8" s="1716"/>
      <c r="AMA8" s="1716"/>
      <c r="AMB8" s="1716"/>
      <c r="AMC8" s="1716"/>
      <c r="AMD8" s="1716"/>
      <c r="AME8" s="1716"/>
      <c r="AMF8" s="1716"/>
      <c r="AMG8" s="1716"/>
      <c r="AMH8" s="1716"/>
      <c r="AMI8" s="1716"/>
      <c r="AMJ8" s="1716"/>
      <c r="AMK8" s="1716"/>
      <c r="AML8" s="1716"/>
      <c r="AMM8" s="1716"/>
      <c r="AMN8" s="1716"/>
      <c r="AMO8" s="1716"/>
      <c r="AMP8" s="1716"/>
      <c r="AMQ8" s="1716"/>
      <c r="AMR8" s="1716"/>
      <c r="AMS8" s="1716"/>
      <c r="AMT8" s="1716"/>
      <c r="AMU8" s="1716"/>
      <c r="AMV8" s="1716"/>
      <c r="AMW8" s="1716"/>
      <c r="AMX8" s="1716"/>
      <c r="AMY8" s="1716"/>
      <c r="AMZ8" s="1716"/>
      <c r="ANA8" s="1716"/>
      <c r="ANB8" s="1716"/>
      <c r="ANC8" s="1716"/>
      <c r="AND8" s="1716"/>
      <c r="ANE8" s="1716"/>
      <c r="ANF8" s="1716"/>
      <c r="ANG8" s="1716"/>
      <c r="ANH8" s="1716"/>
      <c r="ANI8" s="1716"/>
      <c r="ANJ8" s="1716"/>
      <c r="ANK8" s="1716"/>
      <c r="ANL8" s="1716"/>
      <c r="ANM8" s="1716"/>
      <c r="ANN8" s="1716"/>
      <c r="ANO8" s="1716"/>
      <c r="ANP8" s="1716"/>
      <c r="ANQ8" s="1716"/>
      <c r="ANR8" s="1716"/>
      <c r="ANS8" s="1716"/>
      <c r="ANT8" s="1716"/>
      <c r="ANU8" s="1716"/>
      <c r="ANV8" s="1716"/>
      <c r="ANW8" s="1716"/>
      <c r="ANX8" s="1716"/>
      <c r="ANY8" s="1716"/>
      <c r="ANZ8" s="1716"/>
      <c r="AOA8" s="1716"/>
      <c r="AOB8" s="1716"/>
      <c r="AOC8" s="1716"/>
      <c r="AOD8" s="1716"/>
      <c r="AOE8" s="1716"/>
      <c r="AOF8" s="1716"/>
      <c r="AOG8" s="1716"/>
      <c r="AOH8" s="1716"/>
      <c r="AOI8" s="1716"/>
      <c r="AOJ8" s="1716"/>
      <c r="AOK8" s="1716"/>
      <c r="AOL8" s="1716"/>
      <c r="AOM8" s="1716"/>
      <c r="AON8" s="1716"/>
      <c r="AOO8" s="1716"/>
      <c r="AOP8" s="1716"/>
      <c r="AOQ8" s="1716"/>
      <c r="AOR8" s="1716"/>
      <c r="AOS8" s="1716"/>
      <c r="AOT8" s="1716"/>
      <c r="AOU8" s="1716"/>
      <c r="AOV8" s="1716"/>
      <c r="AOW8" s="1716"/>
      <c r="AOX8" s="1716"/>
      <c r="AOY8" s="1716"/>
      <c r="AOZ8" s="1716"/>
      <c r="APA8" s="1716"/>
      <c r="APB8" s="1716"/>
      <c r="APC8" s="1716"/>
      <c r="APD8" s="1716"/>
      <c r="APE8" s="1716"/>
      <c r="APF8" s="1716"/>
      <c r="APG8" s="1716"/>
      <c r="APH8" s="1716"/>
      <c r="API8" s="1716"/>
      <c r="APJ8" s="1716"/>
      <c r="APK8" s="1716"/>
      <c r="APL8" s="1716"/>
      <c r="APM8" s="1716"/>
      <c r="APN8" s="1716"/>
      <c r="APO8" s="1716"/>
      <c r="APP8" s="1716"/>
      <c r="APQ8" s="1716"/>
      <c r="APR8" s="1716"/>
      <c r="APS8" s="1716"/>
      <c r="APT8" s="1716"/>
      <c r="APU8" s="1716"/>
      <c r="APV8" s="1716"/>
      <c r="APW8" s="1716"/>
      <c r="APX8" s="1716"/>
      <c r="APY8" s="1716"/>
      <c r="APZ8" s="1716"/>
      <c r="AQA8" s="1716"/>
      <c r="AQB8" s="1716"/>
      <c r="AQC8" s="1716"/>
      <c r="AQD8" s="1716"/>
      <c r="AQE8" s="1716"/>
      <c r="AQF8" s="1716"/>
      <c r="AQG8" s="1716"/>
      <c r="AQH8" s="1716"/>
      <c r="AQI8" s="1716"/>
      <c r="AQJ8" s="1716"/>
      <c r="AQK8" s="1716"/>
      <c r="AQL8" s="1716"/>
      <c r="AQM8" s="1716"/>
      <c r="AQN8" s="1716"/>
      <c r="AQO8" s="1716"/>
      <c r="AQP8" s="1716"/>
      <c r="AQQ8" s="1716"/>
      <c r="AQR8" s="1716"/>
      <c r="AQS8" s="1716"/>
      <c r="AQT8" s="1716"/>
      <c r="AQU8" s="1716"/>
      <c r="AQV8" s="1716"/>
      <c r="AQW8" s="1716"/>
      <c r="AQX8" s="1716"/>
      <c r="AQY8" s="1716"/>
      <c r="AQZ8" s="1716"/>
      <c r="ARA8" s="1716"/>
      <c r="ARB8" s="1716"/>
      <c r="ARC8" s="1716"/>
      <c r="ARD8" s="1716"/>
      <c r="ARE8" s="1716"/>
      <c r="ARF8" s="1716"/>
      <c r="ARG8" s="1716"/>
      <c r="ARH8" s="1716"/>
      <c r="ARI8" s="1716"/>
      <c r="ARJ8" s="1716"/>
      <c r="ARK8" s="1716"/>
      <c r="ARL8" s="1716"/>
      <c r="ARM8" s="1716"/>
      <c r="ARN8" s="1716"/>
      <c r="ARO8" s="1716"/>
      <c r="ARP8" s="1716"/>
      <c r="ARQ8" s="1716"/>
      <c r="ARR8" s="1716"/>
      <c r="ARS8" s="1716"/>
      <c r="ART8" s="1716"/>
      <c r="ARU8" s="1716"/>
      <c r="ARV8" s="1716"/>
      <c r="ARW8" s="1716"/>
      <c r="ARX8" s="1716"/>
      <c r="ARY8" s="1716"/>
      <c r="ARZ8" s="1716"/>
      <c r="ASA8" s="1716"/>
      <c r="ASB8" s="1716"/>
      <c r="ASC8" s="1716"/>
      <c r="ASD8" s="1716"/>
      <c r="ASE8" s="1716"/>
      <c r="ASF8" s="1716"/>
      <c r="ASG8" s="1716"/>
      <c r="ASH8" s="1716"/>
      <c r="ASI8" s="1716"/>
      <c r="ASJ8" s="1716"/>
      <c r="ASK8" s="1716"/>
      <c r="ASL8" s="1716"/>
      <c r="ASM8" s="1716"/>
      <c r="ASN8" s="1716"/>
      <c r="ASO8" s="1716"/>
      <c r="ASP8" s="1716"/>
      <c r="ASQ8" s="1716"/>
      <c r="ASR8" s="1716"/>
      <c r="ASS8" s="1716"/>
      <c r="AST8" s="1716"/>
      <c r="ASU8" s="1716"/>
      <c r="ASV8" s="1716"/>
      <c r="ASW8" s="1716"/>
      <c r="ASX8" s="1716"/>
      <c r="ASY8" s="1716"/>
      <c r="ASZ8" s="1716"/>
      <c r="ATA8" s="1716"/>
      <c r="ATB8" s="1716"/>
      <c r="ATC8" s="1716"/>
      <c r="ATD8" s="1716"/>
      <c r="ATE8" s="1716"/>
      <c r="ATF8" s="1716"/>
      <c r="ATG8" s="1716"/>
      <c r="ATH8" s="1716"/>
      <c r="ATI8" s="1716"/>
      <c r="ATJ8" s="1716"/>
      <c r="ATK8" s="1716"/>
      <c r="ATL8" s="1716"/>
      <c r="ATM8" s="1716"/>
      <c r="ATN8" s="1716"/>
      <c r="ATO8" s="1716"/>
      <c r="ATP8" s="1716"/>
      <c r="ATQ8" s="1716"/>
      <c r="ATR8" s="1716"/>
      <c r="ATS8" s="1716"/>
      <c r="ATT8" s="1716"/>
      <c r="ATU8" s="1716"/>
      <c r="ATV8" s="1716"/>
      <c r="ATW8" s="1716"/>
      <c r="ATX8" s="1716"/>
      <c r="ATY8" s="1716"/>
      <c r="ATZ8" s="1716"/>
      <c r="AUA8" s="1716"/>
      <c r="AUB8" s="1716"/>
      <c r="AUC8" s="1716"/>
      <c r="AUD8" s="1716"/>
      <c r="AUE8" s="1716"/>
      <c r="AUF8" s="1716"/>
      <c r="AUG8" s="1716"/>
      <c r="AUH8" s="1716"/>
      <c r="AUI8" s="1716"/>
      <c r="AUJ8" s="1716"/>
      <c r="AUK8" s="1716"/>
      <c r="AUL8" s="1716"/>
      <c r="AUM8" s="1716"/>
      <c r="AUN8" s="1716"/>
      <c r="AUO8" s="1716"/>
      <c r="AUP8" s="1716"/>
      <c r="AUQ8" s="1716"/>
      <c r="AUR8" s="1716"/>
      <c r="AUS8" s="1716"/>
      <c r="AUT8" s="1716"/>
      <c r="AUU8" s="1716"/>
      <c r="AUV8" s="1716"/>
      <c r="AUW8" s="1716"/>
      <c r="AUX8" s="1716"/>
      <c r="AUY8" s="1716"/>
      <c r="AUZ8" s="1716"/>
      <c r="AVA8" s="1716"/>
      <c r="AVB8" s="1716"/>
      <c r="AVC8" s="1716"/>
      <c r="AVD8" s="1716"/>
      <c r="AVE8" s="1716"/>
      <c r="AVF8" s="1716"/>
      <c r="AVG8" s="1716"/>
      <c r="AVH8" s="1716"/>
      <c r="AVI8" s="1716"/>
      <c r="AVJ8" s="1716"/>
      <c r="AVK8" s="1716"/>
      <c r="AVL8" s="1716"/>
      <c r="AVM8" s="1716"/>
      <c r="AVN8" s="1716"/>
      <c r="AVO8" s="1716"/>
      <c r="AVP8" s="1716"/>
      <c r="AVQ8" s="1716"/>
      <c r="AVR8" s="1716"/>
      <c r="AVS8" s="1716"/>
      <c r="AVT8" s="1716"/>
      <c r="AVU8" s="1716"/>
      <c r="AVV8" s="1716"/>
      <c r="AVW8" s="1716"/>
      <c r="AVX8" s="1716"/>
      <c r="AVY8" s="1716"/>
      <c r="AVZ8" s="1716"/>
      <c r="AWA8" s="1716"/>
      <c r="AWB8" s="1716"/>
      <c r="AWC8" s="1716"/>
      <c r="AWD8" s="1716"/>
      <c r="AWE8" s="1716"/>
      <c r="AWF8" s="1716"/>
      <c r="AWG8" s="1716"/>
      <c r="AWH8" s="1716"/>
      <c r="AWI8" s="1716"/>
      <c r="AWJ8" s="1716"/>
      <c r="AWK8" s="1716"/>
      <c r="AWL8" s="1716"/>
      <c r="AWM8" s="1716"/>
      <c r="AWN8" s="1716"/>
      <c r="AWO8" s="1716"/>
      <c r="AWP8" s="1716"/>
      <c r="AWQ8" s="1716"/>
      <c r="AWR8" s="1716"/>
      <c r="AWS8" s="1716"/>
      <c r="AWT8" s="1716"/>
      <c r="AWU8" s="1716"/>
      <c r="AWV8" s="1716"/>
      <c r="AWW8" s="1716"/>
      <c r="AWX8" s="1716"/>
      <c r="AWY8" s="1716"/>
      <c r="AWZ8" s="1716"/>
      <c r="AXA8" s="1716"/>
      <c r="AXB8" s="1716"/>
      <c r="AXC8" s="1716"/>
      <c r="AXD8" s="1716"/>
      <c r="AXE8" s="1716"/>
      <c r="AXF8" s="1716"/>
      <c r="AXG8" s="1716"/>
      <c r="AXH8" s="1716"/>
      <c r="AXI8" s="1716"/>
      <c r="AXJ8" s="1716"/>
      <c r="AXK8" s="1716"/>
      <c r="AXL8" s="1716"/>
      <c r="AXM8" s="1716"/>
      <c r="AXN8" s="1716"/>
      <c r="AXO8" s="1716"/>
      <c r="AXP8" s="1716"/>
      <c r="AXQ8" s="1716"/>
      <c r="AXR8" s="1716"/>
      <c r="AXS8" s="1716"/>
      <c r="AXT8" s="1716"/>
      <c r="AXU8" s="1716"/>
      <c r="AXV8" s="1716"/>
      <c r="AXW8" s="1716"/>
      <c r="AXX8" s="1716"/>
      <c r="AXY8" s="1716"/>
      <c r="AXZ8" s="1716"/>
      <c r="AYA8" s="1716"/>
      <c r="AYB8" s="1716"/>
      <c r="AYC8" s="1716"/>
      <c r="AYD8" s="1716"/>
      <c r="AYE8" s="1716"/>
      <c r="AYF8" s="1716"/>
      <c r="AYG8" s="1716"/>
      <c r="AYH8" s="1716"/>
      <c r="AYI8" s="1716"/>
      <c r="AYJ8" s="1716"/>
      <c r="AYK8" s="1716"/>
      <c r="AYL8" s="1716"/>
      <c r="AYM8" s="1716"/>
      <c r="AYN8" s="1716"/>
      <c r="AYO8" s="1716"/>
      <c r="AYP8" s="1716"/>
      <c r="AYQ8" s="1716"/>
      <c r="AYR8" s="1716"/>
      <c r="AYS8" s="1716"/>
      <c r="AYT8" s="1716"/>
      <c r="AYU8" s="1716"/>
      <c r="AYV8" s="1716"/>
      <c r="AYW8" s="1716"/>
      <c r="AYX8" s="1716"/>
      <c r="AYY8" s="1716"/>
      <c r="AYZ8" s="1716"/>
      <c r="AZA8" s="1716"/>
      <c r="AZB8" s="1716"/>
      <c r="AZC8" s="1716"/>
      <c r="AZD8" s="1716"/>
      <c r="AZE8" s="1716"/>
      <c r="AZF8" s="1716"/>
      <c r="AZG8" s="1716"/>
      <c r="AZH8" s="1716"/>
      <c r="AZI8" s="1716"/>
      <c r="AZJ8" s="1716"/>
      <c r="AZK8" s="1716"/>
      <c r="AZL8" s="1716"/>
      <c r="AZM8" s="1716"/>
      <c r="AZN8" s="1716"/>
      <c r="AZO8" s="1716"/>
      <c r="AZP8" s="1716"/>
      <c r="AZQ8" s="1716"/>
      <c r="AZR8" s="1716"/>
      <c r="AZS8" s="1716"/>
      <c r="AZT8" s="1716"/>
      <c r="AZU8" s="1716"/>
      <c r="AZV8" s="1716"/>
      <c r="AZW8" s="1716"/>
      <c r="AZX8" s="1716"/>
    </row>
    <row r="9" spans="1:1376" s="2018" customFormat="1" ht="30.75" customHeight="1" x14ac:dyDescent="0.2">
      <c r="A9" s="2987"/>
      <c r="B9" s="2932"/>
      <c r="C9" s="2933"/>
      <c r="D9" s="2933"/>
      <c r="E9" s="2932"/>
      <c r="F9" s="2933"/>
      <c r="G9" s="2933"/>
      <c r="H9" s="2932"/>
      <c r="I9" s="2933"/>
      <c r="J9" s="2933"/>
      <c r="K9" s="2932"/>
      <c r="L9" s="2935"/>
      <c r="M9" s="2966"/>
      <c r="N9" s="2935"/>
      <c r="O9" s="2935"/>
      <c r="P9" s="2935"/>
      <c r="Q9" s="2995"/>
      <c r="R9" s="3551"/>
      <c r="S9" s="2932"/>
      <c r="T9" s="2932"/>
      <c r="U9" s="2935"/>
      <c r="V9" s="1993" t="s">
        <v>833</v>
      </c>
      <c r="W9" s="3548"/>
      <c r="X9" s="2935"/>
      <c r="Y9" s="1974" t="s">
        <v>834</v>
      </c>
      <c r="Z9" s="1974" t="s">
        <v>834</v>
      </c>
      <c r="AA9" s="1974" t="s">
        <v>834</v>
      </c>
      <c r="AB9" s="1974" t="s">
        <v>834</v>
      </c>
      <c r="AC9" s="1974" t="s">
        <v>834</v>
      </c>
      <c r="AD9" s="1974" t="s">
        <v>834</v>
      </c>
      <c r="AE9" s="1974" t="s">
        <v>834</v>
      </c>
      <c r="AF9" s="1974" t="s">
        <v>834</v>
      </c>
      <c r="AG9" s="1974" t="s">
        <v>834</v>
      </c>
      <c r="AH9" s="1974" t="s">
        <v>834</v>
      </c>
      <c r="AI9" s="1974" t="s">
        <v>834</v>
      </c>
      <c r="AJ9" s="1974" t="s">
        <v>834</v>
      </c>
      <c r="AK9" s="1974" t="s">
        <v>834</v>
      </c>
      <c r="AL9" s="1974" t="s">
        <v>834</v>
      </c>
      <c r="AM9" s="1974" t="s">
        <v>834</v>
      </c>
      <c r="AN9" s="1974" t="s">
        <v>834</v>
      </c>
      <c r="AO9" s="401" t="s">
        <v>834</v>
      </c>
      <c r="AP9" s="401" t="s">
        <v>834</v>
      </c>
      <c r="AQ9" s="2937"/>
      <c r="AR9" s="1716"/>
      <c r="AS9" s="1716"/>
      <c r="AT9" s="1716"/>
      <c r="AU9" s="1716"/>
      <c r="AV9" s="1716"/>
      <c r="AW9" s="1716"/>
      <c r="AX9" s="1716"/>
      <c r="AY9" s="1716"/>
      <c r="AZ9" s="1716"/>
      <c r="BA9" s="1716"/>
      <c r="BB9" s="1716"/>
      <c r="BC9" s="1716"/>
      <c r="BD9" s="1716"/>
      <c r="BE9" s="1716"/>
      <c r="BF9" s="1716"/>
      <c r="BG9" s="1716"/>
      <c r="BH9" s="1716"/>
      <c r="BI9" s="1716"/>
      <c r="BJ9" s="1716"/>
      <c r="BK9" s="1716"/>
      <c r="BL9" s="1716"/>
      <c r="BM9" s="1716"/>
      <c r="BN9" s="1716"/>
      <c r="BO9" s="1716"/>
      <c r="BP9" s="1716"/>
      <c r="BQ9" s="1716"/>
      <c r="BR9" s="1716"/>
      <c r="BS9" s="1716"/>
      <c r="BT9" s="1716"/>
      <c r="BU9" s="1716"/>
      <c r="BV9" s="1716"/>
      <c r="BW9" s="1716"/>
      <c r="BX9" s="1716"/>
      <c r="BY9" s="1716"/>
      <c r="BZ9" s="1716"/>
      <c r="CA9" s="1716"/>
      <c r="CB9" s="1716"/>
      <c r="CC9" s="1716"/>
      <c r="CD9" s="1716"/>
      <c r="CE9" s="1716"/>
      <c r="CF9" s="1716"/>
      <c r="CG9" s="1716"/>
      <c r="CH9" s="1716"/>
      <c r="CI9" s="1716"/>
      <c r="CJ9" s="1716"/>
      <c r="CK9" s="1716"/>
      <c r="CL9" s="1716"/>
      <c r="CM9" s="1716"/>
      <c r="CN9" s="1716"/>
      <c r="CO9" s="1716"/>
      <c r="CP9" s="1716"/>
      <c r="CQ9" s="1716"/>
      <c r="CR9" s="1716"/>
      <c r="CS9" s="1716"/>
      <c r="CT9" s="1716"/>
      <c r="CU9" s="1716"/>
      <c r="CV9" s="1716"/>
      <c r="CW9" s="1716"/>
      <c r="CX9" s="1716"/>
      <c r="CY9" s="1716"/>
      <c r="CZ9" s="1716"/>
      <c r="DA9" s="1716"/>
      <c r="DB9" s="1716"/>
      <c r="DC9" s="1716"/>
      <c r="DD9" s="1716"/>
      <c r="DE9" s="1716"/>
      <c r="DF9" s="1716"/>
      <c r="DG9" s="1716"/>
      <c r="DH9" s="1716"/>
      <c r="DI9" s="1716"/>
      <c r="DJ9" s="1716"/>
      <c r="DK9" s="1716"/>
      <c r="DL9" s="1716"/>
      <c r="DM9" s="1716"/>
      <c r="DN9" s="1716"/>
      <c r="DO9" s="1716"/>
      <c r="DP9" s="1716"/>
      <c r="DQ9" s="1716"/>
      <c r="DR9" s="1716"/>
      <c r="DS9" s="1716"/>
      <c r="DT9" s="1716"/>
      <c r="DU9" s="1716"/>
      <c r="DV9" s="1716"/>
      <c r="DW9" s="1716"/>
      <c r="DX9" s="1716"/>
      <c r="DY9" s="1716"/>
      <c r="DZ9" s="1716"/>
      <c r="EA9" s="1716"/>
      <c r="EB9" s="1716"/>
      <c r="EC9" s="1716"/>
      <c r="ED9" s="1716"/>
      <c r="EE9" s="1716"/>
      <c r="EF9" s="1716"/>
      <c r="EG9" s="1716"/>
      <c r="EH9" s="1716"/>
      <c r="EI9" s="1716"/>
      <c r="EJ9" s="1716"/>
      <c r="EK9" s="1716"/>
      <c r="EL9" s="1716"/>
      <c r="EM9" s="1716"/>
      <c r="EN9" s="1716"/>
      <c r="EO9" s="1716"/>
      <c r="EP9" s="1716"/>
      <c r="EQ9" s="1716"/>
      <c r="ER9" s="1716"/>
      <c r="ES9" s="1716"/>
      <c r="ET9" s="1716"/>
      <c r="EU9" s="1716"/>
      <c r="EV9" s="1716"/>
      <c r="EW9" s="1716"/>
      <c r="EX9" s="1716"/>
      <c r="EY9" s="1716"/>
      <c r="EZ9" s="1716"/>
      <c r="FA9" s="1716"/>
      <c r="FB9" s="1716"/>
      <c r="FC9" s="1716"/>
      <c r="FD9" s="1716"/>
      <c r="FE9" s="1716"/>
      <c r="FF9" s="1716"/>
      <c r="FG9" s="1716"/>
      <c r="FH9" s="1716"/>
      <c r="FI9" s="1716"/>
      <c r="FJ9" s="1716"/>
      <c r="FK9" s="1716"/>
      <c r="FL9" s="1716"/>
      <c r="FM9" s="1716"/>
      <c r="FN9" s="1716"/>
      <c r="FO9" s="1716"/>
      <c r="FP9" s="1716"/>
      <c r="FQ9" s="1716"/>
      <c r="FR9" s="1716"/>
      <c r="FS9" s="1716"/>
      <c r="FT9" s="1716"/>
      <c r="FU9" s="1716"/>
      <c r="FV9" s="1716"/>
      <c r="FW9" s="1716"/>
      <c r="FX9" s="1716"/>
      <c r="FY9" s="1716"/>
      <c r="FZ9" s="1716"/>
      <c r="GA9" s="1716"/>
      <c r="GB9" s="1716"/>
      <c r="GC9" s="1716"/>
      <c r="GD9" s="1716"/>
      <c r="GE9" s="1716"/>
      <c r="GF9" s="1716"/>
      <c r="GG9" s="1716"/>
      <c r="GH9" s="1716"/>
      <c r="GI9" s="1716"/>
      <c r="GJ9" s="1716"/>
      <c r="GK9" s="1716"/>
      <c r="GL9" s="1716"/>
      <c r="GM9" s="1716"/>
      <c r="GN9" s="1716"/>
      <c r="GO9" s="1716"/>
      <c r="GP9" s="1716"/>
      <c r="GQ9" s="1716"/>
      <c r="GR9" s="1716"/>
      <c r="GS9" s="1716"/>
      <c r="GT9" s="1716"/>
      <c r="GU9" s="1716"/>
      <c r="GV9" s="1716"/>
      <c r="GW9" s="1716"/>
      <c r="GX9" s="1716"/>
      <c r="GY9" s="1716"/>
      <c r="GZ9" s="1716"/>
      <c r="HA9" s="1716"/>
      <c r="HB9" s="1716"/>
      <c r="HC9" s="1716"/>
      <c r="HD9" s="1716"/>
      <c r="HE9" s="1716"/>
      <c r="HF9" s="1716"/>
      <c r="HG9" s="1716"/>
      <c r="HH9" s="1716"/>
      <c r="HI9" s="1716"/>
      <c r="HJ9" s="1716"/>
      <c r="HK9" s="1716"/>
      <c r="HL9" s="1716"/>
      <c r="HM9" s="1716"/>
      <c r="HN9" s="1716"/>
      <c r="HO9" s="1716"/>
      <c r="HP9" s="1716"/>
      <c r="HQ9" s="1716"/>
      <c r="HR9" s="1716"/>
      <c r="HS9" s="1716"/>
      <c r="HT9" s="1716"/>
      <c r="HU9" s="1716"/>
      <c r="HV9" s="1716"/>
      <c r="HW9" s="1716"/>
      <c r="HX9" s="1716"/>
      <c r="HY9" s="1716"/>
      <c r="HZ9" s="1716"/>
      <c r="IA9" s="1716"/>
      <c r="IB9" s="1716"/>
      <c r="IC9" s="1716"/>
      <c r="ID9" s="1716"/>
      <c r="IE9" s="1716"/>
      <c r="IF9" s="1716"/>
      <c r="IG9" s="1716"/>
      <c r="IH9" s="1716"/>
      <c r="II9" s="1716"/>
      <c r="IJ9" s="1716"/>
      <c r="IK9" s="1716"/>
      <c r="IL9" s="1716"/>
      <c r="IM9" s="1716"/>
      <c r="IN9" s="1716"/>
      <c r="IO9" s="1716"/>
      <c r="IP9" s="1716"/>
      <c r="IQ9" s="1716"/>
      <c r="IR9" s="1716"/>
      <c r="IS9" s="1716"/>
      <c r="IT9" s="1716"/>
      <c r="IU9" s="1716"/>
      <c r="IV9" s="1716"/>
      <c r="IW9" s="1716"/>
      <c r="IX9" s="1716"/>
      <c r="IY9" s="1716"/>
      <c r="IZ9" s="1716"/>
      <c r="JA9" s="1716"/>
      <c r="JB9" s="1716"/>
      <c r="JC9" s="1716"/>
      <c r="JD9" s="1716"/>
      <c r="JE9" s="1716"/>
      <c r="JF9" s="1716"/>
      <c r="JG9" s="1716"/>
      <c r="JH9" s="1716"/>
      <c r="JI9" s="1716"/>
      <c r="JJ9" s="1716"/>
      <c r="JK9" s="1716"/>
      <c r="JL9" s="1716"/>
      <c r="JM9" s="1716"/>
      <c r="JN9" s="1716"/>
      <c r="JO9" s="1716"/>
      <c r="JP9" s="1716"/>
      <c r="JQ9" s="1716"/>
      <c r="JR9" s="1716"/>
      <c r="JS9" s="1716"/>
      <c r="JT9" s="1716"/>
      <c r="JU9" s="1716"/>
      <c r="JV9" s="1716"/>
      <c r="JW9" s="1716"/>
      <c r="JX9" s="1716"/>
      <c r="JY9" s="1716"/>
      <c r="JZ9" s="1716"/>
      <c r="KA9" s="1716"/>
      <c r="KB9" s="1716"/>
      <c r="KC9" s="1716"/>
      <c r="KD9" s="1716"/>
      <c r="KE9" s="1716"/>
      <c r="KF9" s="1716"/>
      <c r="KG9" s="1716"/>
      <c r="KH9" s="1716"/>
      <c r="KI9" s="1716"/>
      <c r="KJ9" s="1716"/>
      <c r="KK9" s="1716"/>
      <c r="KL9" s="1716"/>
      <c r="KM9" s="1716"/>
      <c r="KN9" s="1716"/>
      <c r="KO9" s="1716"/>
      <c r="KP9" s="1716"/>
      <c r="KQ9" s="1716"/>
      <c r="KR9" s="1716"/>
      <c r="KS9" s="1716"/>
      <c r="KT9" s="1716"/>
      <c r="KU9" s="1716"/>
      <c r="KV9" s="1716"/>
      <c r="KW9" s="1716"/>
      <c r="KX9" s="1716"/>
      <c r="KY9" s="1716"/>
      <c r="KZ9" s="1716"/>
      <c r="LA9" s="1716"/>
      <c r="LB9" s="1716"/>
      <c r="LC9" s="1716"/>
      <c r="LD9" s="1716"/>
      <c r="LE9" s="1716"/>
      <c r="LF9" s="1716"/>
      <c r="LG9" s="1716"/>
      <c r="LH9" s="1716"/>
      <c r="LI9" s="1716"/>
      <c r="LJ9" s="1716"/>
      <c r="LK9" s="1716"/>
      <c r="LL9" s="1716"/>
      <c r="LM9" s="1716"/>
      <c r="LN9" s="1716"/>
      <c r="LO9" s="1716"/>
      <c r="LP9" s="1716"/>
      <c r="LQ9" s="1716"/>
      <c r="LR9" s="1716"/>
      <c r="LS9" s="1716"/>
      <c r="LT9" s="1716"/>
      <c r="LU9" s="1716"/>
      <c r="LV9" s="1716"/>
      <c r="LW9" s="1716"/>
      <c r="LX9" s="1716"/>
      <c r="LY9" s="1716"/>
      <c r="LZ9" s="1716"/>
      <c r="MA9" s="1716"/>
      <c r="MB9" s="1716"/>
      <c r="MC9" s="1716"/>
      <c r="MD9" s="1716"/>
      <c r="ME9" s="1716"/>
      <c r="MF9" s="1716"/>
      <c r="MG9" s="1716"/>
      <c r="MH9" s="1716"/>
      <c r="MI9" s="1716"/>
      <c r="MJ9" s="1716"/>
      <c r="MK9" s="1716"/>
      <c r="ML9" s="1716"/>
      <c r="MM9" s="1716"/>
      <c r="MN9" s="1716"/>
      <c r="MO9" s="1716"/>
      <c r="MP9" s="1716"/>
      <c r="MQ9" s="1716"/>
      <c r="MR9" s="1716"/>
      <c r="MS9" s="1716"/>
      <c r="MT9" s="1716"/>
      <c r="MU9" s="1716"/>
      <c r="MV9" s="1716"/>
      <c r="MW9" s="1716"/>
      <c r="MX9" s="1716"/>
      <c r="MY9" s="1716"/>
      <c r="MZ9" s="1716"/>
      <c r="NA9" s="1716"/>
      <c r="NB9" s="1716"/>
      <c r="NC9" s="1716"/>
      <c r="ND9" s="1716"/>
      <c r="NE9" s="1716"/>
      <c r="NF9" s="1716"/>
      <c r="NG9" s="1716"/>
      <c r="NH9" s="1716"/>
      <c r="NI9" s="1716"/>
      <c r="NJ9" s="1716"/>
      <c r="NK9" s="1716"/>
      <c r="NL9" s="1716"/>
      <c r="NM9" s="1716"/>
      <c r="NN9" s="1716"/>
      <c r="NO9" s="1716"/>
      <c r="NP9" s="1716"/>
      <c r="NQ9" s="1716"/>
      <c r="NR9" s="1716"/>
      <c r="NS9" s="1716"/>
      <c r="NT9" s="1716"/>
      <c r="NU9" s="1716"/>
      <c r="NV9" s="1716"/>
      <c r="NW9" s="1716"/>
      <c r="NX9" s="1716"/>
      <c r="NY9" s="1716"/>
      <c r="NZ9" s="1716"/>
      <c r="OA9" s="1716"/>
      <c r="OB9" s="1716"/>
      <c r="OC9" s="1716"/>
      <c r="OD9" s="1716"/>
      <c r="OE9" s="1716"/>
      <c r="OF9" s="1716"/>
      <c r="OG9" s="1716"/>
      <c r="OH9" s="1716"/>
      <c r="OI9" s="1716"/>
      <c r="OJ9" s="1716"/>
      <c r="OK9" s="1716"/>
      <c r="OL9" s="1716"/>
      <c r="OM9" s="1716"/>
      <c r="ON9" s="1716"/>
      <c r="OO9" s="1716"/>
      <c r="OP9" s="1716"/>
      <c r="OQ9" s="1716"/>
      <c r="OR9" s="1716"/>
      <c r="OS9" s="1716"/>
      <c r="OT9" s="1716"/>
      <c r="OU9" s="1716"/>
      <c r="OV9" s="1716"/>
      <c r="OW9" s="1716"/>
      <c r="OX9" s="1716"/>
      <c r="OY9" s="1716"/>
      <c r="OZ9" s="1716"/>
      <c r="PA9" s="1716"/>
      <c r="PB9" s="1716"/>
      <c r="PC9" s="1716"/>
      <c r="PD9" s="1716"/>
      <c r="PE9" s="1716"/>
      <c r="PF9" s="1716"/>
      <c r="PG9" s="1716"/>
      <c r="PH9" s="1716"/>
      <c r="PI9" s="1716"/>
      <c r="PJ9" s="1716"/>
      <c r="PK9" s="1716"/>
      <c r="PL9" s="1716"/>
      <c r="PM9" s="1716"/>
      <c r="PN9" s="1716"/>
      <c r="PO9" s="1716"/>
      <c r="PP9" s="1716"/>
      <c r="PQ9" s="1716"/>
      <c r="PR9" s="1716"/>
      <c r="PS9" s="1716"/>
      <c r="PT9" s="1716"/>
      <c r="PU9" s="1716"/>
      <c r="PV9" s="1716"/>
      <c r="PW9" s="1716"/>
      <c r="PX9" s="1716"/>
      <c r="PY9" s="1716"/>
      <c r="PZ9" s="1716"/>
      <c r="QA9" s="1716"/>
      <c r="QB9" s="1716"/>
      <c r="QC9" s="1716"/>
      <c r="QD9" s="1716"/>
      <c r="QE9" s="1716"/>
      <c r="QF9" s="1716"/>
      <c r="QG9" s="1716"/>
      <c r="QH9" s="1716"/>
      <c r="QI9" s="1716"/>
      <c r="QJ9" s="1716"/>
      <c r="QK9" s="1716"/>
      <c r="QL9" s="1716"/>
      <c r="QM9" s="1716"/>
      <c r="QN9" s="1716"/>
      <c r="QO9" s="1716"/>
      <c r="QP9" s="1716"/>
      <c r="QQ9" s="1716"/>
      <c r="QR9" s="1716"/>
      <c r="QS9" s="1716"/>
      <c r="QT9" s="1716"/>
      <c r="QU9" s="1716"/>
      <c r="QV9" s="1716"/>
      <c r="QW9" s="1716"/>
      <c r="QX9" s="1716"/>
      <c r="QY9" s="1716"/>
      <c r="QZ9" s="1716"/>
      <c r="RA9" s="1716"/>
      <c r="RB9" s="1716"/>
      <c r="RC9" s="1716"/>
      <c r="RD9" s="1716"/>
      <c r="RE9" s="1716"/>
      <c r="RF9" s="1716"/>
      <c r="RG9" s="1716"/>
      <c r="RH9" s="1716"/>
      <c r="RI9" s="1716"/>
      <c r="RJ9" s="1716"/>
      <c r="RK9" s="1716"/>
      <c r="RL9" s="1716"/>
      <c r="RM9" s="1716"/>
      <c r="RN9" s="1716"/>
      <c r="RO9" s="1716"/>
      <c r="RP9" s="1716"/>
      <c r="RQ9" s="1716"/>
      <c r="RR9" s="1716"/>
      <c r="RS9" s="1716"/>
      <c r="RT9" s="1716"/>
      <c r="RU9" s="1716"/>
      <c r="RV9" s="1716"/>
      <c r="RW9" s="1716"/>
      <c r="RX9" s="1716"/>
      <c r="RY9" s="1716"/>
      <c r="RZ9" s="1716"/>
      <c r="SA9" s="1716"/>
      <c r="SB9" s="1716"/>
      <c r="SC9" s="1716"/>
      <c r="SD9" s="1716"/>
      <c r="SE9" s="1716"/>
      <c r="SF9" s="1716"/>
      <c r="SG9" s="1716"/>
      <c r="SH9" s="1716"/>
      <c r="SI9" s="1716"/>
      <c r="SJ9" s="1716"/>
      <c r="SK9" s="1716"/>
      <c r="SL9" s="1716"/>
      <c r="SM9" s="1716"/>
      <c r="SN9" s="1716"/>
      <c r="SO9" s="1716"/>
      <c r="SP9" s="1716"/>
      <c r="SQ9" s="1716"/>
      <c r="SR9" s="1716"/>
      <c r="SS9" s="1716"/>
      <c r="ST9" s="1716"/>
      <c r="SU9" s="1716"/>
      <c r="SV9" s="1716"/>
      <c r="SW9" s="1716"/>
      <c r="SX9" s="1716"/>
      <c r="SY9" s="1716"/>
      <c r="SZ9" s="1716"/>
      <c r="TA9" s="1716"/>
      <c r="TB9" s="1716"/>
      <c r="TC9" s="1716"/>
      <c r="TD9" s="1716"/>
      <c r="TE9" s="1716"/>
      <c r="TF9" s="1716"/>
      <c r="TG9" s="1716"/>
      <c r="TH9" s="1716"/>
      <c r="TI9" s="1716"/>
      <c r="TJ9" s="1716"/>
      <c r="TK9" s="1716"/>
      <c r="TL9" s="1716"/>
      <c r="TM9" s="1716"/>
      <c r="TN9" s="1716"/>
      <c r="TO9" s="1716"/>
      <c r="TP9" s="1716"/>
      <c r="TQ9" s="1716"/>
      <c r="TR9" s="1716"/>
      <c r="TS9" s="1716"/>
      <c r="TT9" s="1716"/>
      <c r="TU9" s="1716"/>
      <c r="TV9" s="1716"/>
      <c r="TW9" s="1716"/>
      <c r="TX9" s="1716"/>
      <c r="TY9" s="1716"/>
      <c r="TZ9" s="1716"/>
      <c r="UA9" s="1716"/>
      <c r="UB9" s="1716"/>
      <c r="UC9" s="1716"/>
      <c r="UD9" s="1716"/>
      <c r="UE9" s="1716"/>
      <c r="UF9" s="1716"/>
      <c r="UG9" s="1716"/>
      <c r="UH9" s="1716"/>
      <c r="UI9" s="1716"/>
      <c r="UJ9" s="1716"/>
      <c r="UK9" s="1716"/>
      <c r="UL9" s="1716"/>
      <c r="UM9" s="1716"/>
      <c r="UN9" s="1716"/>
      <c r="UO9" s="1716"/>
      <c r="UP9" s="1716"/>
      <c r="UQ9" s="1716"/>
      <c r="UR9" s="1716"/>
      <c r="US9" s="1716"/>
      <c r="UT9" s="1716"/>
      <c r="UU9" s="1716"/>
      <c r="UV9" s="1716"/>
      <c r="UW9" s="1716"/>
      <c r="UX9" s="1716"/>
      <c r="UY9" s="1716"/>
      <c r="UZ9" s="1716"/>
      <c r="VA9" s="1716"/>
      <c r="VB9" s="1716"/>
      <c r="VC9" s="1716"/>
      <c r="VD9" s="1716"/>
      <c r="VE9" s="1716"/>
      <c r="VF9" s="1716"/>
      <c r="VG9" s="1716"/>
      <c r="VH9" s="1716"/>
      <c r="VI9" s="1716"/>
      <c r="VJ9" s="1716"/>
      <c r="VK9" s="1716"/>
      <c r="VL9" s="1716"/>
      <c r="VM9" s="1716"/>
      <c r="VN9" s="1716"/>
      <c r="VO9" s="1716"/>
      <c r="VP9" s="1716"/>
      <c r="VQ9" s="1716"/>
      <c r="VR9" s="1716"/>
      <c r="VS9" s="1716"/>
      <c r="VT9" s="1716"/>
      <c r="VU9" s="1716"/>
      <c r="VV9" s="1716"/>
      <c r="VW9" s="1716"/>
      <c r="VX9" s="1716"/>
      <c r="VY9" s="1716"/>
      <c r="VZ9" s="1716"/>
      <c r="WA9" s="1716"/>
      <c r="WB9" s="1716"/>
      <c r="WC9" s="1716"/>
      <c r="WD9" s="1716"/>
      <c r="WE9" s="1716"/>
      <c r="WF9" s="1716"/>
      <c r="WG9" s="1716"/>
      <c r="WH9" s="1716"/>
      <c r="WI9" s="1716"/>
      <c r="WJ9" s="1716"/>
      <c r="WK9" s="1716"/>
      <c r="WL9" s="1716"/>
      <c r="WM9" s="1716"/>
      <c r="WN9" s="1716"/>
      <c r="WO9" s="1716"/>
      <c r="WP9" s="1716"/>
      <c r="WQ9" s="1716"/>
      <c r="WR9" s="1716"/>
      <c r="WS9" s="1716"/>
      <c r="WT9" s="1716"/>
      <c r="WU9" s="1716"/>
      <c r="WV9" s="1716"/>
      <c r="WW9" s="1716"/>
      <c r="WX9" s="1716"/>
      <c r="WY9" s="1716"/>
      <c r="WZ9" s="1716"/>
      <c r="XA9" s="1716"/>
      <c r="XB9" s="1716"/>
      <c r="XC9" s="1716"/>
      <c r="XD9" s="1716"/>
      <c r="XE9" s="1716"/>
      <c r="XF9" s="1716"/>
      <c r="XG9" s="1716"/>
      <c r="XH9" s="1716"/>
      <c r="XI9" s="1716"/>
      <c r="XJ9" s="1716"/>
      <c r="XK9" s="1716"/>
      <c r="XL9" s="1716"/>
      <c r="XM9" s="1716"/>
      <c r="XN9" s="1716"/>
      <c r="XO9" s="1716"/>
      <c r="XP9" s="1716"/>
      <c r="XQ9" s="1716"/>
      <c r="XR9" s="1716"/>
      <c r="XS9" s="1716"/>
      <c r="XT9" s="1716"/>
      <c r="XU9" s="1716"/>
      <c r="XV9" s="1716"/>
      <c r="XW9" s="1716"/>
      <c r="XX9" s="1716"/>
      <c r="XY9" s="1716"/>
      <c r="XZ9" s="1716"/>
      <c r="YA9" s="1716"/>
      <c r="YB9" s="1716"/>
      <c r="YC9" s="1716"/>
      <c r="YD9" s="1716"/>
      <c r="YE9" s="1716"/>
      <c r="YF9" s="1716"/>
      <c r="YG9" s="1716"/>
      <c r="YH9" s="1716"/>
      <c r="YI9" s="1716"/>
      <c r="YJ9" s="1716"/>
      <c r="YK9" s="1716"/>
      <c r="YL9" s="1716"/>
      <c r="YM9" s="1716"/>
      <c r="YN9" s="1716"/>
      <c r="YO9" s="1716"/>
      <c r="YP9" s="1716"/>
      <c r="YQ9" s="1716"/>
      <c r="YR9" s="1716"/>
      <c r="YS9" s="1716"/>
      <c r="YT9" s="1716"/>
      <c r="YU9" s="1716"/>
      <c r="YV9" s="1716"/>
      <c r="YW9" s="1716"/>
      <c r="YX9" s="1716"/>
      <c r="YY9" s="1716"/>
      <c r="YZ9" s="1716"/>
      <c r="ZA9" s="1716"/>
      <c r="ZB9" s="1716"/>
      <c r="ZC9" s="1716"/>
      <c r="ZD9" s="1716"/>
      <c r="ZE9" s="1716"/>
      <c r="ZF9" s="1716"/>
      <c r="ZG9" s="1716"/>
      <c r="ZH9" s="1716"/>
      <c r="ZI9" s="1716"/>
      <c r="ZJ9" s="1716"/>
      <c r="ZK9" s="1716"/>
      <c r="ZL9" s="1716"/>
      <c r="ZM9" s="1716"/>
      <c r="ZN9" s="1716"/>
      <c r="ZO9" s="1716"/>
      <c r="ZP9" s="1716"/>
      <c r="ZQ9" s="1716"/>
      <c r="ZR9" s="1716"/>
      <c r="ZS9" s="1716"/>
      <c r="ZT9" s="1716"/>
      <c r="ZU9" s="1716"/>
      <c r="ZV9" s="1716"/>
      <c r="ZW9" s="1716"/>
      <c r="ZX9" s="1716"/>
      <c r="ZY9" s="1716"/>
      <c r="ZZ9" s="1716"/>
      <c r="AAA9" s="1716"/>
      <c r="AAB9" s="1716"/>
      <c r="AAC9" s="1716"/>
      <c r="AAD9" s="1716"/>
      <c r="AAE9" s="1716"/>
      <c r="AAF9" s="1716"/>
      <c r="AAG9" s="1716"/>
      <c r="AAH9" s="1716"/>
      <c r="AAI9" s="1716"/>
      <c r="AAJ9" s="1716"/>
      <c r="AAK9" s="1716"/>
      <c r="AAL9" s="1716"/>
      <c r="AAM9" s="1716"/>
      <c r="AAN9" s="1716"/>
      <c r="AAO9" s="1716"/>
      <c r="AAP9" s="1716"/>
      <c r="AAQ9" s="1716"/>
      <c r="AAR9" s="1716"/>
      <c r="AAS9" s="1716"/>
      <c r="AAT9" s="1716"/>
      <c r="AAU9" s="1716"/>
      <c r="AAV9" s="1716"/>
      <c r="AAW9" s="1716"/>
      <c r="AAX9" s="1716"/>
      <c r="AAY9" s="1716"/>
      <c r="AAZ9" s="1716"/>
      <c r="ABA9" s="1716"/>
      <c r="ABB9" s="1716"/>
      <c r="ABC9" s="1716"/>
      <c r="ABD9" s="1716"/>
      <c r="ABE9" s="1716"/>
      <c r="ABF9" s="1716"/>
      <c r="ABG9" s="1716"/>
      <c r="ABH9" s="1716"/>
      <c r="ABI9" s="1716"/>
      <c r="ABJ9" s="1716"/>
      <c r="ABK9" s="1716"/>
      <c r="ABL9" s="1716"/>
      <c r="ABM9" s="1716"/>
      <c r="ABN9" s="1716"/>
      <c r="ABO9" s="1716"/>
      <c r="ABP9" s="1716"/>
      <c r="ABQ9" s="1716"/>
      <c r="ABR9" s="1716"/>
      <c r="ABS9" s="1716"/>
      <c r="ABT9" s="1716"/>
      <c r="ABU9" s="1716"/>
      <c r="ABV9" s="1716"/>
      <c r="ABW9" s="1716"/>
      <c r="ABX9" s="1716"/>
      <c r="ABY9" s="1716"/>
      <c r="ABZ9" s="1716"/>
      <c r="ACA9" s="1716"/>
      <c r="ACB9" s="1716"/>
      <c r="ACC9" s="1716"/>
      <c r="ACD9" s="1716"/>
      <c r="ACE9" s="1716"/>
      <c r="ACF9" s="1716"/>
      <c r="ACG9" s="1716"/>
      <c r="ACH9" s="1716"/>
      <c r="ACI9" s="1716"/>
      <c r="ACJ9" s="1716"/>
      <c r="ACK9" s="1716"/>
      <c r="ACL9" s="1716"/>
      <c r="ACM9" s="1716"/>
      <c r="ACN9" s="1716"/>
      <c r="ACO9" s="1716"/>
      <c r="ACP9" s="1716"/>
      <c r="ACQ9" s="1716"/>
      <c r="ACR9" s="1716"/>
      <c r="ACS9" s="1716"/>
      <c r="ACT9" s="1716"/>
      <c r="ACU9" s="1716"/>
      <c r="ACV9" s="1716"/>
      <c r="ACW9" s="1716"/>
      <c r="ACX9" s="1716"/>
      <c r="ACY9" s="1716"/>
      <c r="ACZ9" s="1716"/>
      <c r="ADA9" s="1716"/>
      <c r="ADB9" s="1716"/>
      <c r="ADC9" s="1716"/>
      <c r="ADD9" s="1716"/>
      <c r="ADE9" s="1716"/>
      <c r="ADF9" s="1716"/>
      <c r="ADG9" s="1716"/>
      <c r="ADH9" s="1716"/>
      <c r="ADI9" s="1716"/>
      <c r="ADJ9" s="1716"/>
      <c r="ADK9" s="1716"/>
      <c r="ADL9" s="1716"/>
      <c r="ADM9" s="1716"/>
      <c r="ADN9" s="1716"/>
      <c r="ADO9" s="1716"/>
      <c r="ADP9" s="1716"/>
      <c r="ADQ9" s="1716"/>
      <c r="ADR9" s="1716"/>
      <c r="ADS9" s="1716"/>
      <c r="ADT9" s="1716"/>
      <c r="ADU9" s="1716"/>
      <c r="ADV9" s="1716"/>
      <c r="ADW9" s="1716"/>
      <c r="ADX9" s="1716"/>
      <c r="ADY9" s="1716"/>
      <c r="ADZ9" s="1716"/>
      <c r="AEA9" s="1716"/>
      <c r="AEB9" s="1716"/>
      <c r="AEC9" s="1716"/>
      <c r="AED9" s="1716"/>
      <c r="AEE9" s="1716"/>
      <c r="AEF9" s="1716"/>
      <c r="AEG9" s="1716"/>
      <c r="AEH9" s="1716"/>
      <c r="AEI9" s="1716"/>
      <c r="AEJ9" s="1716"/>
      <c r="AEK9" s="1716"/>
      <c r="AEL9" s="1716"/>
      <c r="AEM9" s="1716"/>
      <c r="AEN9" s="1716"/>
      <c r="AEO9" s="1716"/>
      <c r="AEP9" s="1716"/>
      <c r="AEQ9" s="1716"/>
      <c r="AER9" s="1716"/>
      <c r="AES9" s="1716"/>
      <c r="AET9" s="1716"/>
      <c r="AEU9" s="1716"/>
      <c r="AEV9" s="1716"/>
      <c r="AEW9" s="1716"/>
      <c r="AEX9" s="1716"/>
      <c r="AEY9" s="1716"/>
      <c r="AEZ9" s="1716"/>
      <c r="AFA9" s="1716"/>
      <c r="AFB9" s="1716"/>
      <c r="AFC9" s="1716"/>
      <c r="AFD9" s="1716"/>
      <c r="AFE9" s="1716"/>
      <c r="AFF9" s="1716"/>
      <c r="AFG9" s="1716"/>
      <c r="AFH9" s="1716"/>
      <c r="AFI9" s="1716"/>
      <c r="AFJ9" s="1716"/>
      <c r="AFK9" s="1716"/>
      <c r="AFL9" s="1716"/>
      <c r="AFM9" s="1716"/>
      <c r="AFN9" s="1716"/>
      <c r="AFO9" s="1716"/>
      <c r="AFP9" s="1716"/>
      <c r="AFQ9" s="1716"/>
      <c r="AFR9" s="1716"/>
      <c r="AFS9" s="1716"/>
      <c r="AFT9" s="1716"/>
      <c r="AFU9" s="1716"/>
      <c r="AFV9" s="1716"/>
      <c r="AFW9" s="1716"/>
      <c r="AFX9" s="1716"/>
      <c r="AFY9" s="1716"/>
      <c r="AFZ9" s="1716"/>
      <c r="AGA9" s="1716"/>
      <c r="AGB9" s="1716"/>
      <c r="AGC9" s="1716"/>
      <c r="AGD9" s="1716"/>
      <c r="AGE9" s="1716"/>
      <c r="AGF9" s="1716"/>
      <c r="AGG9" s="1716"/>
      <c r="AGH9" s="1716"/>
      <c r="AGI9" s="1716"/>
      <c r="AGJ9" s="1716"/>
      <c r="AGK9" s="1716"/>
      <c r="AGL9" s="1716"/>
      <c r="AGM9" s="1716"/>
      <c r="AGN9" s="1716"/>
      <c r="AGO9" s="1716"/>
      <c r="AGP9" s="1716"/>
      <c r="AGQ9" s="1716"/>
      <c r="AGR9" s="1716"/>
      <c r="AGS9" s="1716"/>
      <c r="AGT9" s="1716"/>
      <c r="AGU9" s="1716"/>
      <c r="AGV9" s="1716"/>
      <c r="AGW9" s="1716"/>
      <c r="AGX9" s="1716"/>
      <c r="AGY9" s="1716"/>
      <c r="AGZ9" s="1716"/>
      <c r="AHA9" s="1716"/>
      <c r="AHB9" s="1716"/>
      <c r="AHC9" s="1716"/>
      <c r="AHD9" s="1716"/>
      <c r="AHE9" s="1716"/>
      <c r="AHF9" s="1716"/>
      <c r="AHG9" s="1716"/>
      <c r="AHH9" s="1716"/>
      <c r="AHI9" s="1716"/>
      <c r="AHJ9" s="1716"/>
      <c r="AHK9" s="1716"/>
      <c r="AHL9" s="1716"/>
      <c r="AHM9" s="1716"/>
      <c r="AHN9" s="1716"/>
      <c r="AHO9" s="1716"/>
      <c r="AHP9" s="1716"/>
      <c r="AHQ9" s="1716"/>
      <c r="AHR9" s="1716"/>
      <c r="AHS9" s="1716"/>
      <c r="AHT9" s="1716"/>
      <c r="AHU9" s="1716"/>
      <c r="AHV9" s="1716"/>
      <c r="AHW9" s="1716"/>
      <c r="AHX9" s="1716"/>
      <c r="AHY9" s="1716"/>
      <c r="AHZ9" s="1716"/>
      <c r="AIA9" s="1716"/>
      <c r="AIB9" s="1716"/>
      <c r="AIC9" s="1716"/>
      <c r="AID9" s="1716"/>
      <c r="AIE9" s="1716"/>
      <c r="AIF9" s="1716"/>
      <c r="AIG9" s="1716"/>
      <c r="AIH9" s="1716"/>
      <c r="AII9" s="1716"/>
      <c r="AIJ9" s="1716"/>
      <c r="AIK9" s="1716"/>
      <c r="AIL9" s="1716"/>
      <c r="AIM9" s="1716"/>
      <c r="AIN9" s="1716"/>
      <c r="AIO9" s="1716"/>
      <c r="AIP9" s="1716"/>
      <c r="AIQ9" s="1716"/>
      <c r="AIR9" s="1716"/>
      <c r="AIS9" s="1716"/>
      <c r="AIT9" s="1716"/>
      <c r="AIU9" s="1716"/>
      <c r="AIV9" s="1716"/>
      <c r="AIW9" s="1716"/>
      <c r="AIX9" s="1716"/>
      <c r="AIY9" s="1716"/>
      <c r="AIZ9" s="1716"/>
      <c r="AJA9" s="1716"/>
      <c r="AJB9" s="1716"/>
      <c r="AJC9" s="1716"/>
      <c r="AJD9" s="1716"/>
      <c r="AJE9" s="1716"/>
      <c r="AJF9" s="1716"/>
      <c r="AJG9" s="1716"/>
      <c r="AJH9" s="1716"/>
      <c r="AJI9" s="1716"/>
      <c r="AJJ9" s="1716"/>
      <c r="AJK9" s="1716"/>
      <c r="AJL9" s="1716"/>
      <c r="AJM9" s="1716"/>
      <c r="AJN9" s="1716"/>
      <c r="AJO9" s="1716"/>
      <c r="AJP9" s="1716"/>
      <c r="AJQ9" s="1716"/>
      <c r="AJR9" s="1716"/>
      <c r="AJS9" s="1716"/>
      <c r="AJT9" s="1716"/>
      <c r="AJU9" s="1716"/>
      <c r="AJV9" s="1716"/>
      <c r="AJW9" s="1716"/>
      <c r="AJX9" s="1716"/>
      <c r="AJY9" s="1716"/>
      <c r="AJZ9" s="1716"/>
      <c r="AKA9" s="1716"/>
      <c r="AKB9" s="1716"/>
      <c r="AKC9" s="1716"/>
      <c r="AKD9" s="1716"/>
      <c r="AKE9" s="1716"/>
      <c r="AKF9" s="1716"/>
      <c r="AKG9" s="1716"/>
      <c r="AKH9" s="1716"/>
      <c r="AKI9" s="1716"/>
      <c r="AKJ9" s="1716"/>
      <c r="AKK9" s="1716"/>
      <c r="AKL9" s="1716"/>
      <c r="AKM9" s="1716"/>
      <c r="AKN9" s="1716"/>
      <c r="AKO9" s="1716"/>
      <c r="AKP9" s="1716"/>
      <c r="AKQ9" s="1716"/>
      <c r="AKR9" s="1716"/>
      <c r="AKS9" s="1716"/>
      <c r="AKT9" s="1716"/>
      <c r="AKU9" s="1716"/>
      <c r="AKV9" s="1716"/>
      <c r="AKW9" s="1716"/>
      <c r="AKX9" s="1716"/>
      <c r="AKY9" s="1716"/>
      <c r="AKZ9" s="1716"/>
      <c r="ALA9" s="1716"/>
      <c r="ALB9" s="1716"/>
      <c r="ALC9" s="1716"/>
      <c r="ALD9" s="1716"/>
      <c r="ALE9" s="1716"/>
      <c r="ALF9" s="1716"/>
      <c r="ALG9" s="1716"/>
      <c r="ALH9" s="1716"/>
      <c r="ALI9" s="1716"/>
      <c r="ALJ9" s="1716"/>
      <c r="ALK9" s="1716"/>
      <c r="ALL9" s="1716"/>
      <c r="ALM9" s="1716"/>
      <c r="ALN9" s="1716"/>
      <c r="ALO9" s="1716"/>
      <c r="ALP9" s="1716"/>
      <c r="ALQ9" s="1716"/>
      <c r="ALR9" s="1716"/>
      <c r="ALS9" s="1716"/>
      <c r="ALT9" s="1716"/>
      <c r="ALU9" s="1716"/>
      <c r="ALV9" s="1716"/>
      <c r="ALW9" s="1716"/>
      <c r="ALX9" s="1716"/>
      <c r="ALY9" s="1716"/>
      <c r="ALZ9" s="1716"/>
      <c r="AMA9" s="1716"/>
      <c r="AMB9" s="1716"/>
      <c r="AMC9" s="1716"/>
      <c r="AMD9" s="1716"/>
      <c r="AME9" s="1716"/>
      <c r="AMF9" s="1716"/>
      <c r="AMG9" s="1716"/>
      <c r="AMH9" s="1716"/>
      <c r="AMI9" s="1716"/>
      <c r="AMJ9" s="1716"/>
      <c r="AMK9" s="1716"/>
      <c r="AML9" s="1716"/>
      <c r="AMM9" s="1716"/>
      <c r="AMN9" s="1716"/>
      <c r="AMO9" s="1716"/>
      <c r="AMP9" s="1716"/>
      <c r="AMQ9" s="1716"/>
      <c r="AMR9" s="1716"/>
      <c r="AMS9" s="1716"/>
      <c r="AMT9" s="1716"/>
      <c r="AMU9" s="1716"/>
      <c r="AMV9" s="1716"/>
      <c r="AMW9" s="1716"/>
      <c r="AMX9" s="1716"/>
      <c r="AMY9" s="1716"/>
      <c r="AMZ9" s="1716"/>
      <c r="ANA9" s="1716"/>
      <c r="ANB9" s="1716"/>
      <c r="ANC9" s="1716"/>
      <c r="AND9" s="1716"/>
      <c r="ANE9" s="1716"/>
      <c r="ANF9" s="1716"/>
      <c r="ANG9" s="1716"/>
      <c r="ANH9" s="1716"/>
      <c r="ANI9" s="1716"/>
      <c r="ANJ9" s="1716"/>
      <c r="ANK9" s="1716"/>
      <c r="ANL9" s="1716"/>
      <c r="ANM9" s="1716"/>
      <c r="ANN9" s="1716"/>
      <c r="ANO9" s="1716"/>
      <c r="ANP9" s="1716"/>
      <c r="ANQ9" s="1716"/>
      <c r="ANR9" s="1716"/>
      <c r="ANS9" s="1716"/>
      <c r="ANT9" s="1716"/>
      <c r="ANU9" s="1716"/>
      <c r="ANV9" s="1716"/>
      <c r="ANW9" s="1716"/>
      <c r="ANX9" s="1716"/>
      <c r="ANY9" s="1716"/>
      <c r="ANZ9" s="1716"/>
      <c r="AOA9" s="1716"/>
      <c r="AOB9" s="1716"/>
      <c r="AOC9" s="1716"/>
      <c r="AOD9" s="1716"/>
      <c r="AOE9" s="1716"/>
      <c r="AOF9" s="1716"/>
      <c r="AOG9" s="1716"/>
      <c r="AOH9" s="1716"/>
      <c r="AOI9" s="1716"/>
      <c r="AOJ9" s="1716"/>
      <c r="AOK9" s="1716"/>
      <c r="AOL9" s="1716"/>
      <c r="AOM9" s="1716"/>
      <c r="AON9" s="1716"/>
      <c r="AOO9" s="1716"/>
      <c r="AOP9" s="1716"/>
      <c r="AOQ9" s="1716"/>
      <c r="AOR9" s="1716"/>
      <c r="AOS9" s="1716"/>
      <c r="AOT9" s="1716"/>
      <c r="AOU9" s="1716"/>
      <c r="AOV9" s="1716"/>
      <c r="AOW9" s="1716"/>
      <c r="AOX9" s="1716"/>
      <c r="AOY9" s="1716"/>
      <c r="AOZ9" s="1716"/>
      <c r="APA9" s="1716"/>
      <c r="APB9" s="1716"/>
      <c r="APC9" s="1716"/>
      <c r="APD9" s="1716"/>
      <c r="APE9" s="1716"/>
      <c r="APF9" s="1716"/>
      <c r="APG9" s="1716"/>
      <c r="APH9" s="1716"/>
      <c r="API9" s="1716"/>
      <c r="APJ9" s="1716"/>
      <c r="APK9" s="1716"/>
      <c r="APL9" s="1716"/>
      <c r="APM9" s="1716"/>
      <c r="APN9" s="1716"/>
      <c r="APO9" s="1716"/>
      <c r="APP9" s="1716"/>
      <c r="APQ9" s="1716"/>
      <c r="APR9" s="1716"/>
      <c r="APS9" s="1716"/>
      <c r="APT9" s="1716"/>
      <c r="APU9" s="1716"/>
      <c r="APV9" s="1716"/>
      <c r="APW9" s="1716"/>
      <c r="APX9" s="1716"/>
      <c r="APY9" s="1716"/>
      <c r="APZ9" s="1716"/>
      <c r="AQA9" s="1716"/>
      <c r="AQB9" s="1716"/>
      <c r="AQC9" s="1716"/>
      <c r="AQD9" s="1716"/>
      <c r="AQE9" s="1716"/>
      <c r="AQF9" s="1716"/>
      <c r="AQG9" s="1716"/>
      <c r="AQH9" s="1716"/>
      <c r="AQI9" s="1716"/>
      <c r="AQJ9" s="1716"/>
      <c r="AQK9" s="1716"/>
      <c r="AQL9" s="1716"/>
      <c r="AQM9" s="1716"/>
      <c r="AQN9" s="1716"/>
      <c r="AQO9" s="1716"/>
      <c r="AQP9" s="1716"/>
      <c r="AQQ9" s="1716"/>
      <c r="AQR9" s="1716"/>
      <c r="AQS9" s="1716"/>
      <c r="AQT9" s="1716"/>
      <c r="AQU9" s="1716"/>
      <c r="AQV9" s="1716"/>
      <c r="AQW9" s="1716"/>
      <c r="AQX9" s="1716"/>
      <c r="AQY9" s="1716"/>
      <c r="AQZ9" s="1716"/>
      <c r="ARA9" s="1716"/>
      <c r="ARB9" s="1716"/>
      <c r="ARC9" s="1716"/>
      <c r="ARD9" s="1716"/>
      <c r="ARE9" s="1716"/>
      <c r="ARF9" s="1716"/>
      <c r="ARG9" s="1716"/>
      <c r="ARH9" s="1716"/>
      <c r="ARI9" s="1716"/>
      <c r="ARJ9" s="1716"/>
      <c r="ARK9" s="1716"/>
      <c r="ARL9" s="1716"/>
      <c r="ARM9" s="1716"/>
      <c r="ARN9" s="1716"/>
      <c r="ARO9" s="1716"/>
      <c r="ARP9" s="1716"/>
      <c r="ARQ9" s="1716"/>
      <c r="ARR9" s="1716"/>
      <c r="ARS9" s="1716"/>
      <c r="ART9" s="1716"/>
      <c r="ARU9" s="1716"/>
      <c r="ARV9" s="1716"/>
      <c r="ARW9" s="1716"/>
      <c r="ARX9" s="1716"/>
      <c r="ARY9" s="1716"/>
      <c r="ARZ9" s="1716"/>
      <c r="ASA9" s="1716"/>
      <c r="ASB9" s="1716"/>
      <c r="ASC9" s="1716"/>
      <c r="ASD9" s="1716"/>
      <c r="ASE9" s="1716"/>
      <c r="ASF9" s="1716"/>
      <c r="ASG9" s="1716"/>
      <c r="ASH9" s="1716"/>
      <c r="ASI9" s="1716"/>
      <c r="ASJ9" s="1716"/>
      <c r="ASK9" s="1716"/>
      <c r="ASL9" s="1716"/>
      <c r="ASM9" s="1716"/>
      <c r="ASN9" s="1716"/>
      <c r="ASO9" s="1716"/>
      <c r="ASP9" s="1716"/>
      <c r="ASQ9" s="1716"/>
      <c r="ASR9" s="1716"/>
      <c r="ASS9" s="1716"/>
      <c r="AST9" s="1716"/>
      <c r="ASU9" s="1716"/>
      <c r="ASV9" s="1716"/>
      <c r="ASW9" s="1716"/>
      <c r="ASX9" s="1716"/>
      <c r="ASY9" s="1716"/>
      <c r="ASZ9" s="1716"/>
      <c r="ATA9" s="1716"/>
      <c r="ATB9" s="1716"/>
      <c r="ATC9" s="1716"/>
      <c r="ATD9" s="1716"/>
      <c r="ATE9" s="1716"/>
      <c r="ATF9" s="1716"/>
      <c r="ATG9" s="1716"/>
      <c r="ATH9" s="1716"/>
      <c r="ATI9" s="1716"/>
      <c r="ATJ9" s="1716"/>
      <c r="ATK9" s="1716"/>
      <c r="ATL9" s="1716"/>
      <c r="ATM9" s="1716"/>
      <c r="ATN9" s="1716"/>
      <c r="ATO9" s="1716"/>
      <c r="ATP9" s="1716"/>
      <c r="ATQ9" s="1716"/>
      <c r="ATR9" s="1716"/>
      <c r="ATS9" s="1716"/>
      <c r="ATT9" s="1716"/>
      <c r="ATU9" s="1716"/>
      <c r="ATV9" s="1716"/>
      <c r="ATW9" s="1716"/>
      <c r="ATX9" s="1716"/>
      <c r="ATY9" s="1716"/>
      <c r="ATZ9" s="1716"/>
      <c r="AUA9" s="1716"/>
      <c r="AUB9" s="1716"/>
      <c r="AUC9" s="1716"/>
      <c r="AUD9" s="1716"/>
      <c r="AUE9" s="1716"/>
      <c r="AUF9" s="1716"/>
      <c r="AUG9" s="1716"/>
      <c r="AUH9" s="1716"/>
      <c r="AUI9" s="1716"/>
      <c r="AUJ9" s="1716"/>
      <c r="AUK9" s="1716"/>
      <c r="AUL9" s="1716"/>
      <c r="AUM9" s="1716"/>
      <c r="AUN9" s="1716"/>
      <c r="AUO9" s="1716"/>
      <c r="AUP9" s="1716"/>
      <c r="AUQ9" s="1716"/>
      <c r="AUR9" s="1716"/>
      <c r="AUS9" s="1716"/>
      <c r="AUT9" s="1716"/>
      <c r="AUU9" s="1716"/>
      <c r="AUV9" s="1716"/>
      <c r="AUW9" s="1716"/>
      <c r="AUX9" s="1716"/>
      <c r="AUY9" s="1716"/>
      <c r="AUZ9" s="1716"/>
      <c r="AVA9" s="1716"/>
      <c r="AVB9" s="1716"/>
      <c r="AVC9" s="1716"/>
      <c r="AVD9" s="1716"/>
      <c r="AVE9" s="1716"/>
      <c r="AVF9" s="1716"/>
      <c r="AVG9" s="1716"/>
      <c r="AVH9" s="1716"/>
      <c r="AVI9" s="1716"/>
      <c r="AVJ9" s="1716"/>
      <c r="AVK9" s="1716"/>
      <c r="AVL9" s="1716"/>
      <c r="AVM9" s="1716"/>
      <c r="AVN9" s="1716"/>
      <c r="AVO9" s="1716"/>
      <c r="AVP9" s="1716"/>
      <c r="AVQ9" s="1716"/>
      <c r="AVR9" s="1716"/>
      <c r="AVS9" s="1716"/>
      <c r="AVT9" s="1716"/>
      <c r="AVU9" s="1716"/>
      <c r="AVV9" s="1716"/>
      <c r="AVW9" s="1716"/>
      <c r="AVX9" s="1716"/>
      <c r="AVY9" s="1716"/>
      <c r="AVZ9" s="1716"/>
      <c r="AWA9" s="1716"/>
      <c r="AWB9" s="1716"/>
      <c r="AWC9" s="1716"/>
      <c r="AWD9" s="1716"/>
      <c r="AWE9" s="1716"/>
      <c r="AWF9" s="1716"/>
      <c r="AWG9" s="1716"/>
      <c r="AWH9" s="1716"/>
      <c r="AWI9" s="1716"/>
      <c r="AWJ9" s="1716"/>
      <c r="AWK9" s="1716"/>
      <c r="AWL9" s="1716"/>
      <c r="AWM9" s="1716"/>
      <c r="AWN9" s="1716"/>
      <c r="AWO9" s="1716"/>
      <c r="AWP9" s="1716"/>
      <c r="AWQ9" s="1716"/>
      <c r="AWR9" s="1716"/>
      <c r="AWS9" s="1716"/>
      <c r="AWT9" s="1716"/>
      <c r="AWU9" s="1716"/>
      <c r="AWV9" s="1716"/>
      <c r="AWW9" s="1716"/>
      <c r="AWX9" s="1716"/>
      <c r="AWY9" s="1716"/>
      <c r="AWZ9" s="1716"/>
      <c r="AXA9" s="1716"/>
      <c r="AXB9" s="1716"/>
      <c r="AXC9" s="1716"/>
      <c r="AXD9" s="1716"/>
      <c r="AXE9" s="1716"/>
      <c r="AXF9" s="1716"/>
      <c r="AXG9" s="1716"/>
      <c r="AXH9" s="1716"/>
      <c r="AXI9" s="1716"/>
      <c r="AXJ9" s="1716"/>
      <c r="AXK9" s="1716"/>
      <c r="AXL9" s="1716"/>
      <c r="AXM9" s="1716"/>
      <c r="AXN9" s="1716"/>
      <c r="AXO9" s="1716"/>
      <c r="AXP9" s="1716"/>
      <c r="AXQ9" s="1716"/>
      <c r="AXR9" s="1716"/>
      <c r="AXS9" s="1716"/>
      <c r="AXT9" s="1716"/>
      <c r="AXU9" s="1716"/>
      <c r="AXV9" s="1716"/>
      <c r="AXW9" s="1716"/>
      <c r="AXX9" s="1716"/>
      <c r="AXY9" s="1716"/>
      <c r="AXZ9" s="1716"/>
      <c r="AYA9" s="1716"/>
      <c r="AYB9" s="1716"/>
      <c r="AYC9" s="1716"/>
      <c r="AYD9" s="1716"/>
      <c r="AYE9" s="1716"/>
      <c r="AYF9" s="1716"/>
      <c r="AYG9" s="1716"/>
      <c r="AYH9" s="1716"/>
      <c r="AYI9" s="1716"/>
      <c r="AYJ9" s="1716"/>
      <c r="AYK9" s="1716"/>
      <c r="AYL9" s="1716"/>
      <c r="AYM9" s="1716"/>
      <c r="AYN9" s="1716"/>
      <c r="AYO9" s="1716"/>
      <c r="AYP9" s="1716"/>
      <c r="AYQ9" s="1716"/>
      <c r="AYR9" s="1716"/>
      <c r="AYS9" s="1716"/>
      <c r="AYT9" s="1716"/>
      <c r="AYU9" s="1716"/>
      <c r="AYV9" s="1716"/>
      <c r="AYW9" s="1716"/>
      <c r="AYX9" s="1716"/>
      <c r="AYY9" s="1716"/>
      <c r="AYZ9" s="1716"/>
      <c r="AZA9" s="1716"/>
      <c r="AZB9" s="1716"/>
      <c r="AZC9" s="1716"/>
      <c r="AZD9" s="1716"/>
      <c r="AZE9" s="1716"/>
      <c r="AZF9" s="1716"/>
      <c r="AZG9" s="1716"/>
      <c r="AZH9" s="1716"/>
      <c r="AZI9" s="1716"/>
      <c r="AZJ9" s="1716"/>
      <c r="AZK9" s="1716"/>
      <c r="AZL9" s="1716"/>
      <c r="AZM9" s="1716"/>
      <c r="AZN9" s="1716"/>
      <c r="AZO9" s="1716"/>
      <c r="AZP9" s="1716"/>
      <c r="AZQ9" s="1716"/>
      <c r="AZR9" s="1716"/>
      <c r="AZS9" s="1716"/>
      <c r="AZT9" s="1716"/>
      <c r="AZU9" s="1716"/>
      <c r="AZV9" s="1716"/>
      <c r="AZW9" s="1716"/>
      <c r="AZX9" s="1716"/>
    </row>
    <row r="10" spans="1:1376" ht="16.5" customHeight="1" x14ac:dyDescent="0.2">
      <c r="A10" s="402">
        <v>2</v>
      </c>
      <c r="B10" s="137"/>
      <c r="C10" s="137" t="s">
        <v>835</v>
      </c>
      <c r="D10" s="1972"/>
      <c r="E10" s="137"/>
      <c r="F10" s="137"/>
      <c r="G10" s="137"/>
      <c r="H10" s="137"/>
      <c r="I10" s="137"/>
      <c r="J10" s="137"/>
      <c r="K10" s="132"/>
      <c r="L10" s="132"/>
      <c r="M10" s="137"/>
      <c r="N10" s="137"/>
      <c r="O10" s="403"/>
      <c r="P10" s="132"/>
      <c r="Q10" s="255"/>
      <c r="R10" s="1882"/>
      <c r="S10" s="132"/>
      <c r="T10" s="132"/>
      <c r="U10" s="132"/>
      <c r="V10" s="135"/>
      <c r="W10" s="136"/>
      <c r="X10" s="133"/>
      <c r="Y10" s="133"/>
      <c r="Z10" s="133"/>
      <c r="AA10" s="137"/>
      <c r="AB10" s="137"/>
      <c r="AC10" s="137"/>
      <c r="AD10" s="137"/>
      <c r="AE10" s="137"/>
      <c r="AF10" s="137"/>
      <c r="AG10" s="137"/>
      <c r="AH10" s="137"/>
      <c r="AI10" s="137"/>
      <c r="AJ10" s="137"/>
      <c r="AK10" s="137"/>
      <c r="AL10" s="137"/>
      <c r="AM10" s="137"/>
      <c r="AN10" s="137"/>
      <c r="AO10" s="404"/>
      <c r="AP10" s="404"/>
      <c r="AQ10" s="2408"/>
    </row>
    <row r="11" spans="1:1376" s="124" customFormat="1" ht="20.25" customHeight="1" x14ac:dyDescent="0.2">
      <c r="A11" s="3539"/>
      <c r="B11" s="3540"/>
      <c r="C11" s="3493"/>
      <c r="D11" s="405">
        <v>2</v>
      </c>
      <c r="E11" s="406" t="s">
        <v>836</v>
      </c>
      <c r="F11" s="406"/>
      <c r="G11" s="406"/>
      <c r="H11" s="406"/>
      <c r="I11" s="406"/>
      <c r="J11" s="150"/>
      <c r="K11" s="144"/>
      <c r="L11" s="144"/>
      <c r="M11" s="150"/>
      <c r="N11" s="150"/>
      <c r="O11" s="407"/>
      <c r="P11" s="144"/>
      <c r="Q11" s="260"/>
      <c r="R11" s="1883"/>
      <c r="S11" s="144"/>
      <c r="T11" s="144"/>
      <c r="U11" s="144"/>
      <c r="V11" s="147"/>
      <c r="W11" s="149"/>
      <c r="X11" s="145"/>
      <c r="Y11" s="145"/>
      <c r="Z11" s="145"/>
      <c r="AA11" s="150"/>
      <c r="AB11" s="150"/>
      <c r="AC11" s="150"/>
      <c r="AD11" s="150"/>
      <c r="AE11" s="150"/>
      <c r="AF11" s="150"/>
      <c r="AG11" s="150"/>
      <c r="AH11" s="150"/>
      <c r="AI11" s="150"/>
      <c r="AJ11" s="150"/>
      <c r="AK11" s="150"/>
      <c r="AL11" s="150"/>
      <c r="AM11" s="150"/>
      <c r="AN11" s="150"/>
      <c r="AO11" s="408"/>
      <c r="AP11" s="408"/>
      <c r="AQ11" s="2409"/>
      <c r="AR11" s="1709"/>
      <c r="AS11" s="1709"/>
      <c r="AT11" s="1709"/>
      <c r="AU11" s="1709"/>
      <c r="AV11" s="1709"/>
      <c r="AW11" s="1709"/>
      <c r="AX11" s="1709"/>
      <c r="AY11" s="1709"/>
      <c r="AZ11" s="1709"/>
      <c r="BA11" s="1709"/>
      <c r="BB11" s="1709"/>
      <c r="BC11" s="1709"/>
      <c r="BD11" s="1709"/>
      <c r="BE11" s="1709"/>
      <c r="BF11" s="1709"/>
      <c r="BG11" s="1709"/>
      <c r="BH11" s="1709"/>
      <c r="BI11" s="1709"/>
      <c r="BJ11" s="1709"/>
      <c r="BK11" s="1709"/>
      <c r="BL11" s="1709"/>
      <c r="BM11" s="1709"/>
      <c r="BN11" s="1709"/>
      <c r="BO11" s="1709"/>
      <c r="BP11" s="1709"/>
      <c r="BQ11" s="1709"/>
      <c r="BR11" s="1709"/>
      <c r="BS11" s="1709"/>
      <c r="BT11" s="1709"/>
      <c r="BU11" s="1709"/>
      <c r="BV11" s="1709"/>
      <c r="BW11" s="1709"/>
      <c r="BX11" s="1709"/>
      <c r="BY11" s="1709"/>
      <c r="BZ11" s="1709"/>
      <c r="CA11" s="1709"/>
      <c r="CB11" s="1709"/>
      <c r="CC11" s="1709"/>
      <c r="CD11" s="1709"/>
      <c r="CE11" s="1709"/>
      <c r="CF11" s="1709"/>
      <c r="CG11" s="1709"/>
      <c r="CH11" s="1709"/>
      <c r="CI11" s="1709"/>
      <c r="CJ11" s="1709"/>
      <c r="CK11" s="1709"/>
      <c r="CL11" s="1709"/>
      <c r="CM11" s="1709"/>
      <c r="CN11" s="1709"/>
      <c r="CO11" s="1709"/>
      <c r="CP11" s="1709"/>
      <c r="CQ11" s="1709"/>
      <c r="CR11" s="1709"/>
      <c r="CS11" s="1709"/>
      <c r="CT11" s="1709"/>
      <c r="CU11" s="1709"/>
      <c r="CV11" s="1709"/>
      <c r="CW11" s="1709"/>
      <c r="CX11" s="1709"/>
      <c r="CY11" s="1709"/>
      <c r="CZ11" s="1709"/>
      <c r="DA11" s="1709"/>
      <c r="DB11" s="1709"/>
      <c r="DC11" s="1709"/>
      <c r="DD11" s="1709"/>
      <c r="DE11" s="1709"/>
      <c r="DF11" s="1709"/>
      <c r="DG11" s="1709"/>
      <c r="DH11" s="1709"/>
      <c r="DI11" s="1709"/>
      <c r="DJ11" s="1709"/>
      <c r="DK11" s="1709"/>
      <c r="DL11" s="1709"/>
      <c r="DM11" s="1709"/>
      <c r="DN11" s="1709"/>
      <c r="DO11" s="1709"/>
      <c r="DP11" s="1709"/>
      <c r="DQ11" s="1709"/>
      <c r="DR11" s="1709"/>
      <c r="DS11" s="1709"/>
      <c r="DT11" s="1709"/>
      <c r="DU11" s="1709"/>
      <c r="DV11" s="1709"/>
      <c r="DW11" s="1709"/>
      <c r="DX11" s="1709"/>
      <c r="DY11" s="1709"/>
      <c r="DZ11" s="1709"/>
      <c r="EA11" s="1709"/>
      <c r="EB11" s="1709"/>
      <c r="EC11" s="1709"/>
      <c r="ED11" s="1709"/>
      <c r="EE11" s="1709"/>
      <c r="EF11" s="1709"/>
      <c r="EG11" s="1709"/>
      <c r="EH11" s="1709"/>
      <c r="EI11" s="1709"/>
      <c r="EJ11" s="1709"/>
      <c r="EK11" s="1709"/>
      <c r="EL11" s="1709"/>
      <c r="EM11" s="1709"/>
      <c r="EN11" s="1709"/>
      <c r="EO11" s="1709"/>
      <c r="EP11" s="1709"/>
      <c r="EQ11" s="1709"/>
      <c r="ER11" s="1709"/>
      <c r="ES11" s="1709"/>
      <c r="ET11" s="1709"/>
      <c r="EU11" s="1709"/>
      <c r="EV11" s="1709"/>
      <c r="EW11" s="1709"/>
      <c r="EX11" s="1709"/>
      <c r="EY11" s="1709"/>
      <c r="EZ11" s="1709"/>
      <c r="FA11" s="1709"/>
      <c r="FB11" s="1709"/>
      <c r="FC11" s="1709"/>
      <c r="FD11" s="1709"/>
      <c r="FE11" s="1709"/>
      <c r="FF11" s="1709"/>
      <c r="FG11" s="1709"/>
      <c r="FH11" s="1709"/>
      <c r="FI11" s="1709"/>
      <c r="FJ11" s="1709"/>
      <c r="FK11" s="1709"/>
      <c r="FL11" s="1709"/>
      <c r="FM11" s="1709"/>
      <c r="FN11" s="1709"/>
      <c r="FO11" s="1709"/>
      <c r="FP11" s="1709"/>
      <c r="FQ11" s="1709"/>
      <c r="FR11" s="1709"/>
      <c r="FS11" s="1709"/>
      <c r="FT11" s="1709"/>
      <c r="FU11" s="1709"/>
      <c r="FV11" s="1709"/>
      <c r="FW11" s="1709"/>
      <c r="FX11" s="1709"/>
      <c r="FY11" s="1709"/>
      <c r="FZ11" s="1709"/>
      <c r="GA11" s="1709"/>
      <c r="GB11" s="1709"/>
      <c r="GC11" s="1709"/>
      <c r="GD11" s="1709"/>
      <c r="GE11" s="1709"/>
      <c r="GF11" s="1709"/>
      <c r="GG11" s="1709"/>
      <c r="GH11" s="1709"/>
      <c r="GI11" s="1709"/>
      <c r="GJ11" s="1709"/>
      <c r="GK11" s="1709"/>
      <c r="GL11" s="1709"/>
      <c r="GM11" s="1709"/>
      <c r="GN11" s="1709"/>
      <c r="GO11" s="1709"/>
      <c r="GP11" s="1709"/>
      <c r="GQ11" s="1709"/>
      <c r="GR11" s="1709"/>
      <c r="GS11" s="1709"/>
      <c r="GT11" s="1709"/>
      <c r="GU11" s="1709"/>
      <c r="GV11" s="1709"/>
      <c r="GW11" s="1709"/>
      <c r="GX11" s="1709"/>
      <c r="GY11" s="1709"/>
      <c r="GZ11" s="1709"/>
      <c r="HA11" s="1709"/>
      <c r="HB11" s="1709"/>
      <c r="HC11" s="1709"/>
      <c r="HD11" s="1709"/>
      <c r="HE11" s="1709"/>
      <c r="HF11" s="1709"/>
      <c r="HG11" s="1709"/>
      <c r="HH11" s="1709"/>
      <c r="HI11" s="1709"/>
      <c r="HJ11" s="1709"/>
      <c r="HK11" s="1709"/>
      <c r="HL11" s="1709"/>
      <c r="HM11" s="1709"/>
      <c r="HN11" s="1709"/>
      <c r="HO11" s="1709"/>
      <c r="HP11" s="1709"/>
      <c r="HQ11" s="1709"/>
      <c r="HR11" s="1709"/>
      <c r="HS11" s="1709"/>
      <c r="HT11" s="1709"/>
      <c r="HU11" s="1709"/>
      <c r="HV11" s="1709"/>
      <c r="HW11" s="1709"/>
      <c r="HX11" s="1709"/>
      <c r="HY11" s="1709"/>
      <c r="HZ11" s="1709"/>
      <c r="IA11" s="1709"/>
      <c r="IB11" s="1709"/>
      <c r="IC11" s="1709"/>
      <c r="ID11" s="1709"/>
      <c r="IE11" s="1709"/>
      <c r="IF11" s="1709"/>
      <c r="IG11" s="1709"/>
      <c r="IH11" s="1709"/>
      <c r="II11" s="1709"/>
      <c r="IJ11" s="1709"/>
      <c r="IK11" s="1709"/>
      <c r="IL11" s="1709"/>
      <c r="IM11" s="1709"/>
      <c r="IN11" s="1709"/>
      <c r="IO11" s="1709"/>
      <c r="IP11" s="1709"/>
      <c r="IQ11" s="1709"/>
      <c r="IR11" s="1709"/>
      <c r="IS11" s="1709"/>
      <c r="IT11" s="1709"/>
      <c r="IU11" s="1709"/>
      <c r="IV11" s="1709"/>
      <c r="IW11" s="1709"/>
      <c r="IX11" s="1709"/>
      <c r="IY11" s="1709"/>
      <c r="IZ11" s="1709"/>
      <c r="JA11" s="1709"/>
      <c r="JB11" s="1709"/>
      <c r="JC11" s="1709"/>
      <c r="JD11" s="1709"/>
      <c r="JE11" s="1709"/>
      <c r="JF11" s="1709"/>
      <c r="JG11" s="1709"/>
      <c r="JH11" s="1709"/>
      <c r="JI11" s="1709"/>
      <c r="JJ11" s="1709"/>
      <c r="JK11" s="1709"/>
      <c r="JL11" s="1709"/>
      <c r="JM11" s="1709"/>
      <c r="JN11" s="1709"/>
      <c r="JO11" s="1709"/>
      <c r="JP11" s="1709"/>
      <c r="JQ11" s="1709"/>
      <c r="JR11" s="1709"/>
      <c r="JS11" s="1709"/>
      <c r="JT11" s="1709"/>
      <c r="JU11" s="1709"/>
      <c r="JV11" s="1709"/>
      <c r="JW11" s="1709"/>
      <c r="JX11" s="1709"/>
      <c r="JY11" s="1709"/>
      <c r="JZ11" s="1709"/>
      <c r="KA11" s="1709"/>
      <c r="KB11" s="1709"/>
      <c r="KC11" s="1709"/>
      <c r="KD11" s="1709"/>
      <c r="KE11" s="1709"/>
      <c r="KF11" s="1709"/>
      <c r="KG11" s="1709"/>
      <c r="KH11" s="1709"/>
      <c r="KI11" s="1709"/>
      <c r="KJ11" s="1709"/>
      <c r="KK11" s="1709"/>
      <c r="KL11" s="1709"/>
      <c r="KM11" s="1709"/>
      <c r="KN11" s="1709"/>
      <c r="KO11" s="1709"/>
      <c r="KP11" s="1709"/>
      <c r="KQ11" s="1709"/>
      <c r="KR11" s="1709"/>
      <c r="KS11" s="1709"/>
      <c r="KT11" s="1709"/>
      <c r="KU11" s="1709"/>
      <c r="KV11" s="1709"/>
      <c r="KW11" s="1709"/>
      <c r="KX11" s="1709"/>
      <c r="KY11" s="1709"/>
      <c r="KZ11" s="1709"/>
      <c r="LA11" s="1709"/>
      <c r="LB11" s="1709"/>
      <c r="LC11" s="1709"/>
      <c r="LD11" s="1709"/>
      <c r="LE11" s="1709"/>
      <c r="LF11" s="1709"/>
      <c r="LG11" s="1709"/>
      <c r="LH11" s="1709"/>
      <c r="LI11" s="1709"/>
      <c r="LJ11" s="1709"/>
      <c r="LK11" s="1709"/>
      <c r="LL11" s="1709"/>
      <c r="LM11" s="1709"/>
      <c r="LN11" s="1709"/>
      <c r="LO11" s="1709"/>
      <c r="LP11" s="1709"/>
      <c r="LQ11" s="1709"/>
      <c r="LR11" s="1709"/>
      <c r="LS11" s="1709"/>
      <c r="LT11" s="1709"/>
      <c r="LU11" s="1709"/>
      <c r="LV11" s="1709"/>
      <c r="LW11" s="1709"/>
      <c r="LX11" s="1709"/>
      <c r="LY11" s="1709"/>
      <c r="LZ11" s="1709"/>
      <c r="MA11" s="1709"/>
      <c r="MB11" s="1709"/>
      <c r="MC11" s="1709"/>
      <c r="MD11" s="1709"/>
      <c r="ME11" s="1709"/>
      <c r="MF11" s="1709"/>
      <c r="MG11" s="1709"/>
      <c r="MH11" s="1709"/>
      <c r="MI11" s="1709"/>
      <c r="MJ11" s="1709"/>
      <c r="MK11" s="1709"/>
      <c r="ML11" s="1709"/>
      <c r="MM11" s="1709"/>
      <c r="MN11" s="1709"/>
      <c r="MO11" s="1709"/>
      <c r="MP11" s="1709"/>
      <c r="MQ11" s="1709"/>
      <c r="MR11" s="1709"/>
      <c r="MS11" s="1709"/>
      <c r="MT11" s="1709"/>
      <c r="MU11" s="1709"/>
      <c r="MV11" s="1709"/>
      <c r="MW11" s="1709"/>
      <c r="MX11" s="1709"/>
      <c r="MY11" s="1709"/>
      <c r="MZ11" s="1709"/>
      <c r="NA11" s="1709"/>
      <c r="NB11" s="1709"/>
      <c r="NC11" s="1709"/>
      <c r="ND11" s="1709"/>
      <c r="NE11" s="1709"/>
      <c r="NF11" s="1709"/>
      <c r="NG11" s="1709"/>
      <c r="NH11" s="1709"/>
      <c r="NI11" s="1709"/>
      <c r="NJ11" s="1709"/>
      <c r="NK11" s="1709"/>
      <c r="NL11" s="1709"/>
      <c r="NM11" s="1709"/>
      <c r="NN11" s="1709"/>
      <c r="NO11" s="1709"/>
      <c r="NP11" s="1709"/>
      <c r="NQ11" s="1709"/>
      <c r="NR11" s="1709"/>
      <c r="NS11" s="1709"/>
      <c r="NT11" s="1709"/>
      <c r="NU11" s="1709"/>
      <c r="NV11" s="1709"/>
      <c r="NW11" s="1709"/>
      <c r="NX11" s="1709"/>
      <c r="NY11" s="1709"/>
      <c r="NZ11" s="1709"/>
      <c r="OA11" s="1709"/>
      <c r="OB11" s="1709"/>
      <c r="OC11" s="1709"/>
      <c r="OD11" s="1709"/>
      <c r="OE11" s="1709"/>
      <c r="OF11" s="1709"/>
      <c r="OG11" s="1709"/>
      <c r="OH11" s="1709"/>
      <c r="OI11" s="1709"/>
      <c r="OJ11" s="1709"/>
      <c r="OK11" s="1709"/>
      <c r="OL11" s="1709"/>
      <c r="OM11" s="1709"/>
      <c r="ON11" s="1709"/>
      <c r="OO11" s="1709"/>
      <c r="OP11" s="1709"/>
      <c r="OQ11" s="1709"/>
      <c r="OR11" s="1709"/>
      <c r="OS11" s="1709"/>
      <c r="OT11" s="1709"/>
      <c r="OU11" s="1709"/>
      <c r="OV11" s="1709"/>
      <c r="OW11" s="1709"/>
      <c r="OX11" s="1709"/>
      <c r="OY11" s="1709"/>
      <c r="OZ11" s="1709"/>
      <c r="PA11" s="1709"/>
      <c r="PB11" s="1709"/>
      <c r="PC11" s="1709"/>
      <c r="PD11" s="1709"/>
      <c r="PE11" s="1709"/>
      <c r="PF11" s="1709"/>
      <c r="PG11" s="1709"/>
      <c r="PH11" s="1709"/>
      <c r="PI11" s="1709"/>
      <c r="PJ11" s="1709"/>
      <c r="PK11" s="1709"/>
      <c r="PL11" s="1709"/>
      <c r="PM11" s="1709"/>
      <c r="PN11" s="1709"/>
      <c r="PO11" s="1709"/>
      <c r="PP11" s="1709"/>
      <c r="PQ11" s="1709"/>
      <c r="PR11" s="1709"/>
      <c r="PS11" s="1709"/>
      <c r="PT11" s="1709"/>
      <c r="PU11" s="1709"/>
      <c r="PV11" s="1709"/>
      <c r="PW11" s="1709"/>
      <c r="PX11" s="1709"/>
      <c r="PY11" s="1709"/>
      <c r="PZ11" s="1709"/>
      <c r="QA11" s="1709"/>
      <c r="QB11" s="1709"/>
      <c r="QC11" s="1709"/>
      <c r="QD11" s="1709"/>
      <c r="QE11" s="1709"/>
      <c r="QF11" s="1709"/>
      <c r="QG11" s="1709"/>
      <c r="QH11" s="1709"/>
      <c r="QI11" s="1709"/>
      <c r="QJ11" s="1709"/>
      <c r="QK11" s="1709"/>
      <c r="QL11" s="1709"/>
      <c r="QM11" s="1709"/>
      <c r="QN11" s="1709"/>
      <c r="QO11" s="1709"/>
      <c r="QP11" s="1709"/>
      <c r="QQ11" s="1709"/>
      <c r="QR11" s="1709"/>
      <c r="QS11" s="1709"/>
      <c r="QT11" s="1709"/>
      <c r="QU11" s="1709"/>
      <c r="QV11" s="1709"/>
      <c r="QW11" s="1709"/>
      <c r="QX11" s="1709"/>
      <c r="QY11" s="1709"/>
      <c r="QZ11" s="1709"/>
      <c r="RA11" s="1709"/>
      <c r="RB11" s="1709"/>
      <c r="RC11" s="1709"/>
      <c r="RD11" s="1709"/>
      <c r="RE11" s="1709"/>
      <c r="RF11" s="1709"/>
      <c r="RG11" s="1709"/>
      <c r="RH11" s="1709"/>
      <c r="RI11" s="1709"/>
      <c r="RJ11" s="1709"/>
      <c r="RK11" s="1709"/>
      <c r="RL11" s="1709"/>
      <c r="RM11" s="1709"/>
      <c r="RN11" s="1709"/>
      <c r="RO11" s="1709"/>
      <c r="RP11" s="1709"/>
      <c r="RQ11" s="1709"/>
      <c r="RR11" s="1709"/>
      <c r="RS11" s="1709"/>
      <c r="RT11" s="1709"/>
      <c r="RU11" s="1709"/>
      <c r="RV11" s="1709"/>
      <c r="RW11" s="1709"/>
      <c r="RX11" s="1709"/>
      <c r="RY11" s="1709"/>
      <c r="RZ11" s="1709"/>
      <c r="SA11" s="1709"/>
      <c r="SB11" s="1709"/>
      <c r="SC11" s="1709"/>
      <c r="SD11" s="1709"/>
      <c r="SE11" s="1709"/>
      <c r="SF11" s="1709"/>
      <c r="SG11" s="1709"/>
      <c r="SH11" s="1709"/>
      <c r="SI11" s="1709"/>
      <c r="SJ11" s="1709"/>
      <c r="SK11" s="1709"/>
      <c r="SL11" s="1709"/>
      <c r="SM11" s="1709"/>
      <c r="SN11" s="1709"/>
      <c r="SO11" s="1709"/>
      <c r="SP11" s="1709"/>
      <c r="SQ11" s="1709"/>
      <c r="SR11" s="1709"/>
      <c r="SS11" s="1709"/>
      <c r="ST11" s="1709"/>
      <c r="SU11" s="1709"/>
      <c r="SV11" s="1709"/>
      <c r="SW11" s="1709"/>
      <c r="SX11" s="1709"/>
      <c r="SY11" s="1709"/>
      <c r="SZ11" s="1709"/>
      <c r="TA11" s="1709"/>
      <c r="TB11" s="1709"/>
      <c r="TC11" s="1709"/>
      <c r="TD11" s="1709"/>
      <c r="TE11" s="1709"/>
      <c r="TF11" s="1709"/>
      <c r="TG11" s="1709"/>
      <c r="TH11" s="1709"/>
      <c r="TI11" s="1709"/>
      <c r="TJ11" s="1709"/>
      <c r="TK11" s="1709"/>
      <c r="TL11" s="1709"/>
      <c r="TM11" s="1709"/>
      <c r="TN11" s="1709"/>
      <c r="TO11" s="1709"/>
      <c r="TP11" s="1709"/>
      <c r="TQ11" s="1709"/>
      <c r="TR11" s="1709"/>
      <c r="TS11" s="1709"/>
      <c r="TT11" s="1709"/>
      <c r="TU11" s="1709"/>
      <c r="TV11" s="1709"/>
      <c r="TW11" s="1709"/>
      <c r="TX11" s="1709"/>
      <c r="TY11" s="1709"/>
      <c r="TZ11" s="1709"/>
      <c r="UA11" s="1709"/>
      <c r="UB11" s="1709"/>
      <c r="UC11" s="1709"/>
      <c r="UD11" s="1709"/>
      <c r="UE11" s="1709"/>
      <c r="UF11" s="1709"/>
      <c r="UG11" s="1709"/>
      <c r="UH11" s="1709"/>
      <c r="UI11" s="1709"/>
      <c r="UJ11" s="1709"/>
      <c r="UK11" s="1709"/>
      <c r="UL11" s="1709"/>
      <c r="UM11" s="1709"/>
      <c r="UN11" s="1709"/>
      <c r="UO11" s="1709"/>
      <c r="UP11" s="1709"/>
      <c r="UQ11" s="1709"/>
      <c r="UR11" s="1709"/>
      <c r="US11" s="1709"/>
      <c r="UT11" s="1709"/>
      <c r="UU11" s="1709"/>
      <c r="UV11" s="1709"/>
      <c r="UW11" s="1709"/>
      <c r="UX11" s="1709"/>
      <c r="UY11" s="1709"/>
      <c r="UZ11" s="1709"/>
      <c r="VA11" s="1709"/>
      <c r="VB11" s="1709"/>
      <c r="VC11" s="1709"/>
      <c r="VD11" s="1709"/>
      <c r="VE11" s="1709"/>
      <c r="VF11" s="1709"/>
      <c r="VG11" s="1709"/>
      <c r="VH11" s="1709"/>
      <c r="VI11" s="1709"/>
      <c r="VJ11" s="1709"/>
      <c r="VK11" s="1709"/>
      <c r="VL11" s="1709"/>
      <c r="VM11" s="1709"/>
      <c r="VN11" s="1709"/>
      <c r="VO11" s="1709"/>
      <c r="VP11" s="1709"/>
      <c r="VQ11" s="1709"/>
      <c r="VR11" s="1709"/>
      <c r="VS11" s="1709"/>
      <c r="VT11" s="1709"/>
      <c r="VU11" s="1709"/>
      <c r="VV11" s="1709"/>
      <c r="VW11" s="1709"/>
      <c r="VX11" s="1709"/>
      <c r="VY11" s="1709"/>
      <c r="VZ11" s="1709"/>
      <c r="WA11" s="1709"/>
      <c r="WB11" s="1709"/>
      <c r="WC11" s="1709"/>
      <c r="WD11" s="1709"/>
      <c r="WE11" s="1709"/>
      <c r="WF11" s="1709"/>
      <c r="WG11" s="1709"/>
      <c r="WH11" s="1709"/>
      <c r="WI11" s="1709"/>
      <c r="WJ11" s="1709"/>
      <c r="WK11" s="1709"/>
      <c r="WL11" s="1709"/>
      <c r="WM11" s="1709"/>
      <c r="WN11" s="1709"/>
      <c r="WO11" s="1709"/>
      <c r="WP11" s="1709"/>
      <c r="WQ11" s="1709"/>
      <c r="WR11" s="1709"/>
      <c r="WS11" s="1709"/>
      <c r="WT11" s="1709"/>
      <c r="WU11" s="1709"/>
      <c r="WV11" s="1709"/>
      <c r="WW11" s="1709"/>
      <c r="WX11" s="1709"/>
      <c r="WY11" s="1709"/>
      <c r="WZ11" s="1709"/>
      <c r="XA11" s="1709"/>
      <c r="XB11" s="1709"/>
      <c r="XC11" s="1709"/>
      <c r="XD11" s="1709"/>
      <c r="XE11" s="1709"/>
      <c r="XF11" s="1709"/>
      <c r="XG11" s="1709"/>
      <c r="XH11" s="1709"/>
      <c r="XI11" s="1709"/>
      <c r="XJ11" s="1709"/>
      <c r="XK11" s="1709"/>
      <c r="XL11" s="1709"/>
      <c r="XM11" s="1709"/>
      <c r="XN11" s="1709"/>
      <c r="XO11" s="1709"/>
      <c r="XP11" s="1709"/>
      <c r="XQ11" s="1709"/>
      <c r="XR11" s="1709"/>
      <c r="XS11" s="1709"/>
      <c r="XT11" s="1709"/>
      <c r="XU11" s="1709"/>
      <c r="XV11" s="1709"/>
      <c r="XW11" s="1709"/>
      <c r="XX11" s="1709"/>
      <c r="XY11" s="1709"/>
      <c r="XZ11" s="1709"/>
      <c r="YA11" s="1709"/>
      <c r="YB11" s="1709"/>
      <c r="YC11" s="1709"/>
      <c r="YD11" s="1709"/>
      <c r="YE11" s="1709"/>
      <c r="YF11" s="1709"/>
      <c r="YG11" s="1709"/>
      <c r="YH11" s="1709"/>
      <c r="YI11" s="1709"/>
      <c r="YJ11" s="1709"/>
      <c r="YK11" s="1709"/>
      <c r="YL11" s="1709"/>
      <c r="YM11" s="1709"/>
      <c r="YN11" s="1709"/>
      <c r="YO11" s="1709"/>
      <c r="YP11" s="1709"/>
      <c r="YQ11" s="1709"/>
      <c r="YR11" s="1709"/>
      <c r="YS11" s="1709"/>
      <c r="YT11" s="1709"/>
      <c r="YU11" s="1709"/>
      <c r="YV11" s="1709"/>
      <c r="YW11" s="1709"/>
      <c r="YX11" s="1709"/>
      <c r="YY11" s="1709"/>
      <c r="YZ11" s="1709"/>
      <c r="ZA11" s="1709"/>
      <c r="ZB11" s="1709"/>
      <c r="ZC11" s="1709"/>
      <c r="ZD11" s="1709"/>
      <c r="ZE11" s="1709"/>
      <c r="ZF11" s="1709"/>
      <c r="ZG11" s="1709"/>
      <c r="ZH11" s="1709"/>
      <c r="ZI11" s="1709"/>
      <c r="ZJ11" s="1709"/>
      <c r="ZK11" s="1709"/>
      <c r="ZL11" s="1709"/>
      <c r="ZM11" s="1709"/>
      <c r="ZN11" s="1709"/>
      <c r="ZO11" s="1709"/>
      <c r="ZP11" s="1709"/>
      <c r="ZQ11" s="1709"/>
      <c r="ZR11" s="1709"/>
      <c r="ZS11" s="1709"/>
      <c r="ZT11" s="1709"/>
      <c r="ZU11" s="1709"/>
      <c r="ZV11" s="1709"/>
      <c r="ZW11" s="1709"/>
      <c r="ZX11" s="1709"/>
      <c r="ZY11" s="1709"/>
      <c r="ZZ11" s="1709"/>
      <c r="AAA11" s="1709"/>
      <c r="AAB11" s="1709"/>
      <c r="AAC11" s="1709"/>
      <c r="AAD11" s="1709"/>
      <c r="AAE11" s="1709"/>
      <c r="AAF11" s="1709"/>
      <c r="AAG11" s="1709"/>
      <c r="AAH11" s="1709"/>
      <c r="AAI11" s="1709"/>
      <c r="AAJ11" s="1709"/>
      <c r="AAK11" s="1709"/>
      <c r="AAL11" s="1709"/>
      <c r="AAM11" s="1709"/>
      <c r="AAN11" s="1709"/>
      <c r="AAO11" s="1709"/>
      <c r="AAP11" s="1709"/>
      <c r="AAQ11" s="1709"/>
      <c r="AAR11" s="1709"/>
      <c r="AAS11" s="1709"/>
      <c r="AAT11" s="1709"/>
      <c r="AAU11" s="1709"/>
      <c r="AAV11" s="1709"/>
      <c r="AAW11" s="1709"/>
      <c r="AAX11" s="1709"/>
      <c r="AAY11" s="1709"/>
      <c r="AAZ11" s="1709"/>
      <c r="ABA11" s="1709"/>
      <c r="ABB11" s="1709"/>
      <c r="ABC11" s="1709"/>
      <c r="ABD11" s="1709"/>
      <c r="ABE11" s="1709"/>
      <c r="ABF11" s="1709"/>
      <c r="ABG11" s="1709"/>
      <c r="ABH11" s="1709"/>
      <c r="ABI11" s="1709"/>
      <c r="ABJ11" s="1709"/>
      <c r="ABK11" s="1709"/>
      <c r="ABL11" s="1709"/>
      <c r="ABM11" s="1709"/>
      <c r="ABN11" s="1709"/>
      <c r="ABO11" s="1709"/>
      <c r="ABP11" s="1709"/>
      <c r="ABQ11" s="1709"/>
      <c r="ABR11" s="1709"/>
      <c r="ABS11" s="1709"/>
      <c r="ABT11" s="1709"/>
      <c r="ABU11" s="1709"/>
      <c r="ABV11" s="1709"/>
      <c r="ABW11" s="1709"/>
      <c r="ABX11" s="1709"/>
      <c r="ABY11" s="1709"/>
      <c r="ABZ11" s="1709"/>
      <c r="ACA11" s="1709"/>
      <c r="ACB11" s="1709"/>
      <c r="ACC11" s="1709"/>
      <c r="ACD11" s="1709"/>
      <c r="ACE11" s="1709"/>
      <c r="ACF11" s="1709"/>
      <c r="ACG11" s="1709"/>
      <c r="ACH11" s="1709"/>
      <c r="ACI11" s="1709"/>
      <c r="ACJ11" s="1709"/>
      <c r="ACK11" s="1709"/>
      <c r="ACL11" s="1709"/>
      <c r="ACM11" s="1709"/>
      <c r="ACN11" s="1709"/>
      <c r="ACO11" s="1709"/>
      <c r="ACP11" s="1709"/>
      <c r="ACQ11" s="1709"/>
      <c r="ACR11" s="1709"/>
      <c r="ACS11" s="1709"/>
      <c r="ACT11" s="1709"/>
      <c r="ACU11" s="1709"/>
      <c r="ACV11" s="1709"/>
      <c r="ACW11" s="1709"/>
      <c r="ACX11" s="1709"/>
      <c r="ACY11" s="1709"/>
      <c r="ACZ11" s="1709"/>
      <c r="ADA11" s="1709"/>
      <c r="ADB11" s="1709"/>
      <c r="ADC11" s="1709"/>
      <c r="ADD11" s="1709"/>
      <c r="ADE11" s="1709"/>
      <c r="ADF11" s="1709"/>
      <c r="ADG11" s="1709"/>
      <c r="ADH11" s="1709"/>
      <c r="ADI11" s="1709"/>
      <c r="ADJ11" s="1709"/>
      <c r="ADK11" s="1709"/>
      <c r="ADL11" s="1709"/>
      <c r="ADM11" s="1709"/>
      <c r="ADN11" s="1709"/>
      <c r="ADO11" s="1709"/>
      <c r="ADP11" s="1709"/>
      <c r="ADQ11" s="1709"/>
      <c r="ADR11" s="1709"/>
      <c r="ADS11" s="1709"/>
      <c r="ADT11" s="1709"/>
      <c r="ADU11" s="1709"/>
      <c r="ADV11" s="1709"/>
      <c r="ADW11" s="1709"/>
      <c r="ADX11" s="1709"/>
      <c r="ADY11" s="1709"/>
      <c r="ADZ11" s="1709"/>
      <c r="AEA11" s="1709"/>
      <c r="AEB11" s="1709"/>
      <c r="AEC11" s="1709"/>
      <c r="AED11" s="1709"/>
      <c r="AEE11" s="1709"/>
      <c r="AEF11" s="1709"/>
      <c r="AEG11" s="1709"/>
      <c r="AEH11" s="1709"/>
      <c r="AEI11" s="1709"/>
      <c r="AEJ11" s="1709"/>
      <c r="AEK11" s="1709"/>
      <c r="AEL11" s="1709"/>
      <c r="AEM11" s="1709"/>
      <c r="AEN11" s="1709"/>
      <c r="AEO11" s="1709"/>
      <c r="AEP11" s="1709"/>
      <c r="AEQ11" s="1709"/>
      <c r="AER11" s="1709"/>
      <c r="AES11" s="1709"/>
      <c r="AET11" s="1709"/>
      <c r="AEU11" s="1709"/>
      <c r="AEV11" s="1709"/>
      <c r="AEW11" s="1709"/>
      <c r="AEX11" s="1709"/>
      <c r="AEY11" s="1709"/>
      <c r="AEZ11" s="1709"/>
      <c r="AFA11" s="1709"/>
      <c r="AFB11" s="1709"/>
      <c r="AFC11" s="1709"/>
      <c r="AFD11" s="1709"/>
      <c r="AFE11" s="1709"/>
      <c r="AFF11" s="1709"/>
      <c r="AFG11" s="1709"/>
      <c r="AFH11" s="1709"/>
      <c r="AFI11" s="1709"/>
      <c r="AFJ11" s="1709"/>
      <c r="AFK11" s="1709"/>
      <c r="AFL11" s="1709"/>
      <c r="AFM11" s="1709"/>
      <c r="AFN11" s="1709"/>
      <c r="AFO11" s="1709"/>
      <c r="AFP11" s="1709"/>
      <c r="AFQ11" s="1709"/>
      <c r="AFR11" s="1709"/>
      <c r="AFS11" s="1709"/>
      <c r="AFT11" s="1709"/>
      <c r="AFU11" s="1709"/>
      <c r="AFV11" s="1709"/>
      <c r="AFW11" s="1709"/>
      <c r="AFX11" s="1709"/>
      <c r="AFY11" s="1709"/>
      <c r="AFZ11" s="1709"/>
      <c r="AGA11" s="1709"/>
      <c r="AGB11" s="1709"/>
      <c r="AGC11" s="1709"/>
      <c r="AGD11" s="1709"/>
      <c r="AGE11" s="1709"/>
      <c r="AGF11" s="1709"/>
      <c r="AGG11" s="1709"/>
      <c r="AGH11" s="1709"/>
      <c r="AGI11" s="1709"/>
      <c r="AGJ11" s="1709"/>
      <c r="AGK11" s="1709"/>
      <c r="AGL11" s="1709"/>
      <c r="AGM11" s="1709"/>
      <c r="AGN11" s="1709"/>
      <c r="AGO11" s="1709"/>
      <c r="AGP11" s="1709"/>
      <c r="AGQ11" s="1709"/>
      <c r="AGR11" s="1709"/>
      <c r="AGS11" s="1709"/>
      <c r="AGT11" s="1709"/>
      <c r="AGU11" s="1709"/>
      <c r="AGV11" s="1709"/>
      <c r="AGW11" s="1709"/>
      <c r="AGX11" s="1709"/>
      <c r="AGY11" s="1709"/>
      <c r="AGZ11" s="1709"/>
      <c r="AHA11" s="1709"/>
      <c r="AHB11" s="1709"/>
      <c r="AHC11" s="1709"/>
      <c r="AHD11" s="1709"/>
      <c r="AHE11" s="1709"/>
      <c r="AHF11" s="1709"/>
      <c r="AHG11" s="1709"/>
      <c r="AHH11" s="1709"/>
      <c r="AHI11" s="1709"/>
      <c r="AHJ11" s="1709"/>
      <c r="AHK11" s="1709"/>
      <c r="AHL11" s="1709"/>
      <c r="AHM11" s="1709"/>
      <c r="AHN11" s="1709"/>
      <c r="AHO11" s="1709"/>
      <c r="AHP11" s="1709"/>
      <c r="AHQ11" s="1709"/>
      <c r="AHR11" s="1709"/>
      <c r="AHS11" s="1709"/>
      <c r="AHT11" s="1709"/>
      <c r="AHU11" s="1709"/>
      <c r="AHV11" s="1709"/>
      <c r="AHW11" s="1709"/>
      <c r="AHX11" s="1709"/>
      <c r="AHY11" s="1709"/>
      <c r="AHZ11" s="1709"/>
      <c r="AIA11" s="1709"/>
      <c r="AIB11" s="1709"/>
      <c r="AIC11" s="1709"/>
      <c r="AID11" s="1709"/>
      <c r="AIE11" s="1709"/>
      <c r="AIF11" s="1709"/>
      <c r="AIG11" s="1709"/>
      <c r="AIH11" s="1709"/>
      <c r="AII11" s="1709"/>
      <c r="AIJ11" s="1709"/>
      <c r="AIK11" s="1709"/>
      <c r="AIL11" s="1709"/>
      <c r="AIM11" s="1709"/>
      <c r="AIN11" s="1709"/>
      <c r="AIO11" s="1709"/>
      <c r="AIP11" s="1709"/>
      <c r="AIQ11" s="1709"/>
      <c r="AIR11" s="1709"/>
      <c r="AIS11" s="1709"/>
      <c r="AIT11" s="1709"/>
      <c r="AIU11" s="1709"/>
      <c r="AIV11" s="1709"/>
      <c r="AIW11" s="1709"/>
      <c r="AIX11" s="1709"/>
      <c r="AIY11" s="1709"/>
      <c r="AIZ11" s="1709"/>
      <c r="AJA11" s="1709"/>
      <c r="AJB11" s="1709"/>
      <c r="AJC11" s="1709"/>
      <c r="AJD11" s="1709"/>
      <c r="AJE11" s="1709"/>
      <c r="AJF11" s="1709"/>
      <c r="AJG11" s="1709"/>
      <c r="AJH11" s="1709"/>
      <c r="AJI11" s="1709"/>
      <c r="AJJ11" s="1709"/>
      <c r="AJK11" s="1709"/>
      <c r="AJL11" s="1709"/>
      <c r="AJM11" s="1709"/>
      <c r="AJN11" s="1709"/>
      <c r="AJO11" s="1709"/>
      <c r="AJP11" s="1709"/>
      <c r="AJQ11" s="1709"/>
      <c r="AJR11" s="1709"/>
      <c r="AJS11" s="1709"/>
      <c r="AJT11" s="1709"/>
      <c r="AJU11" s="1709"/>
      <c r="AJV11" s="1709"/>
      <c r="AJW11" s="1709"/>
      <c r="AJX11" s="1709"/>
      <c r="AJY11" s="1709"/>
      <c r="AJZ11" s="1709"/>
      <c r="AKA11" s="1709"/>
      <c r="AKB11" s="1709"/>
      <c r="AKC11" s="1709"/>
      <c r="AKD11" s="1709"/>
      <c r="AKE11" s="1709"/>
      <c r="AKF11" s="1709"/>
      <c r="AKG11" s="1709"/>
      <c r="AKH11" s="1709"/>
      <c r="AKI11" s="1709"/>
      <c r="AKJ11" s="1709"/>
      <c r="AKK11" s="1709"/>
      <c r="AKL11" s="1709"/>
      <c r="AKM11" s="1709"/>
      <c r="AKN11" s="1709"/>
      <c r="AKO11" s="1709"/>
      <c r="AKP11" s="1709"/>
      <c r="AKQ11" s="1709"/>
      <c r="AKR11" s="1709"/>
      <c r="AKS11" s="1709"/>
      <c r="AKT11" s="1709"/>
      <c r="AKU11" s="1709"/>
      <c r="AKV11" s="1709"/>
      <c r="AKW11" s="1709"/>
      <c r="AKX11" s="1709"/>
      <c r="AKY11" s="1709"/>
      <c r="AKZ11" s="1709"/>
      <c r="ALA11" s="1709"/>
      <c r="ALB11" s="1709"/>
      <c r="ALC11" s="1709"/>
      <c r="ALD11" s="1709"/>
      <c r="ALE11" s="1709"/>
      <c r="ALF11" s="1709"/>
      <c r="ALG11" s="1709"/>
      <c r="ALH11" s="1709"/>
      <c r="ALI11" s="1709"/>
      <c r="ALJ11" s="1709"/>
      <c r="ALK11" s="1709"/>
      <c r="ALL11" s="1709"/>
      <c r="ALM11" s="1709"/>
      <c r="ALN11" s="1709"/>
      <c r="ALO11" s="1709"/>
      <c r="ALP11" s="1709"/>
      <c r="ALQ11" s="1709"/>
      <c r="ALR11" s="1709"/>
      <c r="ALS11" s="1709"/>
      <c r="ALT11" s="1709"/>
      <c r="ALU11" s="1709"/>
      <c r="ALV11" s="1709"/>
      <c r="ALW11" s="1709"/>
      <c r="ALX11" s="1709"/>
      <c r="ALY11" s="1709"/>
      <c r="ALZ11" s="1709"/>
      <c r="AMA11" s="1709"/>
      <c r="AMB11" s="1709"/>
      <c r="AMC11" s="1709"/>
      <c r="AMD11" s="1709"/>
      <c r="AME11" s="1709"/>
      <c r="AMF11" s="1709"/>
      <c r="AMG11" s="1709"/>
      <c r="AMH11" s="1709"/>
      <c r="AMI11" s="1709"/>
      <c r="AMJ11" s="1709"/>
      <c r="AMK11" s="1709"/>
      <c r="AML11" s="1709"/>
      <c r="AMM11" s="1709"/>
      <c r="AMN11" s="1709"/>
      <c r="AMO11" s="1709"/>
      <c r="AMP11" s="1709"/>
      <c r="AMQ11" s="1709"/>
      <c r="AMR11" s="1709"/>
      <c r="AMS11" s="1709"/>
      <c r="AMT11" s="1709"/>
      <c r="AMU11" s="1709"/>
      <c r="AMV11" s="1709"/>
      <c r="AMW11" s="1709"/>
      <c r="AMX11" s="1709"/>
      <c r="AMY11" s="1709"/>
      <c r="AMZ11" s="1709"/>
      <c r="ANA11" s="1709"/>
      <c r="ANB11" s="1709"/>
      <c r="ANC11" s="1709"/>
      <c r="AND11" s="1709"/>
      <c r="ANE11" s="1709"/>
      <c r="ANF11" s="1709"/>
      <c r="ANG11" s="1709"/>
      <c r="ANH11" s="1709"/>
      <c r="ANI11" s="1709"/>
      <c r="ANJ11" s="1709"/>
      <c r="ANK11" s="1709"/>
      <c r="ANL11" s="1709"/>
      <c r="ANM11" s="1709"/>
      <c r="ANN11" s="1709"/>
      <c r="ANO11" s="1709"/>
      <c r="ANP11" s="1709"/>
      <c r="ANQ11" s="1709"/>
      <c r="ANR11" s="1709"/>
      <c r="ANS11" s="1709"/>
      <c r="ANT11" s="1709"/>
      <c r="ANU11" s="1709"/>
      <c r="ANV11" s="1709"/>
      <c r="ANW11" s="1709"/>
      <c r="ANX11" s="1709"/>
      <c r="ANY11" s="1709"/>
      <c r="ANZ11" s="1709"/>
      <c r="AOA11" s="1709"/>
      <c r="AOB11" s="1709"/>
      <c r="AOC11" s="1709"/>
      <c r="AOD11" s="1709"/>
      <c r="AOE11" s="1709"/>
      <c r="AOF11" s="1709"/>
      <c r="AOG11" s="1709"/>
      <c r="AOH11" s="1709"/>
      <c r="AOI11" s="1709"/>
      <c r="AOJ11" s="1709"/>
      <c r="AOK11" s="1709"/>
      <c r="AOL11" s="1709"/>
      <c r="AOM11" s="1709"/>
      <c r="AON11" s="1709"/>
      <c r="AOO11" s="1709"/>
      <c r="AOP11" s="1709"/>
      <c r="AOQ11" s="1709"/>
      <c r="AOR11" s="1709"/>
      <c r="AOS11" s="1709"/>
      <c r="AOT11" s="1709"/>
      <c r="AOU11" s="1709"/>
      <c r="AOV11" s="1709"/>
      <c r="AOW11" s="1709"/>
      <c r="AOX11" s="1709"/>
      <c r="AOY11" s="1709"/>
      <c r="AOZ11" s="1709"/>
      <c r="APA11" s="1709"/>
      <c r="APB11" s="1709"/>
      <c r="APC11" s="1709"/>
      <c r="APD11" s="1709"/>
      <c r="APE11" s="1709"/>
      <c r="APF11" s="1709"/>
      <c r="APG11" s="1709"/>
      <c r="APH11" s="1709"/>
      <c r="API11" s="1709"/>
      <c r="APJ11" s="1709"/>
      <c r="APK11" s="1709"/>
      <c r="APL11" s="1709"/>
      <c r="APM11" s="1709"/>
      <c r="APN11" s="1709"/>
      <c r="APO11" s="1709"/>
      <c r="APP11" s="1709"/>
      <c r="APQ11" s="1709"/>
      <c r="APR11" s="1709"/>
      <c r="APS11" s="1709"/>
      <c r="APT11" s="1709"/>
      <c r="APU11" s="1709"/>
      <c r="APV11" s="1709"/>
      <c r="APW11" s="1709"/>
      <c r="APX11" s="1709"/>
      <c r="APY11" s="1709"/>
      <c r="APZ11" s="1709"/>
      <c r="AQA11" s="1709"/>
      <c r="AQB11" s="1709"/>
      <c r="AQC11" s="1709"/>
      <c r="AQD11" s="1709"/>
      <c r="AQE11" s="1709"/>
      <c r="AQF11" s="1709"/>
      <c r="AQG11" s="1709"/>
      <c r="AQH11" s="1709"/>
      <c r="AQI11" s="1709"/>
      <c r="AQJ11" s="1709"/>
      <c r="AQK11" s="1709"/>
      <c r="AQL11" s="1709"/>
      <c r="AQM11" s="1709"/>
      <c r="AQN11" s="1709"/>
      <c r="AQO11" s="1709"/>
      <c r="AQP11" s="1709"/>
      <c r="AQQ11" s="1709"/>
      <c r="AQR11" s="1709"/>
      <c r="AQS11" s="1709"/>
      <c r="AQT11" s="1709"/>
      <c r="AQU11" s="1709"/>
      <c r="AQV11" s="1709"/>
      <c r="AQW11" s="1709"/>
      <c r="AQX11" s="1709"/>
      <c r="AQY11" s="1709"/>
      <c r="AQZ11" s="1709"/>
      <c r="ARA11" s="1709"/>
      <c r="ARB11" s="1709"/>
      <c r="ARC11" s="1709"/>
      <c r="ARD11" s="1709"/>
      <c r="ARE11" s="1709"/>
      <c r="ARF11" s="1709"/>
      <c r="ARG11" s="1709"/>
      <c r="ARH11" s="1709"/>
      <c r="ARI11" s="1709"/>
      <c r="ARJ11" s="1709"/>
      <c r="ARK11" s="1709"/>
      <c r="ARL11" s="1709"/>
      <c r="ARM11" s="1709"/>
      <c r="ARN11" s="1709"/>
      <c r="ARO11" s="1709"/>
      <c r="ARP11" s="1709"/>
      <c r="ARQ11" s="1709"/>
      <c r="ARR11" s="1709"/>
      <c r="ARS11" s="1709"/>
      <c r="ART11" s="1709"/>
      <c r="ARU11" s="1709"/>
      <c r="ARV11" s="1709"/>
      <c r="ARW11" s="1709"/>
      <c r="ARX11" s="1709"/>
      <c r="ARY11" s="1709"/>
      <c r="ARZ11" s="1709"/>
      <c r="ASA11" s="1709"/>
      <c r="ASB11" s="1709"/>
      <c r="ASC11" s="1709"/>
      <c r="ASD11" s="1709"/>
      <c r="ASE11" s="1709"/>
      <c r="ASF11" s="1709"/>
      <c r="ASG11" s="1709"/>
      <c r="ASH11" s="1709"/>
      <c r="ASI11" s="1709"/>
      <c r="ASJ11" s="1709"/>
      <c r="ASK11" s="1709"/>
      <c r="ASL11" s="1709"/>
      <c r="ASM11" s="1709"/>
      <c r="ASN11" s="1709"/>
      <c r="ASO11" s="1709"/>
      <c r="ASP11" s="1709"/>
      <c r="ASQ11" s="1709"/>
      <c r="ASR11" s="1709"/>
      <c r="ASS11" s="1709"/>
      <c r="AST11" s="1709"/>
      <c r="ASU11" s="1709"/>
      <c r="ASV11" s="1709"/>
      <c r="ASW11" s="1709"/>
      <c r="ASX11" s="1709"/>
      <c r="ASY11" s="1709"/>
      <c r="ASZ11" s="1709"/>
      <c r="ATA11" s="1709"/>
      <c r="ATB11" s="1709"/>
      <c r="ATC11" s="1709"/>
      <c r="ATD11" s="1709"/>
      <c r="ATE11" s="1709"/>
      <c r="ATF11" s="1709"/>
      <c r="ATG11" s="1709"/>
      <c r="ATH11" s="1709"/>
      <c r="ATI11" s="1709"/>
      <c r="ATJ11" s="1709"/>
      <c r="ATK11" s="1709"/>
      <c r="ATL11" s="1709"/>
      <c r="ATM11" s="1709"/>
      <c r="ATN11" s="1709"/>
      <c r="ATO11" s="1709"/>
      <c r="ATP11" s="1709"/>
      <c r="ATQ11" s="1709"/>
      <c r="ATR11" s="1709"/>
      <c r="ATS11" s="1709"/>
      <c r="ATT11" s="1709"/>
      <c r="ATU11" s="1709"/>
      <c r="ATV11" s="1709"/>
      <c r="ATW11" s="1709"/>
      <c r="ATX11" s="1709"/>
      <c r="ATY11" s="1709"/>
      <c r="ATZ11" s="1709"/>
      <c r="AUA11" s="1709"/>
      <c r="AUB11" s="1709"/>
      <c r="AUC11" s="1709"/>
      <c r="AUD11" s="1709"/>
      <c r="AUE11" s="1709"/>
      <c r="AUF11" s="1709"/>
      <c r="AUG11" s="1709"/>
      <c r="AUH11" s="1709"/>
      <c r="AUI11" s="1709"/>
      <c r="AUJ11" s="1709"/>
      <c r="AUK11" s="1709"/>
      <c r="AUL11" s="1709"/>
      <c r="AUM11" s="1709"/>
      <c r="AUN11" s="1709"/>
      <c r="AUO11" s="1709"/>
      <c r="AUP11" s="1709"/>
      <c r="AUQ11" s="1709"/>
      <c r="AUR11" s="1709"/>
      <c r="AUS11" s="1709"/>
      <c r="AUT11" s="1709"/>
      <c r="AUU11" s="1709"/>
      <c r="AUV11" s="1709"/>
      <c r="AUW11" s="1709"/>
      <c r="AUX11" s="1709"/>
      <c r="AUY11" s="1709"/>
      <c r="AUZ11" s="1709"/>
      <c r="AVA11" s="1709"/>
      <c r="AVB11" s="1709"/>
      <c r="AVC11" s="1709"/>
      <c r="AVD11" s="1709"/>
      <c r="AVE11" s="1709"/>
      <c r="AVF11" s="1709"/>
      <c r="AVG11" s="1709"/>
      <c r="AVH11" s="1709"/>
      <c r="AVI11" s="1709"/>
      <c r="AVJ11" s="1709"/>
      <c r="AVK11" s="1709"/>
      <c r="AVL11" s="1709"/>
      <c r="AVM11" s="1709"/>
      <c r="AVN11" s="1709"/>
      <c r="AVO11" s="1709"/>
      <c r="AVP11" s="1709"/>
      <c r="AVQ11" s="1709"/>
      <c r="AVR11" s="1709"/>
      <c r="AVS11" s="1709"/>
      <c r="AVT11" s="1709"/>
      <c r="AVU11" s="1709"/>
      <c r="AVV11" s="1709"/>
      <c r="AVW11" s="1709"/>
      <c r="AVX11" s="1709"/>
      <c r="AVY11" s="1709"/>
      <c r="AVZ11" s="1709"/>
      <c r="AWA11" s="1709"/>
      <c r="AWB11" s="1709"/>
      <c r="AWC11" s="1709"/>
      <c r="AWD11" s="1709"/>
      <c r="AWE11" s="1709"/>
      <c r="AWF11" s="1709"/>
      <c r="AWG11" s="1709"/>
      <c r="AWH11" s="1709"/>
      <c r="AWI11" s="1709"/>
      <c r="AWJ11" s="1709"/>
      <c r="AWK11" s="1709"/>
      <c r="AWL11" s="1709"/>
      <c r="AWM11" s="1709"/>
      <c r="AWN11" s="1709"/>
      <c r="AWO11" s="1709"/>
      <c r="AWP11" s="1709"/>
      <c r="AWQ11" s="1709"/>
      <c r="AWR11" s="1709"/>
      <c r="AWS11" s="1709"/>
      <c r="AWT11" s="1709"/>
      <c r="AWU11" s="1709"/>
      <c r="AWV11" s="1709"/>
      <c r="AWW11" s="1709"/>
      <c r="AWX11" s="1709"/>
      <c r="AWY11" s="1709"/>
      <c r="AWZ11" s="1709"/>
      <c r="AXA11" s="1709"/>
      <c r="AXB11" s="1709"/>
      <c r="AXC11" s="1709"/>
      <c r="AXD11" s="1709"/>
      <c r="AXE11" s="1709"/>
      <c r="AXF11" s="1709"/>
      <c r="AXG11" s="1709"/>
      <c r="AXH11" s="1709"/>
      <c r="AXI11" s="1709"/>
      <c r="AXJ11" s="1709"/>
      <c r="AXK11" s="1709"/>
      <c r="AXL11" s="1709"/>
      <c r="AXM11" s="1709"/>
      <c r="AXN11" s="1709"/>
      <c r="AXO11" s="1709"/>
      <c r="AXP11" s="1709"/>
      <c r="AXQ11" s="1709"/>
      <c r="AXR11" s="1709"/>
      <c r="AXS11" s="1709"/>
      <c r="AXT11" s="1709"/>
      <c r="AXU11" s="1709"/>
      <c r="AXV11" s="1709"/>
      <c r="AXW11" s="1709"/>
      <c r="AXX11" s="1709"/>
      <c r="AXY11" s="1709"/>
      <c r="AXZ11" s="1709"/>
      <c r="AYA11" s="1709"/>
      <c r="AYB11" s="1709"/>
      <c r="AYC11" s="1709"/>
      <c r="AYD11" s="1709"/>
      <c r="AYE11" s="1709"/>
      <c r="AYF11" s="1709"/>
      <c r="AYG11" s="1709"/>
      <c r="AYH11" s="1709"/>
      <c r="AYI11" s="1709"/>
      <c r="AYJ11" s="1709"/>
      <c r="AYK11" s="1709"/>
      <c r="AYL11" s="1709"/>
      <c r="AYM11" s="1709"/>
      <c r="AYN11" s="1709"/>
      <c r="AYO11" s="1709"/>
      <c r="AYP11" s="1709"/>
      <c r="AYQ11" s="1709"/>
      <c r="AYR11" s="1709"/>
      <c r="AYS11" s="1709"/>
      <c r="AYT11" s="1709"/>
      <c r="AYU11" s="1709"/>
      <c r="AYV11" s="1709"/>
      <c r="AYW11" s="1709"/>
      <c r="AYX11" s="1709"/>
      <c r="AYY11" s="1709"/>
      <c r="AYZ11" s="1709"/>
      <c r="AZA11" s="1709"/>
      <c r="AZB11" s="1709"/>
      <c r="AZC11" s="1709"/>
      <c r="AZD11" s="1709"/>
      <c r="AZE11" s="1709"/>
      <c r="AZF11" s="1709"/>
      <c r="AZG11" s="1709"/>
      <c r="AZH11" s="1709"/>
      <c r="AZI11" s="1709"/>
      <c r="AZJ11" s="1709"/>
      <c r="AZK11" s="1709"/>
      <c r="AZL11" s="1709"/>
      <c r="AZM11" s="1709"/>
      <c r="AZN11" s="1709"/>
      <c r="AZO11" s="1709"/>
      <c r="AZP11" s="1709"/>
      <c r="AZQ11" s="1709"/>
      <c r="AZR11" s="1709"/>
      <c r="AZS11" s="1709"/>
      <c r="AZT11" s="1709"/>
      <c r="AZU11" s="1709"/>
      <c r="AZV11" s="1709"/>
      <c r="AZW11" s="1709"/>
      <c r="AZX11" s="1709"/>
    </row>
    <row r="12" spans="1:1376" s="124" customFormat="1" ht="21.75" customHeight="1" x14ac:dyDescent="0.2">
      <c r="A12" s="3541"/>
      <c r="B12" s="3542"/>
      <c r="C12" s="3494"/>
      <c r="D12" s="3512"/>
      <c r="E12" s="3512"/>
      <c r="F12" s="3513"/>
      <c r="G12" s="409">
        <v>8</v>
      </c>
      <c r="H12" s="410" t="s">
        <v>837</v>
      </c>
      <c r="I12" s="410"/>
      <c r="J12" s="162"/>
      <c r="K12" s="157"/>
      <c r="L12" s="157"/>
      <c r="M12" s="162"/>
      <c r="N12" s="267"/>
      <c r="O12" s="172"/>
      <c r="P12" s="157"/>
      <c r="Q12" s="411"/>
      <c r="R12" s="1884"/>
      <c r="S12" s="157"/>
      <c r="T12" s="157"/>
      <c r="U12" s="157"/>
      <c r="V12" s="160"/>
      <c r="W12" s="161"/>
      <c r="X12" s="158"/>
      <c r="Y12" s="158"/>
      <c r="Z12" s="158"/>
      <c r="AA12" s="162"/>
      <c r="AB12" s="162"/>
      <c r="AC12" s="162"/>
      <c r="AD12" s="162"/>
      <c r="AE12" s="162"/>
      <c r="AF12" s="162"/>
      <c r="AG12" s="162"/>
      <c r="AH12" s="162"/>
      <c r="AI12" s="162"/>
      <c r="AJ12" s="162"/>
      <c r="AK12" s="162"/>
      <c r="AL12" s="162"/>
      <c r="AM12" s="162"/>
      <c r="AN12" s="162"/>
      <c r="AO12" s="412"/>
      <c r="AP12" s="412"/>
      <c r="AQ12" s="2410"/>
      <c r="AR12" s="1709"/>
      <c r="AS12" s="1709"/>
      <c r="AT12" s="1709"/>
      <c r="AU12" s="1709"/>
      <c r="AV12" s="1709"/>
      <c r="AW12" s="1709"/>
      <c r="AX12" s="1709"/>
      <c r="AY12" s="1709"/>
      <c r="AZ12" s="1709"/>
      <c r="BA12" s="1709"/>
      <c r="BB12" s="1709"/>
      <c r="BC12" s="1709"/>
      <c r="BD12" s="1709"/>
      <c r="BE12" s="1709"/>
      <c r="BF12" s="1709"/>
      <c r="BG12" s="1709"/>
      <c r="BH12" s="1709"/>
      <c r="BI12" s="1709"/>
      <c r="BJ12" s="1709"/>
      <c r="BK12" s="1709"/>
      <c r="BL12" s="1709"/>
      <c r="BM12" s="1709"/>
      <c r="BN12" s="1709"/>
      <c r="BO12" s="1709"/>
      <c r="BP12" s="1709"/>
      <c r="BQ12" s="1709"/>
      <c r="BR12" s="1709"/>
      <c r="BS12" s="1709"/>
      <c r="BT12" s="1709"/>
      <c r="BU12" s="1709"/>
      <c r="BV12" s="1709"/>
      <c r="BW12" s="1709"/>
      <c r="BX12" s="1709"/>
      <c r="BY12" s="1709"/>
      <c r="BZ12" s="1709"/>
      <c r="CA12" s="1709"/>
      <c r="CB12" s="1709"/>
      <c r="CC12" s="1709"/>
      <c r="CD12" s="1709"/>
      <c r="CE12" s="1709"/>
      <c r="CF12" s="1709"/>
      <c r="CG12" s="1709"/>
      <c r="CH12" s="1709"/>
      <c r="CI12" s="1709"/>
      <c r="CJ12" s="1709"/>
      <c r="CK12" s="1709"/>
      <c r="CL12" s="1709"/>
      <c r="CM12" s="1709"/>
      <c r="CN12" s="1709"/>
      <c r="CO12" s="1709"/>
      <c r="CP12" s="1709"/>
      <c r="CQ12" s="1709"/>
      <c r="CR12" s="1709"/>
      <c r="CS12" s="1709"/>
      <c r="CT12" s="1709"/>
      <c r="CU12" s="1709"/>
      <c r="CV12" s="1709"/>
      <c r="CW12" s="1709"/>
      <c r="CX12" s="1709"/>
      <c r="CY12" s="1709"/>
      <c r="CZ12" s="1709"/>
      <c r="DA12" s="1709"/>
      <c r="DB12" s="1709"/>
      <c r="DC12" s="1709"/>
      <c r="DD12" s="1709"/>
      <c r="DE12" s="1709"/>
      <c r="DF12" s="1709"/>
      <c r="DG12" s="1709"/>
      <c r="DH12" s="1709"/>
      <c r="DI12" s="1709"/>
      <c r="DJ12" s="1709"/>
      <c r="DK12" s="1709"/>
      <c r="DL12" s="1709"/>
      <c r="DM12" s="1709"/>
      <c r="DN12" s="1709"/>
      <c r="DO12" s="1709"/>
      <c r="DP12" s="1709"/>
      <c r="DQ12" s="1709"/>
      <c r="DR12" s="1709"/>
      <c r="DS12" s="1709"/>
      <c r="DT12" s="1709"/>
      <c r="DU12" s="1709"/>
      <c r="DV12" s="1709"/>
      <c r="DW12" s="1709"/>
      <c r="DX12" s="1709"/>
      <c r="DY12" s="1709"/>
      <c r="DZ12" s="1709"/>
      <c r="EA12" s="1709"/>
      <c r="EB12" s="1709"/>
      <c r="EC12" s="1709"/>
      <c r="ED12" s="1709"/>
      <c r="EE12" s="1709"/>
      <c r="EF12" s="1709"/>
      <c r="EG12" s="1709"/>
      <c r="EH12" s="1709"/>
      <c r="EI12" s="1709"/>
      <c r="EJ12" s="1709"/>
      <c r="EK12" s="1709"/>
      <c r="EL12" s="1709"/>
      <c r="EM12" s="1709"/>
      <c r="EN12" s="1709"/>
      <c r="EO12" s="1709"/>
      <c r="EP12" s="1709"/>
      <c r="EQ12" s="1709"/>
      <c r="ER12" s="1709"/>
      <c r="ES12" s="1709"/>
      <c r="ET12" s="1709"/>
      <c r="EU12" s="1709"/>
      <c r="EV12" s="1709"/>
      <c r="EW12" s="1709"/>
      <c r="EX12" s="1709"/>
      <c r="EY12" s="1709"/>
      <c r="EZ12" s="1709"/>
      <c r="FA12" s="1709"/>
      <c r="FB12" s="1709"/>
      <c r="FC12" s="1709"/>
      <c r="FD12" s="1709"/>
      <c r="FE12" s="1709"/>
      <c r="FF12" s="1709"/>
      <c r="FG12" s="1709"/>
      <c r="FH12" s="1709"/>
      <c r="FI12" s="1709"/>
      <c r="FJ12" s="1709"/>
      <c r="FK12" s="1709"/>
      <c r="FL12" s="1709"/>
      <c r="FM12" s="1709"/>
      <c r="FN12" s="1709"/>
      <c r="FO12" s="1709"/>
      <c r="FP12" s="1709"/>
      <c r="FQ12" s="1709"/>
      <c r="FR12" s="1709"/>
      <c r="FS12" s="1709"/>
      <c r="FT12" s="1709"/>
      <c r="FU12" s="1709"/>
      <c r="FV12" s="1709"/>
      <c r="FW12" s="1709"/>
      <c r="FX12" s="1709"/>
      <c r="FY12" s="1709"/>
      <c r="FZ12" s="1709"/>
      <c r="GA12" s="1709"/>
      <c r="GB12" s="1709"/>
      <c r="GC12" s="1709"/>
      <c r="GD12" s="1709"/>
      <c r="GE12" s="1709"/>
      <c r="GF12" s="1709"/>
      <c r="GG12" s="1709"/>
      <c r="GH12" s="1709"/>
      <c r="GI12" s="1709"/>
      <c r="GJ12" s="1709"/>
      <c r="GK12" s="1709"/>
      <c r="GL12" s="1709"/>
      <c r="GM12" s="1709"/>
      <c r="GN12" s="1709"/>
      <c r="GO12" s="1709"/>
      <c r="GP12" s="1709"/>
      <c r="GQ12" s="1709"/>
      <c r="GR12" s="1709"/>
      <c r="GS12" s="1709"/>
      <c r="GT12" s="1709"/>
      <c r="GU12" s="1709"/>
      <c r="GV12" s="1709"/>
      <c r="GW12" s="1709"/>
      <c r="GX12" s="1709"/>
      <c r="GY12" s="1709"/>
      <c r="GZ12" s="1709"/>
      <c r="HA12" s="1709"/>
      <c r="HB12" s="1709"/>
      <c r="HC12" s="1709"/>
      <c r="HD12" s="1709"/>
      <c r="HE12" s="1709"/>
      <c r="HF12" s="1709"/>
      <c r="HG12" s="1709"/>
      <c r="HH12" s="1709"/>
      <c r="HI12" s="1709"/>
      <c r="HJ12" s="1709"/>
      <c r="HK12" s="1709"/>
      <c r="HL12" s="1709"/>
      <c r="HM12" s="1709"/>
      <c r="HN12" s="1709"/>
      <c r="HO12" s="1709"/>
      <c r="HP12" s="1709"/>
      <c r="HQ12" s="1709"/>
      <c r="HR12" s="1709"/>
      <c r="HS12" s="1709"/>
      <c r="HT12" s="1709"/>
      <c r="HU12" s="1709"/>
      <c r="HV12" s="1709"/>
      <c r="HW12" s="1709"/>
      <c r="HX12" s="1709"/>
      <c r="HY12" s="1709"/>
      <c r="HZ12" s="1709"/>
      <c r="IA12" s="1709"/>
      <c r="IB12" s="1709"/>
      <c r="IC12" s="1709"/>
      <c r="ID12" s="1709"/>
      <c r="IE12" s="1709"/>
      <c r="IF12" s="1709"/>
      <c r="IG12" s="1709"/>
      <c r="IH12" s="1709"/>
      <c r="II12" s="1709"/>
      <c r="IJ12" s="1709"/>
      <c r="IK12" s="1709"/>
      <c r="IL12" s="1709"/>
      <c r="IM12" s="1709"/>
      <c r="IN12" s="1709"/>
      <c r="IO12" s="1709"/>
      <c r="IP12" s="1709"/>
      <c r="IQ12" s="1709"/>
      <c r="IR12" s="1709"/>
      <c r="IS12" s="1709"/>
      <c r="IT12" s="1709"/>
      <c r="IU12" s="1709"/>
      <c r="IV12" s="1709"/>
      <c r="IW12" s="1709"/>
      <c r="IX12" s="1709"/>
      <c r="IY12" s="1709"/>
      <c r="IZ12" s="1709"/>
      <c r="JA12" s="1709"/>
      <c r="JB12" s="1709"/>
      <c r="JC12" s="1709"/>
      <c r="JD12" s="1709"/>
      <c r="JE12" s="1709"/>
      <c r="JF12" s="1709"/>
      <c r="JG12" s="1709"/>
      <c r="JH12" s="1709"/>
      <c r="JI12" s="1709"/>
      <c r="JJ12" s="1709"/>
      <c r="JK12" s="1709"/>
      <c r="JL12" s="1709"/>
      <c r="JM12" s="1709"/>
      <c r="JN12" s="1709"/>
      <c r="JO12" s="1709"/>
      <c r="JP12" s="1709"/>
      <c r="JQ12" s="1709"/>
      <c r="JR12" s="1709"/>
      <c r="JS12" s="1709"/>
      <c r="JT12" s="1709"/>
      <c r="JU12" s="1709"/>
      <c r="JV12" s="1709"/>
      <c r="JW12" s="1709"/>
      <c r="JX12" s="1709"/>
      <c r="JY12" s="1709"/>
      <c r="JZ12" s="1709"/>
      <c r="KA12" s="1709"/>
      <c r="KB12" s="1709"/>
      <c r="KC12" s="1709"/>
      <c r="KD12" s="1709"/>
      <c r="KE12" s="1709"/>
      <c r="KF12" s="1709"/>
      <c r="KG12" s="1709"/>
      <c r="KH12" s="1709"/>
      <c r="KI12" s="1709"/>
      <c r="KJ12" s="1709"/>
      <c r="KK12" s="1709"/>
      <c r="KL12" s="1709"/>
      <c r="KM12" s="1709"/>
      <c r="KN12" s="1709"/>
      <c r="KO12" s="1709"/>
      <c r="KP12" s="1709"/>
      <c r="KQ12" s="1709"/>
      <c r="KR12" s="1709"/>
      <c r="KS12" s="1709"/>
      <c r="KT12" s="1709"/>
      <c r="KU12" s="1709"/>
      <c r="KV12" s="1709"/>
      <c r="KW12" s="1709"/>
      <c r="KX12" s="1709"/>
      <c r="KY12" s="1709"/>
      <c r="KZ12" s="1709"/>
      <c r="LA12" s="1709"/>
      <c r="LB12" s="1709"/>
      <c r="LC12" s="1709"/>
      <c r="LD12" s="1709"/>
      <c r="LE12" s="1709"/>
      <c r="LF12" s="1709"/>
      <c r="LG12" s="1709"/>
      <c r="LH12" s="1709"/>
      <c r="LI12" s="1709"/>
      <c r="LJ12" s="1709"/>
      <c r="LK12" s="1709"/>
      <c r="LL12" s="1709"/>
      <c r="LM12" s="1709"/>
      <c r="LN12" s="1709"/>
      <c r="LO12" s="1709"/>
      <c r="LP12" s="1709"/>
      <c r="LQ12" s="1709"/>
      <c r="LR12" s="1709"/>
      <c r="LS12" s="1709"/>
      <c r="LT12" s="1709"/>
      <c r="LU12" s="1709"/>
      <c r="LV12" s="1709"/>
      <c r="LW12" s="1709"/>
      <c r="LX12" s="1709"/>
      <c r="LY12" s="1709"/>
      <c r="LZ12" s="1709"/>
      <c r="MA12" s="1709"/>
      <c r="MB12" s="1709"/>
      <c r="MC12" s="1709"/>
      <c r="MD12" s="1709"/>
      <c r="ME12" s="1709"/>
      <c r="MF12" s="1709"/>
      <c r="MG12" s="1709"/>
      <c r="MH12" s="1709"/>
      <c r="MI12" s="1709"/>
      <c r="MJ12" s="1709"/>
      <c r="MK12" s="1709"/>
      <c r="ML12" s="1709"/>
      <c r="MM12" s="1709"/>
      <c r="MN12" s="1709"/>
      <c r="MO12" s="1709"/>
      <c r="MP12" s="1709"/>
      <c r="MQ12" s="1709"/>
      <c r="MR12" s="1709"/>
      <c r="MS12" s="1709"/>
      <c r="MT12" s="1709"/>
      <c r="MU12" s="1709"/>
      <c r="MV12" s="1709"/>
      <c r="MW12" s="1709"/>
      <c r="MX12" s="1709"/>
      <c r="MY12" s="1709"/>
      <c r="MZ12" s="1709"/>
      <c r="NA12" s="1709"/>
      <c r="NB12" s="1709"/>
      <c r="NC12" s="1709"/>
      <c r="ND12" s="1709"/>
      <c r="NE12" s="1709"/>
      <c r="NF12" s="1709"/>
      <c r="NG12" s="1709"/>
      <c r="NH12" s="1709"/>
      <c r="NI12" s="1709"/>
      <c r="NJ12" s="1709"/>
      <c r="NK12" s="1709"/>
      <c r="NL12" s="1709"/>
      <c r="NM12" s="1709"/>
      <c r="NN12" s="1709"/>
      <c r="NO12" s="1709"/>
      <c r="NP12" s="1709"/>
      <c r="NQ12" s="1709"/>
      <c r="NR12" s="1709"/>
      <c r="NS12" s="1709"/>
      <c r="NT12" s="1709"/>
      <c r="NU12" s="1709"/>
      <c r="NV12" s="1709"/>
      <c r="NW12" s="1709"/>
      <c r="NX12" s="1709"/>
      <c r="NY12" s="1709"/>
      <c r="NZ12" s="1709"/>
      <c r="OA12" s="1709"/>
      <c r="OB12" s="1709"/>
      <c r="OC12" s="1709"/>
      <c r="OD12" s="1709"/>
      <c r="OE12" s="1709"/>
      <c r="OF12" s="1709"/>
      <c r="OG12" s="1709"/>
      <c r="OH12" s="1709"/>
      <c r="OI12" s="1709"/>
      <c r="OJ12" s="1709"/>
      <c r="OK12" s="1709"/>
      <c r="OL12" s="1709"/>
      <c r="OM12" s="1709"/>
      <c r="ON12" s="1709"/>
      <c r="OO12" s="1709"/>
      <c r="OP12" s="1709"/>
      <c r="OQ12" s="1709"/>
      <c r="OR12" s="1709"/>
      <c r="OS12" s="1709"/>
      <c r="OT12" s="1709"/>
      <c r="OU12" s="1709"/>
      <c r="OV12" s="1709"/>
      <c r="OW12" s="1709"/>
      <c r="OX12" s="1709"/>
      <c r="OY12" s="1709"/>
      <c r="OZ12" s="1709"/>
      <c r="PA12" s="1709"/>
      <c r="PB12" s="1709"/>
      <c r="PC12" s="1709"/>
      <c r="PD12" s="1709"/>
      <c r="PE12" s="1709"/>
      <c r="PF12" s="1709"/>
      <c r="PG12" s="1709"/>
      <c r="PH12" s="1709"/>
      <c r="PI12" s="1709"/>
      <c r="PJ12" s="1709"/>
      <c r="PK12" s="1709"/>
      <c r="PL12" s="1709"/>
      <c r="PM12" s="1709"/>
      <c r="PN12" s="1709"/>
      <c r="PO12" s="1709"/>
      <c r="PP12" s="1709"/>
      <c r="PQ12" s="1709"/>
      <c r="PR12" s="1709"/>
      <c r="PS12" s="1709"/>
      <c r="PT12" s="1709"/>
      <c r="PU12" s="1709"/>
      <c r="PV12" s="1709"/>
      <c r="PW12" s="1709"/>
      <c r="PX12" s="1709"/>
      <c r="PY12" s="1709"/>
      <c r="PZ12" s="1709"/>
      <c r="QA12" s="1709"/>
      <c r="QB12" s="1709"/>
      <c r="QC12" s="1709"/>
      <c r="QD12" s="1709"/>
      <c r="QE12" s="1709"/>
      <c r="QF12" s="1709"/>
      <c r="QG12" s="1709"/>
      <c r="QH12" s="1709"/>
      <c r="QI12" s="1709"/>
      <c r="QJ12" s="1709"/>
      <c r="QK12" s="1709"/>
      <c r="QL12" s="1709"/>
      <c r="QM12" s="1709"/>
      <c r="QN12" s="1709"/>
      <c r="QO12" s="1709"/>
      <c r="QP12" s="1709"/>
      <c r="QQ12" s="1709"/>
      <c r="QR12" s="1709"/>
      <c r="QS12" s="1709"/>
      <c r="QT12" s="1709"/>
      <c r="QU12" s="1709"/>
      <c r="QV12" s="1709"/>
      <c r="QW12" s="1709"/>
      <c r="QX12" s="1709"/>
      <c r="QY12" s="1709"/>
      <c r="QZ12" s="1709"/>
      <c r="RA12" s="1709"/>
      <c r="RB12" s="1709"/>
      <c r="RC12" s="1709"/>
      <c r="RD12" s="1709"/>
      <c r="RE12" s="1709"/>
      <c r="RF12" s="1709"/>
      <c r="RG12" s="1709"/>
      <c r="RH12" s="1709"/>
      <c r="RI12" s="1709"/>
      <c r="RJ12" s="1709"/>
      <c r="RK12" s="1709"/>
      <c r="RL12" s="1709"/>
      <c r="RM12" s="1709"/>
      <c r="RN12" s="1709"/>
      <c r="RO12" s="1709"/>
      <c r="RP12" s="1709"/>
      <c r="RQ12" s="1709"/>
      <c r="RR12" s="1709"/>
      <c r="RS12" s="1709"/>
      <c r="RT12" s="1709"/>
      <c r="RU12" s="1709"/>
      <c r="RV12" s="1709"/>
      <c r="RW12" s="1709"/>
      <c r="RX12" s="1709"/>
      <c r="RY12" s="1709"/>
      <c r="RZ12" s="1709"/>
      <c r="SA12" s="1709"/>
      <c r="SB12" s="1709"/>
      <c r="SC12" s="1709"/>
      <c r="SD12" s="1709"/>
      <c r="SE12" s="1709"/>
      <c r="SF12" s="1709"/>
      <c r="SG12" s="1709"/>
      <c r="SH12" s="1709"/>
      <c r="SI12" s="1709"/>
      <c r="SJ12" s="1709"/>
      <c r="SK12" s="1709"/>
      <c r="SL12" s="1709"/>
      <c r="SM12" s="1709"/>
      <c r="SN12" s="1709"/>
      <c r="SO12" s="1709"/>
      <c r="SP12" s="1709"/>
      <c r="SQ12" s="1709"/>
      <c r="SR12" s="1709"/>
      <c r="SS12" s="1709"/>
      <c r="ST12" s="1709"/>
      <c r="SU12" s="1709"/>
      <c r="SV12" s="1709"/>
      <c r="SW12" s="1709"/>
      <c r="SX12" s="1709"/>
      <c r="SY12" s="1709"/>
      <c r="SZ12" s="1709"/>
      <c r="TA12" s="1709"/>
      <c r="TB12" s="1709"/>
      <c r="TC12" s="1709"/>
      <c r="TD12" s="1709"/>
      <c r="TE12" s="1709"/>
      <c r="TF12" s="1709"/>
      <c r="TG12" s="1709"/>
      <c r="TH12" s="1709"/>
      <c r="TI12" s="1709"/>
      <c r="TJ12" s="1709"/>
      <c r="TK12" s="1709"/>
      <c r="TL12" s="1709"/>
      <c r="TM12" s="1709"/>
      <c r="TN12" s="1709"/>
      <c r="TO12" s="1709"/>
      <c r="TP12" s="1709"/>
      <c r="TQ12" s="1709"/>
      <c r="TR12" s="1709"/>
      <c r="TS12" s="1709"/>
      <c r="TT12" s="1709"/>
      <c r="TU12" s="1709"/>
      <c r="TV12" s="1709"/>
      <c r="TW12" s="1709"/>
      <c r="TX12" s="1709"/>
      <c r="TY12" s="1709"/>
      <c r="TZ12" s="1709"/>
      <c r="UA12" s="1709"/>
      <c r="UB12" s="1709"/>
      <c r="UC12" s="1709"/>
      <c r="UD12" s="1709"/>
      <c r="UE12" s="1709"/>
      <c r="UF12" s="1709"/>
      <c r="UG12" s="1709"/>
      <c r="UH12" s="1709"/>
      <c r="UI12" s="1709"/>
      <c r="UJ12" s="1709"/>
      <c r="UK12" s="1709"/>
      <c r="UL12" s="1709"/>
      <c r="UM12" s="1709"/>
      <c r="UN12" s="1709"/>
      <c r="UO12" s="1709"/>
      <c r="UP12" s="1709"/>
      <c r="UQ12" s="1709"/>
      <c r="UR12" s="1709"/>
      <c r="US12" s="1709"/>
      <c r="UT12" s="1709"/>
      <c r="UU12" s="1709"/>
      <c r="UV12" s="1709"/>
      <c r="UW12" s="1709"/>
      <c r="UX12" s="1709"/>
      <c r="UY12" s="1709"/>
      <c r="UZ12" s="1709"/>
      <c r="VA12" s="1709"/>
      <c r="VB12" s="1709"/>
      <c r="VC12" s="1709"/>
      <c r="VD12" s="1709"/>
      <c r="VE12" s="1709"/>
      <c r="VF12" s="1709"/>
      <c r="VG12" s="1709"/>
      <c r="VH12" s="1709"/>
      <c r="VI12" s="1709"/>
      <c r="VJ12" s="1709"/>
      <c r="VK12" s="1709"/>
      <c r="VL12" s="1709"/>
      <c r="VM12" s="1709"/>
      <c r="VN12" s="1709"/>
      <c r="VO12" s="1709"/>
      <c r="VP12" s="1709"/>
      <c r="VQ12" s="1709"/>
      <c r="VR12" s="1709"/>
      <c r="VS12" s="1709"/>
      <c r="VT12" s="1709"/>
      <c r="VU12" s="1709"/>
      <c r="VV12" s="1709"/>
      <c r="VW12" s="1709"/>
      <c r="VX12" s="1709"/>
      <c r="VY12" s="1709"/>
      <c r="VZ12" s="1709"/>
      <c r="WA12" s="1709"/>
      <c r="WB12" s="1709"/>
      <c r="WC12" s="1709"/>
      <c r="WD12" s="1709"/>
      <c r="WE12" s="1709"/>
      <c r="WF12" s="1709"/>
      <c r="WG12" s="1709"/>
      <c r="WH12" s="1709"/>
      <c r="WI12" s="1709"/>
      <c r="WJ12" s="1709"/>
      <c r="WK12" s="1709"/>
      <c r="WL12" s="1709"/>
      <c r="WM12" s="1709"/>
      <c r="WN12" s="1709"/>
      <c r="WO12" s="1709"/>
      <c r="WP12" s="1709"/>
      <c r="WQ12" s="1709"/>
      <c r="WR12" s="1709"/>
      <c r="WS12" s="1709"/>
      <c r="WT12" s="1709"/>
      <c r="WU12" s="1709"/>
      <c r="WV12" s="1709"/>
      <c r="WW12" s="1709"/>
      <c r="WX12" s="1709"/>
      <c r="WY12" s="1709"/>
      <c r="WZ12" s="1709"/>
      <c r="XA12" s="1709"/>
      <c r="XB12" s="1709"/>
      <c r="XC12" s="1709"/>
      <c r="XD12" s="1709"/>
      <c r="XE12" s="1709"/>
      <c r="XF12" s="1709"/>
      <c r="XG12" s="1709"/>
      <c r="XH12" s="1709"/>
      <c r="XI12" s="1709"/>
      <c r="XJ12" s="1709"/>
      <c r="XK12" s="1709"/>
      <c r="XL12" s="1709"/>
      <c r="XM12" s="1709"/>
      <c r="XN12" s="1709"/>
      <c r="XO12" s="1709"/>
      <c r="XP12" s="1709"/>
      <c r="XQ12" s="1709"/>
      <c r="XR12" s="1709"/>
      <c r="XS12" s="1709"/>
      <c r="XT12" s="1709"/>
      <c r="XU12" s="1709"/>
      <c r="XV12" s="1709"/>
      <c r="XW12" s="1709"/>
      <c r="XX12" s="1709"/>
      <c r="XY12" s="1709"/>
      <c r="XZ12" s="1709"/>
      <c r="YA12" s="1709"/>
      <c r="YB12" s="1709"/>
      <c r="YC12" s="1709"/>
      <c r="YD12" s="1709"/>
      <c r="YE12" s="1709"/>
      <c r="YF12" s="1709"/>
      <c r="YG12" s="1709"/>
      <c r="YH12" s="1709"/>
      <c r="YI12" s="1709"/>
      <c r="YJ12" s="1709"/>
      <c r="YK12" s="1709"/>
      <c r="YL12" s="1709"/>
      <c r="YM12" s="1709"/>
      <c r="YN12" s="1709"/>
      <c r="YO12" s="1709"/>
      <c r="YP12" s="1709"/>
      <c r="YQ12" s="1709"/>
      <c r="YR12" s="1709"/>
      <c r="YS12" s="1709"/>
      <c r="YT12" s="1709"/>
      <c r="YU12" s="1709"/>
      <c r="YV12" s="1709"/>
      <c r="YW12" s="1709"/>
      <c r="YX12" s="1709"/>
      <c r="YY12" s="1709"/>
      <c r="YZ12" s="1709"/>
      <c r="ZA12" s="1709"/>
      <c r="ZB12" s="1709"/>
      <c r="ZC12" s="1709"/>
      <c r="ZD12" s="1709"/>
      <c r="ZE12" s="1709"/>
      <c r="ZF12" s="1709"/>
      <c r="ZG12" s="1709"/>
      <c r="ZH12" s="1709"/>
      <c r="ZI12" s="1709"/>
      <c r="ZJ12" s="1709"/>
      <c r="ZK12" s="1709"/>
      <c r="ZL12" s="1709"/>
      <c r="ZM12" s="1709"/>
      <c r="ZN12" s="1709"/>
      <c r="ZO12" s="1709"/>
      <c r="ZP12" s="1709"/>
      <c r="ZQ12" s="1709"/>
      <c r="ZR12" s="1709"/>
      <c r="ZS12" s="1709"/>
      <c r="ZT12" s="1709"/>
      <c r="ZU12" s="1709"/>
      <c r="ZV12" s="1709"/>
      <c r="ZW12" s="1709"/>
      <c r="ZX12" s="1709"/>
      <c r="ZY12" s="1709"/>
      <c r="ZZ12" s="1709"/>
      <c r="AAA12" s="1709"/>
      <c r="AAB12" s="1709"/>
      <c r="AAC12" s="1709"/>
      <c r="AAD12" s="1709"/>
      <c r="AAE12" s="1709"/>
      <c r="AAF12" s="1709"/>
      <c r="AAG12" s="1709"/>
      <c r="AAH12" s="1709"/>
      <c r="AAI12" s="1709"/>
      <c r="AAJ12" s="1709"/>
      <c r="AAK12" s="1709"/>
      <c r="AAL12" s="1709"/>
      <c r="AAM12" s="1709"/>
      <c r="AAN12" s="1709"/>
      <c r="AAO12" s="1709"/>
      <c r="AAP12" s="1709"/>
      <c r="AAQ12" s="1709"/>
      <c r="AAR12" s="1709"/>
      <c r="AAS12" s="1709"/>
      <c r="AAT12" s="1709"/>
      <c r="AAU12" s="1709"/>
      <c r="AAV12" s="1709"/>
      <c r="AAW12" s="1709"/>
      <c r="AAX12" s="1709"/>
      <c r="AAY12" s="1709"/>
      <c r="AAZ12" s="1709"/>
      <c r="ABA12" s="1709"/>
      <c r="ABB12" s="1709"/>
      <c r="ABC12" s="1709"/>
      <c r="ABD12" s="1709"/>
      <c r="ABE12" s="1709"/>
      <c r="ABF12" s="1709"/>
      <c r="ABG12" s="1709"/>
      <c r="ABH12" s="1709"/>
      <c r="ABI12" s="1709"/>
      <c r="ABJ12" s="1709"/>
      <c r="ABK12" s="1709"/>
      <c r="ABL12" s="1709"/>
      <c r="ABM12" s="1709"/>
      <c r="ABN12" s="1709"/>
      <c r="ABO12" s="1709"/>
      <c r="ABP12" s="1709"/>
      <c r="ABQ12" s="1709"/>
      <c r="ABR12" s="1709"/>
      <c r="ABS12" s="1709"/>
      <c r="ABT12" s="1709"/>
      <c r="ABU12" s="1709"/>
      <c r="ABV12" s="1709"/>
      <c r="ABW12" s="1709"/>
      <c r="ABX12" s="1709"/>
      <c r="ABY12" s="1709"/>
      <c r="ABZ12" s="1709"/>
      <c r="ACA12" s="1709"/>
      <c r="ACB12" s="1709"/>
      <c r="ACC12" s="1709"/>
      <c r="ACD12" s="1709"/>
      <c r="ACE12" s="1709"/>
      <c r="ACF12" s="1709"/>
      <c r="ACG12" s="1709"/>
      <c r="ACH12" s="1709"/>
      <c r="ACI12" s="1709"/>
      <c r="ACJ12" s="1709"/>
      <c r="ACK12" s="1709"/>
      <c r="ACL12" s="1709"/>
      <c r="ACM12" s="1709"/>
      <c r="ACN12" s="1709"/>
      <c r="ACO12" s="1709"/>
      <c r="ACP12" s="1709"/>
      <c r="ACQ12" s="1709"/>
      <c r="ACR12" s="1709"/>
      <c r="ACS12" s="1709"/>
      <c r="ACT12" s="1709"/>
      <c r="ACU12" s="1709"/>
      <c r="ACV12" s="1709"/>
      <c r="ACW12" s="1709"/>
      <c r="ACX12" s="1709"/>
      <c r="ACY12" s="1709"/>
      <c r="ACZ12" s="1709"/>
      <c r="ADA12" s="1709"/>
      <c r="ADB12" s="1709"/>
      <c r="ADC12" s="1709"/>
      <c r="ADD12" s="1709"/>
      <c r="ADE12" s="1709"/>
      <c r="ADF12" s="1709"/>
      <c r="ADG12" s="1709"/>
      <c r="ADH12" s="1709"/>
      <c r="ADI12" s="1709"/>
      <c r="ADJ12" s="1709"/>
      <c r="ADK12" s="1709"/>
      <c r="ADL12" s="1709"/>
      <c r="ADM12" s="1709"/>
      <c r="ADN12" s="1709"/>
      <c r="ADO12" s="1709"/>
      <c r="ADP12" s="1709"/>
      <c r="ADQ12" s="1709"/>
      <c r="ADR12" s="1709"/>
      <c r="ADS12" s="1709"/>
      <c r="ADT12" s="1709"/>
      <c r="ADU12" s="1709"/>
      <c r="ADV12" s="1709"/>
      <c r="ADW12" s="1709"/>
      <c r="ADX12" s="1709"/>
      <c r="ADY12" s="1709"/>
      <c r="ADZ12" s="1709"/>
      <c r="AEA12" s="1709"/>
      <c r="AEB12" s="1709"/>
      <c r="AEC12" s="1709"/>
      <c r="AED12" s="1709"/>
      <c r="AEE12" s="1709"/>
      <c r="AEF12" s="1709"/>
      <c r="AEG12" s="1709"/>
      <c r="AEH12" s="1709"/>
      <c r="AEI12" s="1709"/>
      <c r="AEJ12" s="1709"/>
      <c r="AEK12" s="1709"/>
      <c r="AEL12" s="1709"/>
      <c r="AEM12" s="1709"/>
      <c r="AEN12" s="1709"/>
      <c r="AEO12" s="1709"/>
      <c r="AEP12" s="1709"/>
      <c r="AEQ12" s="1709"/>
      <c r="AER12" s="1709"/>
      <c r="AES12" s="1709"/>
      <c r="AET12" s="1709"/>
      <c r="AEU12" s="1709"/>
      <c r="AEV12" s="1709"/>
      <c r="AEW12" s="1709"/>
      <c r="AEX12" s="1709"/>
      <c r="AEY12" s="1709"/>
      <c r="AEZ12" s="1709"/>
      <c r="AFA12" s="1709"/>
      <c r="AFB12" s="1709"/>
      <c r="AFC12" s="1709"/>
      <c r="AFD12" s="1709"/>
      <c r="AFE12" s="1709"/>
      <c r="AFF12" s="1709"/>
      <c r="AFG12" s="1709"/>
      <c r="AFH12" s="1709"/>
      <c r="AFI12" s="1709"/>
      <c r="AFJ12" s="1709"/>
      <c r="AFK12" s="1709"/>
      <c r="AFL12" s="1709"/>
      <c r="AFM12" s="1709"/>
      <c r="AFN12" s="1709"/>
      <c r="AFO12" s="1709"/>
      <c r="AFP12" s="1709"/>
      <c r="AFQ12" s="1709"/>
      <c r="AFR12" s="1709"/>
      <c r="AFS12" s="1709"/>
      <c r="AFT12" s="1709"/>
      <c r="AFU12" s="1709"/>
      <c r="AFV12" s="1709"/>
      <c r="AFW12" s="1709"/>
      <c r="AFX12" s="1709"/>
      <c r="AFY12" s="1709"/>
      <c r="AFZ12" s="1709"/>
      <c r="AGA12" s="1709"/>
      <c r="AGB12" s="1709"/>
      <c r="AGC12" s="1709"/>
      <c r="AGD12" s="1709"/>
      <c r="AGE12" s="1709"/>
      <c r="AGF12" s="1709"/>
      <c r="AGG12" s="1709"/>
      <c r="AGH12" s="1709"/>
      <c r="AGI12" s="1709"/>
      <c r="AGJ12" s="1709"/>
      <c r="AGK12" s="1709"/>
      <c r="AGL12" s="1709"/>
      <c r="AGM12" s="1709"/>
      <c r="AGN12" s="1709"/>
      <c r="AGO12" s="1709"/>
      <c r="AGP12" s="1709"/>
      <c r="AGQ12" s="1709"/>
      <c r="AGR12" s="1709"/>
      <c r="AGS12" s="1709"/>
      <c r="AGT12" s="1709"/>
      <c r="AGU12" s="1709"/>
      <c r="AGV12" s="1709"/>
      <c r="AGW12" s="1709"/>
      <c r="AGX12" s="1709"/>
      <c r="AGY12" s="1709"/>
      <c r="AGZ12" s="1709"/>
      <c r="AHA12" s="1709"/>
      <c r="AHB12" s="1709"/>
      <c r="AHC12" s="1709"/>
      <c r="AHD12" s="1709"/>
      <c r="AHE12" s="1709"/>
      <c r="AHF12" s="1709"/>
      <c r="AHG12" s="1709"/>
      <c r="AHH12" s="1709"/>
      <c r="AHI12" s="1709"/>
      <c r="AHJ12" s="1709"/>
      <c r="AHK12" s="1709"/>
      <c r="AHL12" s="1709"/>
      <c r="AHM12" s="1709"/>
      <c r="AHN12" s="1709"/>
      <c r="AHO12" s="1709"/>
      <c r="AHP12" s="1709"/>
      <c r="AHQ12" s="1709"/>
      <c r="AHR12" s="1709"/>
      <c r="AHS12" s="1709"/>
      <c r="AHT12" s="1709"/>
      <c r="AHU12" s="1709"/>
      <c r="AHV12" s="1709"/>
      <c r="AHW12" s="1709"/>
      <c r="AHX12" s="1709"/>
      <c r="AHY12" s="1709"/>
      <c r="AHZ12" s="1709"/>
      <c r="AIA12" s="1709"/>
      <c r="AIB12" s="1709"/>
      <c r="AIC12" s="1709"/>
      <c r="AID12" s="1709"/>
      <c r="AIE12" s="1709"/>
      <c r="AIF12" s="1709"/>
      <c r="AIG12" s="1709"/>
      <c r="AIH12" s="1709"/>
      <c r="AII12" s="1709"/>
      <c r="AIJ12" s="1709"/>
      <c r="AIK12" s="1709"/>
      <c r="AIL12" s="1709"/>
      <c r="AIM12" s="1709"/>
      <c r="AIN12" s="1709"/>
      <c r="AIO12" s="1709"/>
      <c r="AIP12" s="1709"/>
      <c r="AIQ12" s="1709"/>
      <c r="AIR12" s="1709"/>
      <c r="AIS12" s="1709"/>
      <c r="AIT12" s="1709"/>
      <c r="AIU12" s="1709"/>
      <c r="AIV12" s="1709"/>
      <c r="AIW12" s="1709"/>
      <c r="AIX12" s="1709"/>
      <c r="AIY12" s="1709"/>
      <c r="AIZ12" s="1709"/>
      <c r="AJA12" s="1709"/>
      <c r="AJB12" s="1709"/>
      <c r="AJC12" s="1709"/>
      <c r="AJD12" s="1709"/>
      <c r="AJE12" s="1709"/>
      <c r="AJF12" s="1709"/>
      <c r="AJG12" s="1709"/>
      <c r="AJH12" s="1709"/>
      <c r="AJI12" s="1709"/>
      <c r="AJJ12" s="1709"/>
      <c r="AJK12" s="1709"/>
      <c r="AJL12" s="1709"/>
      <c r="AJM12" s="1709"/>
      <c r="AJN12" s="1709"/>
      <c r="AJO12" s="1709"/>
      <c r="AJP12" s="1709"/>
      <c r="AJQ12" s="1709"/>
      <c r="AJR12" s="1709"/>
      <c r="AJS12" s="1709"/>
      <c r="AJT12" s="1709"/>
      <c r="AJU12" s="1709"/>
      <c r="AJV12" s="1709"/>
      <c r="AJW12" s="1709"/>
      <c r="AJX12" s="1709"/>
      <c r="AJY12" s="1709"/>
      <c r="AJZ12" s="1709"/>
      <c r="AKA12" s="1709"/>
      <c r="AKB12" s="1709"/>
      <c r="AKC12" s="1709"/>
      <c r="AKD12" s="1709"/>
      <c r="AKE12" s="1709"/>
      <c r="AKF12" s="1709"/>
      <c r="AKG12" s="1709"/>
      <c r="AKH12" s="1709"/>
      <c r="AKI12" s="1709"/>
      <c r="AKJ12" s="1709"/>
      <c r="AKK12" s="1709"/>
      <c r="AKL12" s="1709"/>
      <c r="AKM12" s="1709"/>
      <c r="AKN12" s="1709"/>
      <c r="AKO12" s="1709"/>
      <c r="AKP12" s="1709"/>
      <c r="AKQ12" s="1709"/>
      <c r="AKR12" s="1709"/>
      <c r="AKS12" s="1709"/>
      <c r="AKT12" s="1709"/>
      <c r="AKU12" s="1709"/>
      <c r="AKV12" s="1709"/>
      <c r="AKW12" s="1709"/>
      <c r="AKX12" s="1709"/>
      <c r="AKY12" s="1709"/>
      <c r="AKZ12" s="1709"/>
      <c r="ALA12" s="1709"/>
      <c r="ALB12" s="1709"/>
      <c r="ALC12" s="1709"/>
      <c r="ALD12" s="1709"/>
      <c r="ALE12" s="1709"/>
      <c r="ALF12" s="1709"/>
      <c r="ALG12" s="1709"/>
      <c r="ALH12" s="1709"/>
      <c r="ALI12" s="1709"/>
      <c r="ALJ12" s="1709"/>
      <c r="ALK12" s="1709"/>
      <c r="ALL12" s="1709"/>
      <c r="ALM12" s="1709"/>
      <c r="ALN12" s="1709"/>
      <c r="ALO12" s="1709"/>
      <c r="ALP12" s="1709"/>
      <c r="ALQ12" s="1709"/>
      <c r="ALR12" s="1709"/>
      <c r="ALS12" s="1709"/>
      <c r="ALT12" s="1709"/>
      <c r="ALU12" s="1709"/>
      <c r="ALV12" s="1709"/>
      <c r="ALW12" s="1709"/>
      <c r="ALX12" s="1709"/>
      <c r="ALY12" s="1709"/>
      <c r="ALZ12" s="1709"/>
      <c r="AMA12" s="1709"/>
      <c r="AMB12" s="1709"/>
      <c r="AMC12" s="1709"/>
      <c r="AMD12" s="1709"/>
      <c r="AME12" s="1709"/>
      <c r="AMF12" s="1709"/>
      <c r="AMG12" s="1709"/>
      <c r="AMH12" s="1709"/>
      <c r="AMI12" s="1709"/>
      <c r="AMJ12" s="1709"/>
      <c r="AMK12" s="1709"/>
      <c r="AML12" s="1709"/>
      <c r="AMM12" s="1709"/>
      <c r="AMN12" s="1709"/>
      <c r="AMO12" s="1709"/>
      <c r="AMP12" s="1709"/>
      <c r="AMQ12" s="1709"/>
      <c r="AMR12" s="1709"/>
      <c r="AMS12" s="1709"/>
      <c r="AMT12" s="1709"/>
      <c r="AMU12" s="1709"/>
      <c r="AMV12" s="1709"/>
      <c r="AMW12" s="1709"/>
      <c r="AMX12" s="1709"/>
      <c r="AMY12" s="1709"/>
      <c r="AMZ12" s="1709"/>
      <c r="ANA12" s="1709"/>
      <c r="ANB12" s="1709"/>
      <c r="ANC12" s="1709"/>
      <c r="AND12" s="1709"/>
      <c r="ANE12" s="1709"/>
      <c r="ANF12" s="1709"/>
      <c r="ANG12" s="1709"/>
      <c r="ANH12" s="1709"/>
      <c r="ANI12" s="1709"/>
      <c r="ANJ12" s="1709"/>
      <c r="ANK12" s="1709"/>
      <c r="ANL12" s="1709"/>
      <c r="ANM12" s="1709"/>
      <c r="ANN12" s="1709"/>
      <c r="ANO12" s="1709"/>
      <c r="ANP12" s="1709"/>
      <c r="ANQ12" s="1709"/>
      <c r="ANR12" s="1709"/>
      <c r="ANS12" s="1709"/>
      <c r="ANT12" s="1709"/>
      <c r="ANU12" s="1709"/>
      <c r="ANV12" s="1709"/>
      <c r="ANW12" s="1709"/>
      <c r="ANX12" s="1709"/>
      <c r="ANY12" s="1709"/>
      <c r="ANZ12" s="1709"/>
      <c r="AOA12" s="1709"/>
      <c r="AOB12" s="1709"/>
      <c r="AOC12" s="1709"/>
      <c r="AOD12" s="1709"/>
      <c r="AOE12" s="1709"/>
      <c r="AOF12" s="1709"/>
      <c r="AOG12" s="1709"/>
      <c r="AOH12" s="1709"/>
      <c r="AOI12" s="1709"/>
      <c r="AOJ12" s="1709"/>
      <c r="AOK12" s="1709"/>
      <c r="AOL12" s="1709"/>
      <c r="AOM12" s="1709"/>
      <c r="AON12" s="1709"/>
      <c r="AOO12" s="1709"/>
      <c r="AOP12" s="1709"/>
      <c r="AOQ12" s="1709"/>
      <c r="AOR12" s="1709"/>
      <c r="AOS12" s="1709"/>
      <c r="AOT12" s="1709"/>
      <c r="AOU12" s="1709"/>
      <c r="AOV12" s="1709"/>
      <c r="AOW12" s="1709"/>
      <c r="AOX12" s="1709"/>
      <c r="AOY12" s="1709"/>
      <c r="AOZ12" s="1709"/>
      <c r="APA12" s="1709"/>
      <c r="APB12" s="1709"/>
      <c r="APC12" s="1709"/>
      <c r="APD12" s="1709"/>
      <c r="APE12" s="1709"/>
      <c r="APF12" s="1709"/>
      <c r="APG12" s="1709"/>
      <c r="APH12" s="1709"/>
      <c r="API12" s="1709"/>
      <c r="APJ12" s="1709"/>
      <c r="APK12" s="1709"/>
      <c r="APL12" s="1709"/>
      <c r="APM12" s="1709"/>
      <c r="APN12" s="1709"/>
      <c r="APO12" s="1709"/>
      <c r="APP12" s="1709"/>
      <c r="APQ12" s="1709"/>
      <c r="APR12" s="1709"/>
      <c r="APS12" s="1709"/>
      <c r="APT12" s="1709"/>
      <c r="APU12" s="1709"/>
      <c r="APV12" s="1709"/>
      <c r="APW12" s="1709"/>
      <c r="APX12" s="1709"/>
      <c r="APY12" s="1709"/>
      <c r="APZ12" s="1709"/>
      <c r="AQA12" s="1709"/>
      <c r="AQB12" s="1709"/>
      <c r="AQC12" s="1709"/>
      <c r="AQD12" s="1709"/>
      <c r="AQE12" s="1709"/>
      <c r="AQF12" s="1709"/>
      <c r="AQG12" s="1709"/>
      <c r="AQH12" s="1709"/>
      <c r="AQI12" s="1709"/>
      <c r="AQJ12" s="1709"/>
      <c r="AQK12" s="1709"/>
      <c r="AQL12" s="1709"/>
      <c r="AQM12" s="1709"/>
      <c r="AQN12" s="1709"/>
      <c r="AQO12" s="1709"/>
      <c r="AQP12" s="1709"/>
      <c r="AQQ12" s="1709"/>
      <c r="AQR12" s="1709"/>
      <c r="AQS12" s="1709"/>
      <c r="AQT12" s="1709"/>
      <c r="AQU12" s="1709"/>
      <c r="AQV12" s="1709"/>
      <c r="AQW12" s="1709"/>
      <c r="AQX12" s="1709"/>
      <c r="AQY12" s="1709"/>
      <c r="AQZ12" s="1709"/>
      <c r="ARA12" s="1709"/>
      <c r="ARB12" s="1709"/>
      <c r="ARC12" s="1709"/>
      <c r="ARD12" s="1709"/>
      <c r="ARE12" s="1709"/>
      <c r="ARF12" s="1709"/>
      <c r="ARG12" s="1709"/>
      <c r="ARH12" s="1709"/>
      <c r="ARI12" s="1709"/>
      <c r="ARJ12" s="1709"/>
      <c r="ARK12" s="1709"/>
      <c r="ARL12" s="1709"/>
      <c r="ARM12" s="1709"/>
      <c r="ARN12" s="1709"/>
      <c r="ARO12" s="1709"/>
      <c r="ARP12" s="1709"/>
      <c r="ARQ12" s="1709"/>
      <c r="ARR12" s="1709"/>
      <c r="ARS12" s="1709"/>
      <c r="ART12" s="1709"/>
      <c r="ARU12" s="1709"/>
      <c r="ARV12" s="1709"/>
      <c r="ARW12" s="1709"/>
      <c r="ARX12" s="1709"/>
      <c r="ARY12" s="1709"/>
      <c r="ARZ12" s="1709"/>
      <c r="ASA12" s="1709"/>
      <c r="ASB12" s="1709"/>
      <c r="ASC12" s="1709"/>
      <c r="ASD12" s="1709"/>
      <c r="ASE12" s="1709"/>
      <c r="ASF12" s="1709"/>
      <c r="ASG12" s="1709"/>
      <c r="ASH12" s="1709"/>
      <c r="ASI12" s="1709"/>
      <c r="ASJ12" s="1709"/>
      <c r="ASK12" s="1709"/>
      <c r="ASL12" s="1709"/>
      <c r="ASM12" s="1709"/>
      <c r="ASN12" s="1709"/>
      <c r="ASO12" s="1709"/>
      <c r="ASP12" s="1709"/>
      <c r="ASQ12" s="1709"/>
      <c r="ASR12" s="1709"/>
      <c r="ASS12" s="1709"/>
      <c r="AST12" s="1709"/>
      <c r="ASU12" s="1709"/>
      <c r="ASV12" s="1709"/>
      <c r="ASW12" s="1709"/>
      <c r="ASX12" s="1709"/>
      <c r="ASY12" s="1709"/>
      <c r="ASZ12" s="1709"/>
      <c r="ATA12" s="1709"/>
      <c r="ATB12" s="1709"/>
      <c r="ATC12" s="1709"/>
      <c r="ATD12" s="1709"/>
      <c r="ATE12" s="1709"/>
      <c r="ATF12" s="1709"/>
      <c r="ATG12" s="1709"/>
      <c r="ATH12" s="1709"/>
      <c r="ATI12" s="1709"/>
      <c r="ATJ12" s="1709"/>
      <c r="ATK12" s="1709"/>
      <c r="ATL12" s="1709"/>
      <c r="ATM12" s="1709"/>
      <c r="ATN12" s="1709"/>
      <c r="ATO12" s="1709"/>
      <c r="ATP12" s="1709"/>
      <c r="ATQ12" s="1709"/>
      <c r="ATR12" s="1709"/>
      <c r="ATS12" s="1709"/>
      <c r="ATT12" s="1709"/>
      <c r="ATU12" s="1709"/>
      <c r="ATV12" s="1709"/>
      <c r="ATW12" s="1709"/>
      <c r="ATX12" s="1709"/>
      <c r="ATY12" s="1709"/>
      <c r="ATZ12" s="1709"/>
      <c r="AUA12" s="1709"/>
      <c r="AUB12" s="1709"/>
      <c r="AUC12" s="1709"/>
      <c r="AUD12" s="1709"/>
      <c r="AUE12" s="1709"/>
      <c r="AUF12" s="1709"/>
      <c r="AUG12" s="1709"/>
      <c r="AUH12" s="1709"/>
      <c r="AUI12" s="1709"/>
      <c r="AUJ12" s="1709"/>
      <c r="AUK12" s="1709"/>
      <c r="AUL12" s="1709"/>
      <c r="AUM12" s="1709"/>
      <c r="AUN12" s="1709"/>
      <c r="AUO12" s="1709"/>
      <c r="AUP12" s="1709"/>
      <c r="AUQ12" s="1709"/>
      <c r="AUR12" s="1709"/>
      <c r="AUS12" s="1709"/>
      <c r="AUT12" s="1709"/>
      <c r="AUU12" s="1709"/>
      <c r="AUV12" s="1709"/>
      <c r="AUW12" s="1709"/>
      <c r="AUX12" s="1709"/>
      <c r="AUY12" s="1709"/>
      <c r="AUZ12" s="1709"/>
      <c r="AVA12" s="1709"/>
      <c r="AVB12" s="1709"/>
      <c r="AVC12" s="1709"/>
      <c r="AVD12" s="1709"/>
      <c r="AVE12" s="1709"/>
      <c r="AVF12" s="1709"/>
      <c r="AVG12" s="1709"/>
      <c r="AVH12" s="1709"/>
      <c r="AVI12" s="1709"/>
      <c r="AVJ12" s="1709"/>
      <c r="AVK12" s="1709"/>
      <c r="AVL12" s="1709"/>
      <c r="AVM12" s="1709"/>
      <c r="AVN12" s="1709"/>
      <c r="AVO12" s="1709"/>
      <c r="AVP12" s="1709"/>
      <c r="AVQ12" s="1709"/>
      <c r="AVR12" s="1709"/>
      <c r="AVS12" s="1709"/>
      <c r="AVT12" s="1709"/>
      <c r="AVU12" s="1709"/>
      <c r="AVV12" s="1709"/>
      <c r="AVW12" s="1709"/>
      <c r="AVX12" s="1709"/>
      <c r="AVY12" s="1709"/>
      <c r="AVZ12" s="1709"/>
      <c r="AWA12" s="1709"/>
      <c r="AWB12" s="1709"/>
      <c r="AWC12" s="1709"/>
      <c r="AWD12" s="1709"/>
      <c r="AWE12" s="1709"/>
      <c r="AWF12" s="1709"/>
      <c r="AWG12" s="1709"/>
      <c r="AWH12" s="1709"/>
      <c r="AWI12" s="1709"/>
      <c r="AWJ12" s="1709"/>
      <c r="AWK12" s="1709"/>
      <c r="AWL12" s="1709"/>
      <c r="AWM12" s="1709"/>
      <c r="AWN12" s="1709"/>
      <c r="AWO12" s="1709"/>
      <c r="AWP12" s="1709"/>
      <c r="AWQ12" s="1709"/>
      <c r="AWR12" s="1709"/>
      <c r="AWS12" s="1709"/>
      <c r="AWT12" s="1709"/>
      <c r="AWU12" s="1709"/>
      <c r="AWV12" s="1709"/>
      <c r="AWW12" s="1709"/>
      <c r="AWX12" s="1709"/>
      <c r="AWY12" s="1709"/>
      <c r="AWZ12" s="1709"/>
      <c r="AXA12" s="1709"/>
      <c r="AXB12" s="1709"/>
      <c r="AXC12" s="1709"/>
      <c r="AXD12" s="1709"/>
      <c r="AXE12" s="1709"/>
      <c r="AXF12" s="1709"/>
      <c r="AXG12" s="1709"/>
      <c r="AXH12" s="1709"/>
      <c r="AXI12" s="1709"/>
      <c r="AXJ12" s="1709"/>
      <c r="AXK12" s="1709"/>
      <c r="AXL12" s="1709"/>
      <c r="AXM12" s="1709"/>
      <c r="AXN12" s="1709"/>
      <c r="AXO12" s="1709"/>
      <c r="AXP12" s="1709"/>
      <c r="AXQ12" s="1709"/>
      <c r="AXR12" s="1709"/>
      <c r="AXS12" s="1709"/>
      <c r="AXT12" s="1709"/>
      <c r="AXU12" s="1709"/>
      <c r="AXV12" s="1709"/>
      <c r="AXW12" s="1709"/>
      <c r="AXX12" s="1709"/>
      <c r="AXY12" s="1709"/>
      <c r="AXZ12" s="1709"/>
      <c r="AYA12" s="1709"/>
      <c r="AYB12" s="1709"/>
      <c r="AYC12" s="1709"/>
      <c r="AYD12" s="1709"/>
      <c r="AYE12" s="1709"/>
      <c r="AYF12" s="1709"/>
      <c r="AYG12" s="1709"/>
      <c r="AYH12" s="1709"/>
      <c r="AYI12" s="1709"/>
      <c r="AYJ12" s="1709"/>
      <c r="AYK12" s="1709"/>
      <c r="AYL12" s="1709"/>
      <c r="AYM12" s="1709"/>
      <c r="AYN12" s="1709"/>
      <c r="AYO12" s="1709"/>
      <c r="AYP12" s="1709"/>
      <c r="AYQ12" s="1709"/>
      <c r="AYR12" s="1709"/>
      <c r="AYS12" s="1709"/>
      <c r="AYT12" s="1709"/>
      <c r="AYU12" s="1709"/>
      <c r="AYV12" s="1709"/>
      <c r="AYW12" s="1709"/>
      <c r="AYX12" s="1709"/>
      <c r="AYY12" s="1709"/>
      <c r="AYZ12" s="1709"/>
      <c r="AZA12" s="1709"/>
      <c r="AZB12" s="1709"/>
      <c r="AZC12" s="1709"/>
      <c r="AZD12" s="1709"/>
      <c r="AZE12" s="1709"/>
      <c r="AZF12" s="1709"/>
      <c r="AZG12" s="1709"/>
      <c r="AZH12" s="1709"/>
      <c r="AZI12" s="1709"/>
      <c r="AZJ12" s="1709"/>
      <c r="AZK12" s="1709"/>
      <c r="AZL12" s="1709"/>
      <c r="AZM12" s="1709"/>
      <c r="AZN12" s="1709"/>
      <c r="AZO12" s="1709"/>
      <c r="AZP12" s="1709"/>
      <c r="AZQ12" s="1709"/>
      <c r="AZR12" s="1709"/>
      <c r="AZS12" s="1709"/>
      <c r="AZT12" s="1709"/>
      <c r="AZU12" s="1709"/>
      <c r="AZV12" s="1709"/>
      <c r="AZW12" s="1709"/>
      <c r="AZX12" s="1709"/>
    </row>
    <row r="13" spans="1:1376" s="124" customFormat="1" ht="42" customHeight="1" x14ac:dyDescent="0.2">
      <c r="A13" s="3541"/>
      <c r="B13" s="3542"/>
      <c r="C13" s="3494"/>
      <c r="D13" s="3515"/>
      <c r="E13" s="3515"/>
      <c r="F13" s="3516"/>
      <c r="G13" s="3543"/>
      <c r="H13" s="3543"/>
      <c r="I13" s="3497"/>
      <c r="J13" s="3518">
        <v>38</v>
      </c>
      <c r="K13" s="3479" t="s">
        <v>838</v>
      </c>
      <c r="L13" s="3479" t="s">
        <v>839</v>
      </c>
      <c r="M13" s="3049">
        <v>4</v>
      </c>
      <c r="N13" s="3059" t="s">
        <v>840</v>
      </c>
      <c r="O13" s="3497" t="s">
        <v>841</v>
      </c>
      <c r="P13" s="3479" t="s">
        <v>842</v>
      </c>
      <c r="Q13" s="3481">
        <f>SUM(V13:V16)/R13</f>
        <v>0.66764214046822745</v>
      </c>
      <c r="R13" s="3529">
        <f>SUM(V13:V17)</f>
        <v>119600000</v>
      </c>
      <c r="S13" s="3479" t="s">
        <v>843</v>
      </c>
      <c r="T13" s="3492" t="s">
        <v>844</v>
      </c>
      <c r="U13" s="3520" t="s">
        <v>845</v>
      </c>
      <c r="V13" s="2636">
        <v>16425000</v>
      </c>
      <c r="W13" s="2011">
        <v>20</v>
      </c>
      <c r="X13" s="2019" t="s">
        <v>846</v>
      </c>
      <c r="Y13" s="3282">
        <v>294321</v>
      </c>
      <c r="Z13" s="3282">
        <v>283947</v>
      </c>
      <c r="AA13" s="3282">
        <v>135754</v>
      </c>
      <c r="AB13" s="3282">
        <v>44640</v>
      </c>
      <c r="AC13" s="3282">
        <v>308178</v>
      </c>
      <c r="AD13" s="3282">
        <v>89696</v>
      </c>
      <c r="AE13" s="3537"/>
      <c r="AF13" s="2030"/>
      <c r="AG13" s="2030"/>
      <c r="AH13" s="2030"/>
      <c r="AI13" s="2030"/>
      <c r="AJ13" s="2030"/>
      <c r="AK13" s="2030"/>
      <c r="AL13" s="2030"/>
      <c r="AM13" s="474"/>
      <c r="AN13" s="3150">
        <f>Y13+Z13</f>
        <v>578268</v>
      </c>
      <c r="AO13" s="3471">
        <v>43467</v>
      </c>
      <c r="AP13" s="3473">
        <v>43830</v>
      </c>
      <c r="AQ13" s="3475" t="s">
        <v>847</v>
      </c>
      <c r="AR13" s="1709"/>
      <c r="AS13" s="1709"/>
      <c r="AT13" s="1709"/>
      <c r="AU13" s="1709"/>
      <c r="AV13" s="1709"/>
      <c r="AW13" s="1709"/>
      <c r="AX13" s="1709"/>
      <c r="AY13" s="1709"/>
      <c r="AZ13" s="1709"/>
      <c r="BA13" s="1709"/>
      <c r="BB13" s="1709"/>
      <c r="BC13" s="1709"/>
      <c r="BD13" s="1709"/>
      <c r="BE13" s="1709"/>
      <c r="BF13" s="1709"/>
      <c r="BG13" s="1709"/>
      <c r="BH13" s="1709"/>
      <c r="BI13" s="1709"/>
      <c r="BJ13" s="1709"/>
      <c r="BK13" s="1709"/>
      <c r="BL13" s="1709"/>
      <c r="BM13" s="1709"/>
      <c r="BN13" s="1709"/>
      <c r="BO13" s="1709"/>
      <c r="BP13" s="1709"/>
      <c r="BQ13" s="1709"/>
      <c r="BR13" s="1709"/>
      <c r="BS13" s="1709"/>
      <c r="BT13" s="1709"/>
      <c r="BU13" s="1709"/>
      <c r="BV13" s="1709"/>
      <c r="BW13" s="1709"/>
      <c r="BX13" s="1709"/>
      <c r="BY13" s="1709"/>
      <c r="BZ13" s="1709"/>
      <c r="CA13" s="1709"/>
      <c r="CB13" s="1709"/>
      <c r="CC13" s="1709"/>
      <c r="CD13" s="1709"/>
      <c r="CE13" s="1709"/>
      <c r="CF13" s="1709"/>
      <c r="CG13" s="1709"/>
      <c r="CH13" s="1709"/>
      <c r="CI13" s="1709"/>
      <c r="CJ13" s="1709"/>
      <c r="CK13" s="1709"/>
      <c r="CL13" s="1709"/>
      <c r="CM13" s="1709"/>
      <c r="CN13" s="1709"/>
      <c r="CO13" s="1709"/>
      <c r="CP13" s="1709"/>
      <c r="CQ13" s="1709"/>
      <c r="CR13" s="1709"/>
      <c r="CS13" s="1709"/>
      <c r="CT13" s="1709"/>
      <c r="CU13" s="1709"/>
      <c r="CV13" s="1709"/>
      <c r="CW13" s="1709"/>
      <c r="CX13" s="1709"/>
      <c r="CY13" s="1709"/>
      <c r="CZ13" s="1709"/>
      <c r="DA13" s="1709"/>
      <c r="DB13" s="1709"/>
      <c r="DC13" s="1709"/>
      <c r="DD13" s="1709"/>
      <c r="DE13" s="1709"/>
      <c r="DF13" s="1709"/>
      <c r="DG13" s="1709"/>
      <c r="DH13" s="1709"/>
      <c r="DI13" s="1709"/>
      <c r="DJ13" s="1709"/>
      <c r="DK13" s="1709"/>
      <c r="DL13" s="1709"/>
      <c r="DM13" s="1709"/>
      <c r="DN13" s="1709"/>
      <c r="DO13" s="1709"/>
      <c r="DP13" s="1709"/>
      <c r="DQ13" s="1709"/>
      <c r="DR13" s="1709"/>
      <c r="DS13" s="1709"/>
      <c r="DT13" s="1709"/>
      <c r="DU13" s="1709"/>
      <c r="DV13" s="1709"/>
      <c r="DW13" s="1709"/>
      <c r="DX13" s="1709"/>
      <c r="DY13" s="1709"/>
      <c r="DZ13" s="1709"/>
      <c r="EA13" s="1709"/>
      <c r="EB13" s="1709"/>
      <c r="EC13" s="1709"/>
      <c r="ED13" s="1709"/>
      <c r="EE13" s="1709"/>
      <c r="EF13" s="1709"/>
      <c r="EG13" s="1709"/>
      <c r="EH13" s="1709"/>
      <c r="EI13" s="1709"/>
      <c r="EJ13" s="1709"/>
      <c r="EK13" s="1709"/>
      <c r="EL13" s="1709"/>
      <c r="EM13" s="1709"/>
      <c r="EN13" s="1709"/>
      <c r="EO13" s="1709"/>
      <c r="EP13" s="1709"/>
      <c r="EQ13" s="1709"/>
      <c r="ER13" s="1709"/>
      <c r="ES13" s="1709"/>
      <c r="ET13" s="1709"/>
      <c r="EU13" s="1709"/>
      <c r="EV13" s="1709"/>
      <c r="EW13" s="1709"/>
      <c r="EX13" s="1709"/>
      <c r="EY13" s="1709"/>
      <c r="EZ13" s="1709"/>
      <c r="FA13" s="1709"/>
      <c r="FB13" s="1709"/>
      <c r="FC13" s="1709"/>
      <c r="FD13" s="1709"/>
      <c r="FE13" s="1709"/>
      <c r="FF13" s="1709"/>
      <c r="FG13" s="1709"/>
      <c r="FH13" s="1709"/>
      <c r="FI13" s="1709"/>
      <c r="FJ13" s="1709"/>
      <c r="FK13" s="1709"/>
      <c r="FL13" s="1709"/>
      <c r="FM13" s="1709"/>
      <c r="FN13" s="1709"/>
      <c r="FO13" s="1709"/>
      <c r="FP13" s="1709"/>
      <c r="FQ13" s="1709"/>
      <c r="FR13" s="1709"/>
      <c r="FS13" s="1709"/>
      <c r="FT13" s="1709"/>
      <c r="FU13" s="1709"/>
      <c r="FV13" s="1709"/>
      <c r="FW13" s="1709"/>
      <c r="FX13" s="1709"/>
      <c r="FY13" s="1709"/>
      <c r="FZ13" s="1709"/>
      <c r="GA13" s="1709"/>
      <c r="GB13" s="1709"/>
      <c r="GC13" s="1709"/>
      <c r="GD13" s="1709"/>
      <c r="GE13" s="1709"/>
      <c r="GF13" s="1709"/>
      <c r="GG13" s="1709"/>
      <c r="GH13" s="1709"/>
      <c r="GI13" s="1709"/>
      <c r="GJ13" s="1709"/>
      <c r="GK13" s="1709"/>
      <c r="GL13" s="1709"/>
      <c r="GM13" s="1709"/>
      <c r="GN13" s="1709"/>
      <c r="GO13" s="1709"/>
      <c r="GP13" s="1709"/>
      <c r="GQ13" s="1709"/>
      <c r="GR13" s="1709"/>
      <c r="GS13" s="1709"/>
      <c r="GT13" s="1709"/>
      <c r="GU13" s="1709"/>
      <c r="GV13" s="1709"/>
      <c r="GW13" s="1709"/>
      <c r="GX13" s="1709"/>
      <c r="GY13" s="1709"/>
      <c r="GZ13" s="1709"/>
      <c r="HA13" s="1709"/>
      <c r="HB13" s="1709"/>
      <c r="HC13" s="1709"/>
      <c r="HD13" s="1709"/>
      <c r="HE13" s="1709"/>
      <c r="HF13" s="1709"/>
      <c r="HG13" s="1709"/>
      <c r="HH13" s="1709"/>
      <c r="HI13" s="1709"/>
      <c r="HJ13" s="1709"/>
      <c r="HK13" s="1709"/>
      <c r="HL13" s="1709"/>
      <c r="HM13" s="1709"/>
      <c r="HN13" s="1709"/>
      <c r="HO13" s="1709"/>
      <c r="HP13" s="1709"/>
      <c r="HQ13" s="1709"/>
      <c r="HR13" s="1709"/>
      <c r="HS13" s="1709"/>
      <c r="HT13" s="1709"/>
      <c r="HU13" s="1709"/>
      <c r="HV13" s="1709"/>
      <c r="HW13" s="1709"/>
      <c r="HX13" s="1709"/>
      <c r="HY13" s="1709"/>
      <c r="HZ13" s="1709"/>
      <c r="IA13" s="1709"/>
      <c r="IB13" s="1709"/>
      <c r="IC13" s="1709"/>
      <c r="ID13" s="1709"/>
      <c r="IE13" s="1709"/>
      <c r="IF13" s="1709"/>
      <c r="IG13" s="1709"/>
      <c r="IH13" s="1709"/>
      <c r="II13" s="1709"/>
      <c r="IJ13" s="1709"/>
      <c r="IK13" s="1709"/>
      <c r="IL13" s="1709"/>
      <c r="IM13" s="1709"/>
      <c r="IN13" s="1709"/>
      <c r="IO13" s="1709"/>
      <c r="IP13" s="1709"/>
      <c r="IQ13" s="1709"/>
      <c r="IR13" s="1709"/>
      <c r="IS13" s="1709"/>
      <c r="IT13" s="1709"/>
      <c r="IU13" s="1709"/>
      <c r="IV13" s="1709"/>
      <c r="IW13" s="1709"/>
      <c r="IX13" s="1709"/>
      <c r="IY13" s="1709"/>
      <c r="IZ13" s="1709"/>
      <c r="JA13" s="1709"/>
      <c r="JB13" s="1709"/>
      <c r="JC13" s="1709"/>
      <c r="JD13" s="1709"/>
      <c r="JE13" s="1709"/>
      <c r="JF13" s="1709"/>
      <c r="JG13" s="1709"/>
      <c r="JH13" s="1709"/>
      <c r="JI13" s="1709"/>
      <c r="JJ13" s="1709"/>
      <c r="JK13" s="1709"/>
      <c r="JL13" s="1709"/>
      <c r="JM13" s="1709"/>
      <c r="JN13" s="1709"/>
      <c r="JO13" s="1709"/>
      <c r="JP13" s="1709"/>
      <c r="JQ13" s="1709"/>
      <c r="JR13" s="1709"/>
      <c r="JS13" s="1709"/>
      <c r="JT13" s="1709"/>
      <c r="JU13" s="1709"/>
      <c r="JV13" s="1709"/>
      <c r="JW13" s="1709"/>
      <c r="JX13" s="1709"/>
      <c r="JY13" s="1709"/>
      <c r="JZ13" s="1709"/>
      <c r="KA13" s="1709"/>
      <c r="KB13" s="1709"/>
      <c r="KC13" s="1709"/>
      <c r="KD13" s="1709"/>
      <c r="KE13" s="1709"/>
      <c r="KF13" s="1709"/>
      <c r="KG13" s="1709"/>
      <c r="KH13" s="1709"/>
      <c r="KI13" s="1709"/>
      <c r="KJ13" s="1709"/>
      <c r="KK13" s="1709"/>
      <c r="KL13" s="1709"/>
      <c r="KM13" s="1709"/>
      <c r="KN13" s="1709"/>
      <c r="KO13" s="1709"/>
      <c r="KP13" s="1709"/>
      <c r="KQ13" s="1709"/>
      <c r="KR13" s="1709"/>
      <c r="KS13" s="1709"/>
      <c r="KT13" s="1709"/>
      <c r="KU13" s="1709"/>
      <c r="KV13" s="1709"/>
      <c r="KW13" s="1709"/>
      <c r="KX13" s="1709"/>
      <c r="KY13" s="1709"/>
      <c r="KZ13" s="1709"/>
      <c r="LA13" s="1709"/>
      <c r="LB13" s="1709"/>
      <c r="LC13" s="1709"/>
      <c r="LD13" s="1709"/>
      <c r="LE13" s="1709"/>
      <c r="LF13" s="1709"/>
      <c r="LG13" s="1709"/>
      <c r="LH13" s="1709"/>
      <c r="LI13" s="1709"/>
      <c r="LJ13" s="1709"/>
      <c r="LK13" s="1709"/>
      <c r="LL13" s="1709"/>
      <c r="LM13" s="1709"/>
      <c r="LN13" s="1709"/>
      <c r="LO13" s="1709"/>
      <c r="LP13" s="1709"/>
      <c r="LQ13" s="1709"/>
      <c r="LR13" s="1709"/>
      <c r="LS13" s="1709"/>
      <c r="LT13" s="1709"/>
      <c r="LU13" s="1709"/>
      <c r="LV13" s="1709"/>
      <c r="LW13" s="1709"/>
      <c r="LX13" s="1709"/>
      <c r="LY13" s="1709"/>
      <c r="LZ13" s="1709"/>
      <c r="MA13" s="1709"/>
      <c r="MB13" s="1709"/>
      <c r="MC13" s="1709"/>
      <c r="MD13" s="1709"/>
      <c r="ME13" s="1709"/>
      <c r="MF13" s="1709"/>
      <c r="MG13" s="1709"/>
      <c r="MH13" s="1709"/>
      <c r="MI13" s="1709"/>
      <c r="MJ13" s="1709"/>
      <c r="MK13" s="1709"/>
      <c r="ML13" s="1709"/>
      <c r="MM13" s="1709"/>
      <c r="MN13" s="1709"/>
      <c r="MO13" s="1709"/>
      <c r="MP13" s="1709"/>
      <c r="MQ13" s="1709"/>
      <c r="MR13" s="1709"/>
      <c r="MS13" s="1709"/>
      <c r="MT13" s="1709"/>
      <c r="MU13" s="1709"/>
      <c r="MV13" s="1709"/>
      <c r="MW13" s="1709"/>
      <c r="MX13" s="1709"/>
      <c r="MY13" s="1709"/>
      <c r="MZ13" s="1709"/>
      <c r="NA13" s="1709"/>
      <c r="NB13" s="1709"/>
      <c r="NC13" s="1709"/>
      <c r="ND13" s="1709"/>
      <c r="NE13" s="1709"/>
      <c r="NF13" s="1709"/>
      <c r="NG13" s="1709"/>
      <c r="NH13" s="1709"/>
      <c r="NI13" s="1709"/>
      <c r="NJ13" s="1709"/>
      <c r="NK13" s="1709"/>
      <c r="NL13" s="1709"/>
      <c r="NM13" s="1709"/>
      <c r="NN13" s="1709"/>
      <c r="NO13" s="1709"/>
      <c r="NP13" s="1709"/>
      <c r="NQ13" s="1709"/>
      <c r="NR13" s="1709"/>
      <c r="NS13" s="1709"/>
      <c r="NT13" s="1709"/>
      <c r="NU13" s="1709"/>
      <c r="NV13" s="1709"/>
      <c r="NW13" s="1709"/>
      <c r="NX13" s="1709"/>
      <c r="NY13" s="1709"/>
      <c r="NZ13" s="1709"/>
      <c r="OA13" s="1709"/>
      <c r="OB13" s="1709"/>
      <c r="OC13" s="1709"/>
      <c r="OD13" s="1709"/>
      <c r="OE13" s="1709"/>
      <c r="OF13" s="1709"/>
      <c r="OG13" s="1709"/>
      <c r="OH13" s="1709"/>
      <c r="OI13" s="1709"/>
      <c r="OJ13" s="1709"/>
      <c r="OK13" s="1709"/>
      <c r="OL13" s="1709"/>
      <c r="OM13" s="1709"/>
      <c r="ON13" s="1709"/>
      <c r="OO13" s="1709"/>
      <c r="OP13" s="1709"/>
      <c r="OQ13" s="1709"/>
      <c r="OR13" s="1709"/>
      <c r="OS13" s="1709"/>
      <c r="OT13" s="1709"/>
      <c r="OU13" s="1709"/>
      <c r="OV13" s="1709"/>
      <c r="OW13" s="1709"/>
      <c r="OX13" s="1709"/>
      <c r="OY13" s="1709"/>
      <c r="OZ13" s="1709"/>
      <c r="PA13" s="1709"/>
      <c r="PB13" s="1709"/>
      <c r="PC13" s="1709"/>
      <c r="PD13" s="1709"/>
      <c r="PE13" s="1709"/>
      <c r="PF13" s="1709"/>
      <c r="PG13" s="1709"/>
      <c r="PH13" s="1709"/>
      <c r="PI13" s="1709"/>
      <c r="PJ13" s="1709"/>
      <c r="PK13" s="1709"/>
      <c r="PL13" s="1709"/>
      <c r="PM13" s="1709"/>
      <c r="PN13" s="1709"/>
      <c r="PO13" s="1709"/>
      <c r="PP13" s="1709"/>
      <c r="PQ13" s="1709"/>
      <c r="PR13" s="1709"/>
      <c r="PS13" s="1709"/>
      <c r="PT13" s="1709"/>
      <c r="PU13" s="1709"/>
      <c r="PV13" s="1709"/>
      <c r="PW13" s="1709"/>
      <c r="PX13" s="1709"/>
      <c r="PY13" s="1709"/>
      <c r="PZ13" s="1709"/>
      <c r="QA13" s="1709"/>
      <c r="QB13" s="1709"/>
      <c r="QC13" s="1709"/>
      <c r="QD13" s="1709"/>
      <c r="QE13" s="1709"/>
      <c r="QF13" s="1709"/>
      <c r="QG13" s="1709"/>
      <c r="QH13" s="1709"/>
      <c r="QI13" s="1709"/>
      <c r="QJ13" s="1709"/>
      <c r="QK13" s="1709"/>
      <c r="QL13" s="1709"/>
      <c r="QM13" s="1709"/>
      <c r="QN13" s="1709"/>
      <c r="QO13" s="1709"/>
      <c r="QP13" s="1709"/>
      <c r="QQ13" s="1709"/>
      <c r="QR13" s="1709"/>
      <c r="QS13" s="1709"/>
      <c r="QT13" s="1709"/>
      <c r="QU13" s="1709"/>
      <c r="QV13" s="1709"/>
      <c r="QW13" s="1709"/>
      <c r="QX13" s="1709"/>
      <c r="QY13" s="1709"/>
      <c r="QZ13" s="1709"/>
      <c r="RA13" s="1709"/>
      <c r="RB13" s="1709"/>
      <c r="RC13" s="1709"/>
      <c r="RD13" s="1709"/>
      <c r="RE13" s="1709"/>
      <c r="RF13" s="1709"/>
      <c r="RG13" s="1709"/>
      <c r="RH13" s="1709"/>
      <c r="RI13" s="1709"/>
      <c r="RJ13" s="1709"/>
      <c r="RK13" s="1709"/>
      <c r="RL13" s="1709"/>
      <c r="RM13" s="1709"/>
      <c r="RN13" s="1709"/>
      <c r="RO13" s="1709"/>
      <c r="RP13" s="1709"/>
      <c r="RQ13" s="1709"/>
      <c r="RR13" s="1709"/>
      <c r="RS13" s="1709"/>
      <c r="RT13" s="1709"/>
      <c r="RU13" s="1709"/>
      <c r="RV13" s="1709"/>
      <c r="RW13" s="1709"/>
      <c r="RX13" s="1709"/>
      <c r="RY13" s="1709"/>
      <c r="RZ13" s="1709"/>
      <c r="SA13" s="1709"/>
      <c r="SB13" s="1709"/>
      <c r="SC13" s="1709"/>
      <c r="SD13" s="1709"/>
      <c r="SE13" s="1709"/>
      <c r="SF13" s="1709"/>
      <c r="SG13" s="1709"/>
      <c r="SH13" s="1709"/>
      <c r="SI13" s="1709"/>
      <c r="SJ13" s="1709"/>
      <c r="SK13" s="1709"/>
      <c r="SL13" s="1709"/>
      <c r="SM13" s="1709"/>
      <c r="SN13" s="1709"/>
      <c r="SO13" s="1709"/>
      <c r="SP13" s="1709"/>
      <c r="SQ13" s="1709"/>
      <c r="SR13" s="1709"/>
      <c r="SS13" s="1709"/>
      <c r="ST13" s="1709"/>
      <c r="SU13" s="1709"/>
      <c r="SV13" s="1709"/>
      <c r="SW13" s="1709"/>
      <c r="SX13" s="1709"/>
      <c r="SY13" s="1709"/>
      <c r="SZ13" s="1709"/>
      <c r="TA13" s="1709"/>
      <c r="TB13" s="1709"/>
      <c r="TC13" s="1709"/>
      <c r="TD13" s="1709"/>
      <c r="TE13" s="1709"/>
      <c r="TF13" s="1709"/>
      <c r="TG13" s="1709"/>
      <c r="TH13" s="1709"/>
      <c r="TI13" s="1709"/>
      <c r="TJ13" s="1709"/>
      <c r="TK13" s="1709"/>
      <c r="TL13" s="1709"/>
      <c r="TM13" s="1709"/>
      <c r="TN13" s="1709"/>
      <c r="TO13" s="1709"/>
      <c r="TP13" s="1709"/>
      <c r="TQ13" s="1709"/>
      <c r="TR13" s="1709"/>
      <c r="TS13" s="1709"/>
      <c r="TT13" s="1709"/>
      <c r="TU13" s="1709"/>
      <c r="TV13" s="1709"/>
      <c r="TW13" s="1709"/>
      <c r="TX13" s="1709"/>
      <c r="TY13" s="1709"/>
      <c r="TZ13" s="1709"/>
      <c r="UA13" s="1709"/>
      <c r="UB13" s="1709"/>
      <c r="UC13" s="1709"/>
      <c r="UD13" s="1709"/>
      <c r="UE13" s="1709"/>
      <c r="UF13" s="1709"/>
      <c r="UG13" s="1709"/>
      <c r="UH13" s="1709"/>
      <c r="UI13" s="1709"/>
      <c r="UJ13" s="1709"/>
      <c r="UK13" s="1709"/>
      <c r="UL13" s="1709"/>
      <c r="UM13" s="1709"/>
      <c r="UN13" s="1709"/>
      <c r="UO13" s="1709"/>
      <c r="UP13" s="1709"/>
      <c r="UQ13" s="1709"/>
      <c r="UR13" s="1709"/>
      <c r="US13" s="1709"/>
      <c r="UT13" s="1709"/>
      <c r="UU13" s="1709"/>
      <c r="UV13" s="1709"/>
      <c r="UW13" s="1709"/>
      <c r="UX13" s="1709"/>
      <c r="UY13" s="1709"/>
      <c r="UZ13" s="1709"/>
      <c r="VA13" s="1709"/>
      <c r="VB13" s="1709"/>
      <c r="VC13" s="1709"/>
      <c r="VD13" s="1709"/>
      <c r="VE13" s="1709"/>
      <c r="VF13" s="1709"/>
      <c r="VG13" s="1709"/>
      <c r="VH13" s="1709"/>
      <c r="VI13" s="1709"/>
      <c r="VJ13" s="1709"/>
      <c r="VK13" s="1709"/>
      <c r="VL13" s="1709"/>
      <c r="VM13" s="1709"/>
      <c r="VN13" s="1709"/>
      <c r="VO13" s="1709"/>
      <c r="VP13" s="1709"/>
      <c r="VQ13" s="1709"/>
      <c r="VR13" s="1709"/>
      <c r="VS13" s="1709"/>
      <c r="VT13" s="1709"/>
      <c r="VU13" s="1709"/>
      <c r="VV13" s="1709"/>
      <c r="VW13" s="1709"/>
      <c r="VX13" s="1709"/>
      <c r="VY13" s="1709"/>
      <c r="VZ13" s="1709"/>
      <c r="WA13" s="1709"/>
      <c r="WB13" s="1709"/>
      <c r="WC13" s="1709"/>
      <c r="WD13" s="1709"/>
      <c r="WE13" s="1709"/>
      <c r="WF13" s="1709"/>
      <c r="WG13" s="1709"/>
      <c r="WH13" s="1709"/>
      <c r="WI13" s="1709"/>
      <c r="WJ13" s="1709"/>
      <c r="WK13" s="1709"/>
      <c r="WL13" s="1709"/>
      <c r="WM13" s="1709"/>
      <c r="WN13" s="1709"/>
      <c r="WO13" s="1709"/>
      <c r="WP13" s="1709"/>
      <c r="WQ13" s="1709"/>
      <c r="WR13" s="1709"/>
      <c r="WS13" s="1709"/>
      <c r="WT13" s="1709"/>
      <c r="WU13" s="1709"/>
      <c r="WV13" s="1709"/>
      <c r="WW13" s="1709"/>
      <c r="WX13" s="1709"/>
      <c r="WY13" s="1709"/>
      <c r="WZ13" s="1709"/>
      <c r="XA13" s="1709"/>
      <c r="XB13" s="1709"/>
      <c r="XC13" s="1709"/>
      <c r="XD13" s="1709"/>
      <c r="XE13" s="1709"/>
      <c r="XF13" s="1709"/>
      <c r="XG13" s="1709"/>
      <c r="XH13" s="1709"/>
      <c r="XI13" s="1709"/>
      <c r="XJ13" s="1709"/>
      <c r="XK13" s="1709"/>
      <c r="XL13" s="1709"/>
      <c r="XM13" s="1709"/>
      <c r="XN13" s="1709"/>
      <c r="XO13" s="1709"/>
      <c r="XP13" s="1709"/>
      <c r="XQ13" s="1709"/>
      <c r="XR13" s="1709"/>
      <c r="XS13" s="1709"/>
      <c r="XT13" s="1709"/>
      <c r="XU13" s="1709"/>
      <c r="XV13" s="1709"/>
      <c r="XW13" s="1709"/>
      <c r="XX13" s="1709"/>
      <c r="XY13" s="1709"/>
      <c r="XZ13" s="1709"/>
      <c r="YA13" s="1709"/>
      <c r="YB13" s="1709"/>
      <c r="YC13" s="1709"/>
      <c r="YD13" s="1709"/>
      <c r="YE13" s="1709"/>
      <c r="YF13" s="1709"/>
      <c r="YG13" s="1709"/>
      <c r="YH13" s="1709"/>
      <c r="YI13" s="1709"/>
      <c r="YJ13" s="1709"/>
      <c r="YK13" s="1709"/>
      <c r="YL13" s="1709"/>
      <c r="YM13" s="1709"/>
      <c r="YN13" s="1709"/>
      <c r="YO13" s="1709"/>
      <c r="YP13" s="1709"/>
      <c r="YQ13" s="1709"/>
      <c r="YR13" s="1709"/>
      <c r="YS13" s="1709"/>
      <c r="YT13" s="1709"/>
      <c r="YU13" s="1709"/>
      <c r="YV13" s="1709"/>
      <c r="YW13" s="1709"/>
      <c r="YX13" s="1709"/>
      <c r="YY13" s="1709"/>
      <c r="YZ13" s="1709"/>
      <c r="ZA13" s="1709"/>
      <c r="ZB13" s="1709"/>
      <c r="ZC13" s="1709"/>
      <c r="ZD13" s="1709"/>
      <c r="ZE13" s="1709"/>
      <c r="ZF13" s="1709"/>
      <c r="ZG13" s="1709"/>
      <c r="ZH13" s="1709"/>
      <c r="ZI13" s="1709"/>
      <c r="ZJ13" s="1709"/>
      <c r="ZK13" s="1709"/>
      <c r="ZL13" s="1709"/>
      <c r="ZM13" s="1709"/>
      <c r="ZN13" s="1709"/>
      <c r="ZO13" s="1709"/>
      <c r="ZP13" s="1709"/>
      <c r="ZQ13" s="1709"/>
      <c r="ZR13" s="1709"/>
      <c r="ZS13" s="1709"/>
      <c r="ZT13" s="1709"/>
      <c r="ZU13" s="1709"/>
      <c r="ZV13" s="1709"/>
      <c r="ZW13" s="1709"/>
      <c r="ZX13" s="1709"/>
      <c r="ZY13" s="1709"/>
      <c r="ZZ13" s="1709"/>
      <c r="AAA13" s="1709"/>
      <c r="AAB13" s="1709"/>
      <c r="AAC13" s="1709"/>
      <c r="AAD13" s="1709"/>
      <c r="AAE13" s="1709"/>
      <c r="AAF13" s="1709"/>
      <c r="AAG13" s="1709"/>
      <c r="AAH13" s="1709"/>
      <c r="AAI13" s="1709"/>
      <c r="AAJ13" s="1709"/>
      <c r="AAK13" s="1709"/>
      <c r="AAL13" s="1709"/>
      <c r="AAM13" s="1709"/>
      <c r="AAN13" s="1709"/>
      <c r="AAO13" s="1709"/>
      <c r="AAP13" s="1709"/>
      <c r="AAQ13" s="1709"/>
      <c r="AAR13" s="1709"/>
      <c r="AAS13" s="1709"/>
      <c r="AAT13" s="1709"/>
      <c r="AAU13" s="1709"/>
      <c r="AAV13" s="1709"/>
      <c r="AAW13" s="1709"/>
      <c r="AAX13" s="1709"/>
      <c r="AAY13" s="1709"/>
      <c r="AAZ13" s="1709"/>
      <c r="ABA13" s="1709"/>
      <c r="ABB13" s="1709"/>
      <c r="ABC13" s="1709"/>
      <c r="ABD13" s="1709"/>
      <c r="ABE13" s="1709"/>
      <c r="ABF13" s="1709"/>
      <c r="ABG13" s="1709"/>
      <c r="ABH13" s="1709"/>
      <c r="ABI13" s="1709"/>
      <c r="ABJ13" s="1709"/>
      <c r="ABK13" s="1709"/>
      <c r="ABL13" s="1709"/>
      <c r="ABM13" s="1709"/>
      <c r="ABN13" s="1709"/>
      <c r="ABO13" s="1709"/>
      <c r="ABP13" s="1709"/>
      <c r="ABQ13" s="1709"/>
      <c r="ABR13" s="1709"/>
      <c r="ABS13" s="1709"/>
      <c r="ABT13" s="1709"/>
      <c r="ABU13" s="1709"/>
      <c r="ABV13" s="1709"/>
      <c r="ABW13" s="1709"/>
      <c r="ABX13" s="1709"/>
      <c r="ABY13" s="1709"/>
      <c r="ABZ13" s="1709"/>
      <c r="ACA13" s="1709"/>
      <c r="ACB13" s="1709"/>
      <c r="ACC13" s="1709"/>
      <c r="ACD13" s="1709"/>
      <c r="ACE13" s="1709"/>
      <c r="ACF13" s="1709"/>
      <c r="ACG13" s="1709"/>
      <c r="ACH13" s="1709"/>
      <c r="ACI13" s="1709"/>
      <c r="ACJ13" s="1709"/>
      <c r="ACK13" s="1709"/>
      <c r="ACL13" s="1709"/>
      <c r="ACM13" s="1709"/>
      <c r="ACN13" s="1709"/>
      <c r="ACO13" s="1709"/>
      <c r="ACP13" s="1709"/>
      <c r="ACQ13" s="1709"/>
      <c r="ACR13" s="1709"/>
      <c r="ACS13" s="1709"/>
      <c r="ACT13" s="1709"/>
      <c r="ACU13" s="1709"/>
      <c r="ACV13" s="1709"/>
      <c r="ACW13" s="1709"/>
      <c r="ACX13" s="1709"/>
      <c r="ACY13" s="1709"/>
      <c r="ACZ13" s="1709"/>
      <c r="ADA13" s="1709"/>
      <c r="ADB13" s="1709"/>
      <c r="ADC13" s="1709"/>
      <c r="ADD13" s="1709"/>
      <c r="ADE13" s="1709"/>
      <c r="ADF13" s="1709"/>
      <c r="ADG13" s="1709"/>
      <c r="ADH13" s="1709"/>
      <c r="ADI13" s="1709"/>
      <c r="ADJ13" s="1709"/>
      <c r="ADK13" s="1709"/>
      <c r="ADL13" s="1709"/>
      <c r="ADM13" s="1709"/>
      <c r="ADN13" s="1709"/>
      <c r="ADO13" s="1709"/>
      <c r="ADP13" s="1709"/>
      <c r="ADQ13" s="1709"/>
      <c r="ADR13" s="1709"/>
      <c r="ADS13" s="1709"/>
      <c r="ADT13" s="1709"/>
      <c r="ADU13" s="1709"/>
      <c r="ADV13" s="1709"/>
      <c r="ADW13" s="1709"/>
      <c r="ADX13" s="1709"/>
      <c r="ADY13" s="1709"/>
      <c r="ADZ13" s="1709"/>
      <c r="AEA13" s="1709"/>
      <c r="AEB13" s="1709"/>
      <c r="AEC13" s="1709"/>
      <c r="AED13" s="1709"/>
      <c r="AEE13" s="1709"/>
      <c r="AEF13" s="1709"/>
      <c r="AEG13" s="1709"/>
      <c r="AEH13" s="1709"/>
      <c r="AEI13" s="1709"/>
      <c r="AEJ13" s="1709"/>
      <c r="AEK13" s="1709"/>
      <c r="AEL13" s="1709"/>
      <c r="AEM13" s="1709"/>
      <c r="AEN13" s="1709"/>
      <c r="AEO13" s="1709"/>
      <c r="AEP13" s="1709"/>
      <c r="AEQ13" s="1709"/>
      <c r="AER13" s="1709"/>
      <c r="AES13" s="1709"/>
      <c r="AET13" s="1709"/>
      <c r="AEU13" s="1709"/>
      <c r="AEV13" s="1709"/>
      <c r="AEW13" s="1709"/>
      <c r="AEX13" s="1709"/>
      <c r="AEY13" s="1709"/>
      <c r="AEZ13" s="1709"/>
      <c r="AFA13" s="1709"/>
      <c r="AFB13" s="1709"/>
      <c r="AFC13" s="1709"/>
      <c r="AFD13" s="1709"/>
      <c r="AFE13" s="1709"/>
      <c r="AFF13" s="1709"/>
      <c r="AFG13" s="1709"/>
      <c r="AFH13" s="1709"/>
      <c r="AFI13" s="1709"/>
      <c r="AFJ13" s="1709"/>
      <c r="AFK13" s="1709"/>
      <c r="AFL13" s="1709"/>
      <c r="AFM13" s="1709"/>
      <c r="AFN13" s="1709"/>
      <c r="AFO13" s="1709"/>
      <c r="AFP13" s="1709"/>
      <c r="AFQ13" s="1709"/>
      <c r="AFR13" s="1709"/>
      <c r="AFS13" s="1709"/>
      <c r="AFT13" s="1709"/>
      <c r="AFU13" s="1709"/>
      <c r="AFV13" s="1709"/>
      <c r="AFW13" s="1709"/>
      <c r="AFX13" s="1709"/>
      <c r="AFY13" s="1709"/>
      <c r="AFZ13" s="1709"/>
      <c r="AGA13" s="1709"/>
      <c r="AGB13" s="1709"/>
      <c r="AGC13" s="1709"/>
      <c r="AGD13" s="1709"/>
      <c r="AGE13" s="1709"/>
      <c r="AGF13" s="1709"/>
      <c r="AGG13" s="1709"/>
      <c r="AGH13" s="1709"/>
      <c r="AGI13" s="1709"/>
      <c r="AGJ13" s="1709"/>
      <c r="AGK13" s="1709"/>
      <c r="AGL13" s="1709"/>
      <c r="AGM13" s="1709"/>
      <c r="AGN13" s="1709"/>
      <c r="AGO13" s="1709"/>
      <c r="AGP13" s="1709"/>
      <c r="AGQ13" s="1709"/>
      <c r="AGR13" s="1709"/>
      <c r="AGS13" s="1709"/>
      <c r="AGT13" s="1709"/>
      <c r="AGU13" s="1709"/>
      <c r="AGV13" s="1709"/>
      <c r="AGW13" s="1709"/>
      <c r="AGX13" s="1709"/>
      <c r="AGY13" s="1709"/>
      <c r="AGZ13" s="1709"/>
      <c r="AHA13" s="1709"/>
      <c r="AHB13" s="1709"/>
      <c r="AHC13" s="1709"/>
      <c r="AHD13" s="1709"/>
      <c r="AHE13" s="1709"/>
      <c r="AHF13" s="1709"/>
      <c r="AHG13" s="1709"/>
      <c r="AHH13" s="1709"/>
      <c r="AHI13" s="1709"/>
      <c r="AHJ13" s="1709"/>
      <c r="AHK13" s="1709"/>
      <c r="AHL13" s="1709"/>
      <c r="AHM13" s="1709"/>
      <c r="AHN13" s="1709"/>
      <c r="AHO13" s="1709"/>
      <c r="AHP13" s="1709"/>
      <c r="AHQ13" s="1709"/>
      <c r="AHR13" s="1709"/>
      <c r="AHS13" s="1709"/>
      <c r="AHT13" s="1709"/>
      <c r="AHU13" s="1709"/>
      <c r="AHV13" s="1709"/>
      <c r="AHW13" s="1709"/>
      <c r="AHX13" s="1709"/>
      <c r="AHY13" s="1709"/>
      <c r="AHZ13" s="1709"/>
      <c r="AIA13" s="1709"/>
      <c r="AIB13" s="1709"/>
      <c r="AIC13" s="1709"/>
      <c r="AID13" s="1709"/>
      <c r="AIE13" s="1709"/>
      <c r="AIF13" s="1709"/>
      <c r="AIG13" s="1709"/>
      <c r="AIH13" s="1709"/>
      <c r="AII13" s="1709"/>
      <c r="AIJ13" s="1709"/>
      <c r="AIK13" s="1709"/>
      <c r="AIL13" s="1709"/>
      <c r="AIM13" s="1709"/>
      <c r="AIN13" s="1709"/>
      <c r="AIO13" s="1709"/>
      <c r="AIP13" s="1709"/>
      <c r="AIQ13" s="1709"/>
      <c r="AIR13" s="1709"/>
      <c r="AIS13" s="1709"/>
      <c r="AIT13" s="1709"/>
      <c r="AIU13" s="1709"/>
      <c r="AIV13" s="1709"/>
      <c r="AIW13" s="1709"/>
      <c r="AIX13" s="1709"/>
      <c r="AIY13" s="1709"/>
      <c r="AIZ13" s="1709"/>
      <c r="AJA13" s="1709"/>
      <c r="AJB13" s="1709"/>
      <c r="AJC13" s="1709"/>
      <c r="AJD13" s="1709"/>
      <c r="AJE13" s="1709"/>
      <c r="AJF13" s="1709"/>
      <c r="AJG13" s="1709"/>
      <c r="AJH13" s="1709"/>
      <c r="AJI13" s="1709"/>
      <c r="AJJ13" s="1709"/>
      <c r="AJK13" s="1709"/>
      <c r="AJL13" s="1709"/>
      <c r="AJM13" s="1709"/>
      <c r="AJN13" s="1709"/>
      <c r="AJO13" s="1709"/>
      <c r="AJP13" s="1709"/>
      <c r="AJQ13" s="1709"/>
      <c r="AJR13" s="1709"/>
      <c r="AJS13" s="1709"/>
      <c r="AJT13" s="1709"/>
      <c r="AJU13" s="1709"/>
      <c r="AJV13" s="1709"/>
      <c r="AJW13" s="1709"/>
      <c r="AJX13" s="1709"/>
      <c r="AJY13" s="1709"/>
      <c r="AJZ13" s="1709"/>
      <c r="AKA13" s="1709"/>
      <c r="AKB13" s="1709"/>
      <c r="AKC13" s="1709"/>
      <c r="AKD13" s="1709"/>
      <c r="AKE13" s="1709"/>
      <c r="AKF13" s="1709"/>
      <c r="AKG13" s="1709"/>
      <c r="AKH13" s="1709"/>
      <c r="AKI13" s="1709"/>
      <c r="AKJ13" s="1709"/>
      <c r="AKK13" s="1709"/>
      <c r="AKL13" s="1709"/>
      <c r="AKM13" s="1709"/>
      <c r="AKN13" s="1709"/>
      <c r="AKO13" s="1709"/>
      <c r="AKP13" s="1709"/>
      <c r="AKQ13" s="1709"/>
      <c r="AKR13" s="1709"/>
      <c r="AKS13" s="1709"/>
      <c r="AKT13" s="1709"/>
      <c r="AKU13" s="1709"/>
      <c r="AKV13" s="1709"/>
      <c r="AKW13" s="1709"/>
      <c r="AKX13" s="1709"/>
      <c r="AKY13" s="1709"/>
      <c r="AKZ13" s="1709"/>
      <c r="ALA13" s="1709"/>
      <c r="ALB13" s="1709"/>
      <c r="ALC13" s="1709"/>
      <c r="ALD13" s="1709"/>
      <c r="ALE13" s="1709"/>
      <c r="ALF13" s="1709"/>
      <c r="ALG13" s="1709"/>
      <c r="ALH13" s="1709"/>
      <c r="ALI13" s="1709"/>
      <c r="ALJ13" s="1709"/>
      <c r="ALK13" s="1709"/>
      <c r="ALL13" s="1709"/>
      <c r="ALM13" s="1709"/>
      <c r="ALN13" s="1709"/>
      <c r="ALO13" s="1709"/>
      <c r="ALP13" s="1709"/>
      <c r="ALQ13" s="1709"/>
      <c r="ALR13" s="1709"/>
      <c r="ALS13" s="1709"/>
      <c r="ALT13" s="1709"/>
      <c r="ALU13" s="1709"/>
      <c r="ALV13" s="1709"/>
      <c r="ALW13" s="1709"/>
      <c r="ALX13" s="1709"/>
      <c r="ALY13" s="1709"/>
      <c r="ALZ13" s="1709"/>
      <c r="AMA13" s="1709"/>
      <c r="AMB13" s="1709"/>
      <c r="AMC13" s="1709"/>
      <c r="AMD13" s="1709"/>
      <c r="AME13" s="1709"/>
      <c r="AMF13" s="1709"/>
      <c r="AMG13" s="1709"/>
      <c r="AMH13" s="1709"/>
      <c r="AMI13" s="1709"/>
      <c r="AMJ13" s="1709"/>
      <c r="AMK13" s="1709"/>
      <c r="AML13" s="1709"/>
      <c r="AMM13" s="1709"/>
      <c r="AMN13" s="1709"/>
      <c r="AMO13" s="1709"/>
      <c r="AMP13" s="1709"/>
      <c r="AMQ13" s="1709"/>
      <c r="AMR13" s="1709"/>
      <c r="AMS13" s="1709"/>
      <c r="AMT13" s="1709"/>
      <c r="AMU13" s="1709"/>
      <c r="AMV13" s="1709"/>
      <c r="AMW13" s="1709"/>
      <c r="AMX13" s="1709"/>
      <c r="AMY13" s="1709"/>
      <c r="AMZ13" s="1709"/>
      <c r="ANA13" s="1709"/>
      <c r="ANB13" s="1709"/>
      <c r="ANC13" s="1709"/>
      <c r="AND13" s="1709"/>
      <c r="ANE13" s="1709"/>
      <c r="ANF13" s="1709"/>
      <c r="ANG13" s="1709"/>
      <c r="ANH13" s="1709"/>
      <c r="ANI13" s="1709"/>
      <c r="ANJ13" s="1709"/>
      <c r="ANK13" s="1709"/>
      <c r="ANL13" s="1709"/>
      <c r="ANM13" s="1709"/>
      <c r="ANN13" s="1709"/>
      <c r="ANO13" s="1709"/>
      <c r="ANP13" s="1709"/>
      <c r="ANQ13" s="1709"/>
      <c r="ANR13" s="1709"/>
      <c r="ANS13" s="1709"/>
      <c r="ANT13" s="1709"/>
      <c r="ANU13" s="1709"/>
      <c r="ANV13" s="1709"/>
      <c r="ANW13" s="1709"/>
      <c r="ANX13" s="1709"/>
      <c r="ANY13" s="1709"/>
      <c r="ANZ13" s="1709"/>
      <c r="AOA13" s="1709"/>
      <c r="AOB13" s="1709"/>
      <c r="AOC13" s="1709"/>
      <c r="AOD13" s="1709"/>
      <c r="AOE13" s="1709"/>
      <c r="AOF13" s="1709"/>
      <c r="AOG13" s="1709"/>
      <c r="AOH13" s="1709"/>
      <c r="AOI13" s="1709"/>
      <c r="AOJ13" s="1709"/>
      <c r="AOK13" s="1709"/>
      <c r="AOL13" s="1709"/>
      <c r="AOM13" s="1709"/>
      <c r="AON13" s="1709"/>
      <c r="AOO13" s="1709"/>
      <c r="AOP13" s="1709"/>
      <c r="AOQ13" s="1709"/>
      <c r="AOR13" s="1709"/>
      <c r="AOS13" s="1709"/>
      <c r="AOT13" s="1709"/>
      <c r="AOU13" s="1709"/>
      <c r="AOV13" s="1709"/>
      <c r="AOW13" s="1709"/>
      <c r="AOX13" s="1709"/>
      <c r="AOY13" s="1709"/>
      <c r="AOZ13" s="1709"/>
      <c r="APA13" s="1709"/>
      <c r="APB13" s="1709"/>
      <c r="APC13" s="1709"/>
      <c r="APD13" s="1709"/>
      <c r="APE13" s="1709"/>
      <c r="APF13" s="1709"/>
      <c r="APG13" s="1709"/>
      <c r="APH13" s="1709"/>
      <c r="API13" s="1709"/>
      <c r="APJ13" s="1709"/>
      <c r="APK13" s="1709"/>
      <c r="APL13" s="1709"/>
      <c r="APM13" s="1709"/>
      <c r="APN13" s="1709"/>
      <c r="APO13" s="1709"/>
      <c r="APP13" s="1709"/>
      <c r="APQ13" s="1709"/>
      <c r="APR13" s="1709"/>
      <c r="APS13" s="1709"/>
      <c r="APT13" s="1709"/>
      <c r="APU13" s="1709"/>
      <c r="APV13" s="1709"/>
      <c r="APW13" s="1709"/>
      <c r="APX13" s="1709"/>
      <c r="APY13" s="1709"/>
      <c r="APZ13" s="1709"/>
      <c r="AQA13" s="1709"/>
      <c r="AQB13" s="1709"/>
      <c r="AQC13" s="1709"/>
      <c r="AQD13" s="1709"/>
      <c r="AQE13" s="1709"/>
      <c r="AQF13" s="1709"/>
      <c r="AQG13" s="1709"/>
      <c r="AQH13" s="1709"/>
      <c r="AQI13" s="1709"/>
      <c r="AQJ13" s="1709"/>
      <c r="AQK13" s="1709"/>
      <c r="AQL13" s="1709"/>
      <c r="AQM13" s="1709"/>
      <c r="AQN13" s="1709"/>
      <c r="AQO13" s="1709"/>
      <c r="AQP13" s="1709"/>
      <c r="AQQ13" s="1709"/>
      <c r="AQR13" s="1709"/>
      <c r="AQS13" s="1709"/>
      <c r="AQT13" s="1709"/>
      <c r="AQU13" s="1709"/>
      <c r="AQV13" s="1709"/>
      <c r="AQW13" s="1709"/>
      <c r="AQX13" s="1709"/>
      <c r="AQY13" s="1709"/>
      <c r="AQZ13" s="1709"/>
      <c r="ARA13" s="1709"/>
      <c r="ARB13" s="1709"/>
      <c r="ARC13" s="1709"/>
      <c r="ARD13" s="1709"/>
      <c r="ARE13" s="1709"/>
      <c r="ARF13" s="1709"/>
      <c r="ARG13" s="1709"/>
      <c r="ARH13" s="1709"/>
      <c r="ARI13" s="1709"/>
      <c r="ARJ13" s="1709"/>
      <c r="ARK13" s="1709"/>
      <c r="ARL13" s="1709"/>
      <c r="ARM13" s="1709"/>
      <c r="ARN13" s="1709"/>
      <c r="ARO13" s="1709"/>
      <c r="ARP13" s="1709"/>
      <c r="ARQ13" s="1709"/>
      <c r="ARR13" s="1709"/>
      <c r="ARS13" s="1709"/>
      <c r="ART13" s="1709"/>
      <c r="ARU13" s="1709"/>
      <c r="ARV13" s="1709"/>
      <c r="ARW13" s="1709"/>
      <c r="ARX13" s="1709"/>
      <c r="ARY13" s="1709"/>
      <c r="ARZ13" s="1709"/>
      <c r="ASA13" s="1709"/>
      <c r="ASB13" s="1709"/>
      <c r="ASC13" s="1709"/>
      <c r="ASD13" s="1709"/>
      <c r="ASE13" s="1709"/>
      <c r="ASF13" s="1709"/>
      <c r="ASG13" s="1709"/>
      <c r="ASH13" s="1709"/>
      <c r="ASI13" s="1709"/>
      <c r="ASJ13" s="1709"/>
      <c r="ASK13" s="1709"/>
      <c r="ASL13" s="1709"/>
      <c r="ASM13" s="1709"/>
      <c r="ASN13" s="1709"/>
      <c r="ASO13" s="1709"/>
      <c r="ASP13" s="1709"/>
      <c r="ASQ13" s="1709"/>
      <c r="ASR13" s="1709"/>
      <c r="ASS13" s="1709"/>
      <c r="AST13" s="1709"/>
      <c r="ASU13" s="1709"/>
      <c r="ASV13" s="1709"/>
      <c r="ASW13" s="1709"/>
      <c r="ASX13" s="1709"/>
      <c r="ASY13" s="1709"/>
      <c r="ASZ13" s="1709"/>
      <c r="ATA13" s="1709"/>
      <c r="ATB13" s="1709"/>
      <c r="ATC13" s="1709"/>
      <c r="ATD13" s="1709"/>
      <c r="ATE13" s="1709"/>
      <c r="ATF13" s="1709"/>
      <c r="ATG13" s="1709"/>
      <c r="ATH13" s="1709"/>
      <c r="ATI13" s="1709"/>
      <c r="ATJ13" s="1709"/>
      <c r="ATK13" s="1709"/>
      <c r="ATL13" s="1709"/>
      <c r="ATM13" s="1709"/>
      <c r="ATN13" s="1709"/>
      <c r="ATO13" s="1709"/>
      <c r="ATP13" s="1709"/>
      <c r="ATQ13" s="1709"/>
      <c r="ATR13" s="1709"/>
      <c r="ATS13" s="1709"/>
      <c r="ATT13" s="1709"/>
      <c r="ATU13" s="1709"/>
      <c r="ATV13" s="1709"/>
      <c r="ATW13" s="1709"/>
      <c r="ATX13" s="1709"/>
      <c r="ATY13" s="1709"/>
      <c r="ATZ13" s="1709"/>
      <c r="AUA13" s="1709"/>
      <c r="AUB13" s="1709"/>
      <c r="AUC13" s="1709"/>
      <c r="AUD13" s="1709"/>
      <c r="AUE13" s="1709"/>
      <c r="AUF13" s="1709"/>
      <c r="AUG13" s="1709"/>
      <c r="AUH13" s="1709"/>
      <c r="AUI13" s="1709"/>
      <c r="AUJ13" s="1709"/>
      <c r="AUK13" s="1709"/>
      <c r="AUL13" s="1709"/>
      <c r="AUM13" s="1709"/>
      <c r="AUN13" s="1709"/>
      <c r="AUO13" s="1709"/>
      <c r="AUP13" s="1709"/>
      <c r="AUQ13" s="1709"/>
      <c r="AUR13" s="1709"/>
      <c r="AUS13" s="1709"/>
      <c r="AUT13" s="1709"/>
      <c r="AUU13" s="1709"/>
      <c r="AUV13" s="1709"/>
      <c r="AUW13" s="1709"/>
      <c r="AUX13" s="1709"/>
      <c r="AUY13" s="1709"/>
      <c r="AUZ13" s="1709"/>
      <c r="AVA13" s="1709"/>
      <c r="AVB13" s="1709"/>
      <c r="AVC13" s="1709"/>
      <c r="AVD13" s="1709"/>
      <c r="AVE13" s="1709"/>
      <c r="AVF13" s="1709"/>
      <c r="AVG13" s="1709"/>
      <c r="AVH13" s="1709"/>
      <c r="AVI13" s="1709"/>
      <c r="AVJ13" s="1709"/>
      <c r="AVK13" s="1709"/>
      <c r="AVL13" s="1709"/>
      <c r="AVM13" s="1709"/>
      <c r="AVN13" s="1709"/>
      <c r="AVO13" s="1709"/>
      <c r="AVP13" s="1709"/>
      <c r="AVQ13" s="1709"/>
      <c r="AVR13" s="1709"/>
      <c r="AVS13" s="1709"/>
      <c r="AVT13" s="1709"/>
      <c r="AVU13" s="1709"/>
      <c r="AVV13" s="1709"/>
      <c r="AVW13" s="1709"/>
      <c r="AVX13" s="1709"/>
      <c r="AVY13" s="1709"/>
      <c r="AVZ13" s="1709"/>
      <c r="AWA13" s="1709"/>
      <c r="AWB13" s="1709"/>
      <c r="AWC13" s="1709"/>
      <c r="AWD13" s="1709"/>
      <c r="AWE13" s="1709"/>
      <c r="AWF13" s="1709"/>
      <c r="AWG13" s="1709"/>
      <c r="AWH13" s="1709"/>
      <c r="AWI13" s="1709"/>
      <c r="AWJ13" s="1709"/>
      <c r="AWK13" s="1709"/>
      <c r="AWL13" s="1709"/>
      <c r="AWM13" s="1709"/>
      <c r="AWN13" s="1709"/>
      <c r="AWO13" s="1709"/>
      <c r="AWP13" s="1709"/>
      <c r="AWQ13" s="1709"/>
      <c r="AWR13" s="1709"/>
      <c r="AWS13" s="1709"/>
      <c r="AWT13" s="1709"/>
      <c r="AWU13" s="1709"/>
      <c r="AWV13" s="1709"/>
      <c r="AWW13" s="1709"/>
      <c r="AWX13" s="1709"/>
      <c r="AWY13" s="1709"/>
      <c r="AWZ13" s="1709"/>
      <c r="AXA13" s="1709"/>
      <c r="AXB13" s="1709"/>
      <c r="AXC13" s="1709"/>
      <c r="AXD13" s="1709"/>
      <c r="AXE13" s="1709"/>
      <c r="AXF13" s="1709"/>
      <c r="AXG13" s="1709"/>
      <c r="AXH13" s="1709"/>
      <c r="AXI13" s="1709"/>
      <c r="AXJ13" s="1709"/>
      <c r="AXK13" s="1709"/>
      <c r="AXL13" s="1709"/>
      <c r="AXM13" s="1709"/>
      <c r="AXN13" s="1709"/>
      <c r="AXO13" s="1709"/>
      <c r="AXP13" s="1709"/>
      <c r="AXQ13" s="1709"/>
      <c r="AXR13" s="1709"/>
      <c r="AXS13" s="1709"/>
      <c r="AXT13" s="1709"/>
      <c r="AXU13" s="1709"/>
      <c r="AXV13" s="1709"/>
      <c r="AXW13" s="1709"/>
      <c r="AXX13" s="1709"/>
      <c r="AXY13" s="1709"/>
      <c r="AXZ13" s="1709"/>
      <c r="AYA13" s="1709"/>
      <c r="AYB13" s="1709"/>
      <c r="AYC13" s="1709"/>
      <c r="AYD13" s="1709"/>
      <c r="AYE13" s="1709"/>
      <c r="AYF13" s="1709"/>
      <c r="AYG13" s="1709"/>
      <c r="AYH13" s="1709"/>
      <c r="AYI13" s="1709"/>
      <c r="AYJ13" s="1709"/>
      <c r="AYK13" s="1709"/>
      <c r="AYL13" s="1709"/>
      <c r="AYM13" s="1709"/>
      <c r="AYN13" s="1709"/>
      <c r="AYO13" s="1709"/>
      <c r="AYP13" s="1709"/>
      <c r="AYQ13" s="1709"/>
      <c r="AYR13" s="1709"/>
      <c r="AYS13" s="1709"/>
      <c r="AYT13" s="1709"/>
      <c r="AYU13" s="1709"/>
      <c r="AYV13" s="1709"/>
      <c r="AYW13" s="1709"/>
      <c r="AYX13" s="1709"/>
      <c r="AYY13" s="1709"/>
      <c r="AYZ13" s="1709"/>
      <c r="AZA13" s="1709"/>
      <c r="AZB13" s="1709"/>
      <c r="AZC13" s="1709"/>
      <c r="AZD13" s="1709"/>
      <c r="AZE13" s="1709"/>
      <c r="AZF13" s="1709"/>
      <c r="AZG13" s="1709"/>
      <c r="AZH13" s="1709"/>
      <c r="AZI13" s="1709"/>
      <c r="AZJ13" s="1709"/>
      <c r="AZK13" s="1709"/>
      <c r="AZL13" s="1709"/>
      <c r="AZM13" s="1709"/>
      <c r="AZN13" s="1709"/>
      <c r="AZO13" s="1709"/>
      <c r="AZP13" s="1709"/>
      <c r="AZQ13" s="1709"/>
      <c r="AZR13" s="1709"/>
      <c r="AZS13" s="1709"/>
      <c r="AZT13" s="1709"/>
      <c r="AZU13" s="1709"/>
      <c r="AZV13" s="1709"/>
      <c r="AZW13" s="1709"/>
      <c r="AZX13" s="1709"/>
    </row>
    <row r="14" spans="1:1376" s="124" customFormat="1" ht="54" customHeight="1" x14ac:dyDescent="0.2">
      <c r="A14" s="3541"/>
      <c r="B14" s="3542"/>
      <c r="C14" s="3494"/>
      <c r="D14" s="3515"/>
      <c r="E14" s="3515"/>
      <c r="F14" s="3516"/>
      <c r="G14" s="2996"/>
      <c r="H14" s="2996"/>
      <c r="I14" s="3498"/>
      <c r="J14" s="3519"/>
      <c r="K14" s="3480"/>
      <c r="L14" s="3480"/>
      <c r="M14" s="3049"/>
      <c r="N14" s="3060"/>
      <c r="O14" s="3498"/>
      <c r="P14" s="3480"/>
      <c r="Q14" s="3482"/>
      <c r="R14" s="3529"/>
      <c r="S14" s="3480"/>
      <c r="T14" s="3477"/>
      <c r="U14" s="3532"/>
      <c r="V14" s="2636">
        <f>0+60000000</f>
        <v>60000000</v>
      </c>
      <c r="W14" s="2025">
        <v>88</v>
      </c>
      <c r="X14" s="2026" t="s">
        <v>848</v>
      </c>
      <c r="Y14" s="3282"/>
      <c r="Z14" s="3282"/>
      <c r="AA14" s="3282"/>
      <c r="AB14" s="3282"/>
      <c r="AC14" s="3282"/>
      <c r="AD14" s="3282"/>
      <c r="AE14" s="3538"/>
      <c r="AF14" s="2031"/>
      <c r="AG14" s="2031"/>
      <c r="AH14" s="2031"/>
      <c r="AI14" s="2031"/>
      <c r="AJ14" s="2031"/>
      <c r="AK14" s="2031"/>
      <c r="AL14" s="2031"/>
      <c r="AM14" s="482"/>
      <c r="AN14" s="3150"/>
      <c r="AO14" s="3472"/>
      <c r="AP14" s="3474"/>
      <c r="AQ14" s="3477"/>
      <c r="AR14" s="1709"/>
      <c r="AS14" s="1709"/>
      <c r="AT14" s="1709"/>
      <c r="AU14" s="1709"/>
      <c r="AV14" s="1709"/>
      <c r="AW14" s="1709"/>
      <c r="AX14" s="1709"/>
      <c r="AY14" s="1709"/>
      <c r="AZ14" s="1709"/>
      <c r="BA14" s="1709"/>
      <c r="BB14" s="1709"/>
      <c r="BC14" s="1709"/>
      <c r="BD14" s="1709"/>
      <c r="BE14" s="1709"/>
      <c r="BF14" s="1709"/>
      <c r="BG14" s="1709"/>
      <c r="BH14" s="1709"/>
      <c r="BI14" s="1709"/>
      <c r="BJ14" s="1709"/>
      <c r="BK14" s="1709"/>
      <c r="BL14" s="1709"/>
      <c r="BM14" s="1709"/>
      <c r="BN14" s="1709"/>
      <c r="BO14" s="1709"/>
      <c r="BP14" s="1709"/>
      <c r="BQ14" s="1709"/>
      <c r="BR14" s="1709"/>
      <c r="BS14" s="1709"/>
      <c r="BT14" s="1709"/>
      <c r="BU14" s="1709"/>
      <c r="BV14" s="1709"/>
      <c r="BW14" s="1709"/>
      <c r="BX14" s="1709"/>
      <c r="BY14" s="1709"/>
      <c r="BZ14" s="1709"/>
      <c r="CA14" s="1709"/>
      <c r="CB14" s="1709"/>
      <c r="CC14" s="1709"/>
      <c r="CD14" s="1709"/>
      <c r="CE14" s="1709"/>
      <c r="CF14" s="1709"/>
      <c r="CG14" s="1709"/>
      <c r="CH14" s="1709"/>
      <c r="CI14" s="1709"/>
      <c r="CJ14" s="1709"/>
      <c r="CK14" s="1709"/>
      <c r="CL14" s="1709"/>
      <c r="CM14" s="1709"/>
      <c r="CN14" s="1709"/>
      <c r="CO14" s="1709"/>
      <c r="CP14" s="1709"/>
      <c r="CQ14" s="1709"/>
      <c r="CR14" s="1709"/>
      <c r="CS14" s="1709"/>
      <c r="CT14" s="1709"/>
      <c r="CU14" s="1709"/>
      <c r="CV14" s="1709"/>
      <c r="CW14" s="1709"/>
      <c r="CX14" s="1709"/>
      <c r="CY14" s="1709"/>
      <c r="CZ14" s="1709"/>
      <c r="DA14" s="1709"/>
      <c r="DB14" s="1709"/>
      <c r="DC14" s="1709"/>
      <c r="DD14" s="1709"/>
      <c r="DE14" s="1709"/>
      <c r="DF14" s="1709"/>
      <c r="DG14" s="1709"/>
      <c r="DH14" s="1709"/>
      <c r="DI14" s="1709"/>
      <c r="DJ14" s="1709"/>
      <c r="DK14" s="1709"/>
      <c r="DL14" s="1709"/>
      <c r="DM14" s="1709"/>
      <c r="DN14" s="1709"/>
      <c r="DO14" s="1709"/>
      <c r="DP14" s="1709"/>
      <c r="DQ14" s="1709"/>
      <c r="DR14" s="1709"/>
      <c r="DS14" s="1709"/>
      <c r="DT14" s="1709"/>
      <c r="DU14" s="1709"/>
      <c r="DV14" s="1709"/>
      <c r="DW14" s="1709"/>
      <c r="DX14" s="1709"/>
      <c r="DY14" s="1709"/>
      <c r="DZ14" s="1709"/>
      <c r="EA14" s="1709"/>
      <c r="EB14" s="1709"/>
      <c r="EC14" s="1709"/>
      <c r="ED14" s="1709"/>
      <c r="EE14" s="1709"/>
      <c r="EF14" s="1709"/>
      <c r="EG14" s="1709"/>
      <c r="EH14" s="1709"/>
      <c r="EI14" s="1709"/>
      <c r="EJ14" s="1709"/>
      <c r="EK14" s="1709"/>
      <c r="EL14" s="1709"/>
      <c r="EM14" s="1709"/>
      <c r="EN14" s="1709"/>
      <c r="EO14" s="1709"/>
      <c r="EP14" s="1709"/>
      <c r="EQ14" s="1709"/>
      <c r="ER14" s="1709"/>
      <c r="ES14" s="1709"/>
      <c r="ET14" s="1709"/>
      <c r="EU14" s="1709"/>
      <c r="EV14" s="1709"/>
      <c r="EW14" s="1709"/>
      <c r="EX14" s="1709"/>
      <c r="EY14" s="1709"/>
      <c r="EZ14" s="1709"/>
      <c r="FA14" s="1709"/>
      <c r="FB14" s="1709"/>
      <c r="FC14" s="1709"/>
      <c r="FD14" s="1709"/>
      <c r="FE14" s="1709"/>
      <c r="FF14" s="1709"/>
      <c r="FG14" s="1709"/>
      <c r="FH14" s="1709"/>
      <c r="FI14" s="1709"/>
      <c r="FJ14" s="1709"/>
      <c r="FK14" s="1709"/>
      <c r="FL14" s="1709"/>
      <c r="FM14" s="1709"/>
      <c r="FN14" s="1709"/>
      <c r="FO14" s="1709"/>
      <c r="FP14" s="1709"/>
      <c r="FQ14" s="1709"/>
      <c r="FR14" s="1709"/>
      <c r="FS14" s="1709"/>
      <c r="FT14" s="1709"/>
      <c r="FU14" s="1709"/>
      <c r="FV14" s="1709"/>
      <c r="FW14" s="1709"/>
      <c r="FX14" s="1709"/>
      <c r="FY14" s="1709"/>
      <c r="FZ14" s="1709"/>
      <c r="GA14" s="1709"/>
      <c r="GB14" s="1709"/>
      <c r="GC14" s="1709"/>
      <c r="GD14" s="1709"/>
      <c r="GE14" s="1709"/>
      <c r="GF14" s="1709"/>
      <c r="GG14" s="1709"/>
      <c r="GH14" s="1709"/>
      <c r="GI14" s="1709"/>
      <c r="GJ14" s="1709"/>
      <c r="GK14" s="1709"/>
      <c r="GL14" s="1709"/>
      <c r="GM14" s="1709"/>
      <c r="GN14" s="1709"/>
      <c r="GO14" s="1709"/>
      <c r="GP14" s="1709"/>
      <c r="GQ14" s="1709"/>
      <c r="GR14" s="1709"/>
      <c r="GS14" s="1709"/>
      <c r="GT14" s="1709"/>
      <c r="GU14" s="1709"/>
      <c r="GV14" s="1709"/>
      <c r="GW14" s="1709"/>
      <c r="GX14" s="1709"/>
      <c r="GY14" s="1709"/>
      <c r="GZ14" s="1709"/>
      <c r="HA14" s="1709"/>
      <c r="HB14" s="1709"/>
      <c r="HC14" s="1709"/>
      <c r="HD14" s="1709"/>
      <c r="HE14" s="1709"/>
      <c r="HF14" s="1709"/>
      <c r="HG14" s="1709"/>
      <c r="HH14" s="1709"/>
      <c r="HI14" s="1709"/>
      <c r="HJ14" s="1709"/>
      <c r="HK14" s="1709"/>
      <c r="HL14" s="1709"/>
      <c r="HM14" s="1709"/>
      <c r="HN14" s="1709"/>
      <c r="HO14" s="1709"/>
      <c r="HP14" s="1709"/>
      <c r="HQ14" s="1709"/>
      <c r="HR14" s="1709"/>
      <c r="HS14" s="1709"/>
      <c r="HT14" s="1709"/>
      <c r="HU14" s="1709"/>
      <c r="HV14" s="1709"/>
      <c r="HW14" s="1709"/>
      <c r="HX14" s="1709"/>
      <c r="HY14" s="1709"/>
      <c r="HZ14" s="1709"/>
      <c r="IA14" s="1709"/>
      <c r="IB14" s="1709"/>
      <c r="IC14" s="1709"/>
      <c r="ID14" s="1709"/>
      <c r="IE14" s="1709"/>
      <c r="IF14" s="1709"/>
      <c r="IG14" s="1709"/>
      <c r="IH14" s="1709"/>
      <c r="II14" s="1709"/>
      <c r="IJ14" s="1709"/>
      <c r="IK14" s="1709"/>
      <c r="IL14" s="1709"/>
      <c r="IM14" s="1709"/>
      <c r="IN14" s="1709"/>
      <c r="IO14" s="1709"/>
      <c r="IP14" s="1709"/>
      <c r="IQ14" s="1709"/>
      <c r="IR14" s="1709"/>
      <c r="IS14" s="1709"/>
      <c r="IT14" s="1709"/>
      <c r="IU14" s="1709"/>
      <c r="IV14" s="1709"/>
      <c r="IW14" s="1709"/>
      <c r="IX14" s="1709"/>
      <c r="IY14" s="1709"/>
      <c r="IZ14" s="1709"/>
      <c r="JA14" s="1709"/>
      <c r="JB14" s="1709"/>
      <c r="JC14" s="1709"/>
      <c r="JD14" s="1709"/>
      <c r="JE14" s="1709"/>
      <c r="JF14" s="1709"/>
      <c r="JG14" s="1709"/>
      <c r="JH14" s="1709"/>
      <c r="JI14" s="1709"/>
      <c r="JJ14" s="1709"/>
      <c r="JK14" s="1709"/>
      <c r="JL14" s="1709"/>
      <c r="JM14" s="1709"/>
      <c r="JN14" s="1709"/>
      <c r="JO14" s="1709"/>
      <c r="JP14" s="1709"/>
      <c r="JQ14" s="1709"/>
      <c r="JR14" s="1709"/>
      <c r="JS14" s="1709"/>
      <c r="JT14" s="1709"/>
      <c r="JU14" s="1709"/>
      <c r="JV14" s="1709"/>
      <c r="JW14" s="1709"/>
      <c r="JX14" s="1709"/>
      <c r="JY14" s="1709"/>
      <c r="JZ14" s="1709"/>
      <c r="KA14" s="1709"/>
      <c r="KB14" s="1709"/>
      <c r="KC14" s="1709"/>
      <c r="KD14" s="1709"/>
      <c r="KE14" s="1709"/>
      <c r="KF14" s="1709"/>
      <c r="KG14" s="1709"/>
      <c r="KH14" s="1709"/>
      <c r="KI14" s="1709"/>
      <c r="KJ14" s="1709"/>
      <c r="KK14" s="1709"/>
      <c r="KL14" s="1709"/>
      <c r="KM14" s="1709"/>
      <c r="KN14" s="1709"/>
      <c r="KO14" s="1709"/>
      <c r="KP14" s="1709"/>
      <c r="KQ14" s="1709"/>
      <c r="KR14" s="1709"/>
      <c r="KS14" s="1709"/>
      <c r="KT14" s="1709"/>
      <c r="KU14" s="1709"/>
      <c r="KV14" s="1709"/>
      <c r="KW14" s="1709"/>
      <c r="KX14" s="1709"/>
      <c r="KY14" s="1709"/>
      <c r="KZ14" s="1709"/>
      <c r="LA14" s="1709"/>
      <c r="LB14" s="1709"/>
      <c r="LC14" s="1709"/>
      <c r="LD14" s="1709"/>
      <c r="LE14" s="1709"/>
      <c r="LF14" s="1709"/>
      <c r="LG14" s="1709"/>
      <c r="LH14" s="1709"/>
      <c r="LI14" s="1709"/>
      <c r="LJ14" s="1709"/>
      <c r="LK14" s="1709"/>
      <c r="LL14" s="1709"/>
      <c r="LM14" s="1709"/>
      <c r="LN14" s="1709"/>
      <c r="LO14" s="1709"/>
      <c r="LP14" s="1709"/>
      <c r="LQ14" s="1709"/>
      <c r="LR14" s="1709"/>
      <c r="LS14" s="1709"/>
      <c r="LT14" s="1709"/>
      <c r="LU14" s="1709"/>
      <c r="LV14" s="1709"/>
      <c r="LW14" s="1709"/>
      <c r="LX14" s="1709"/>
      <c r="LY14" s="1709"/>
      <c r="LZ14" s="1709"/>
      <c r="MA14" s="1709"/>
      <c r="MB14" s="1709"/>
      <c r="MC14" s="1709"/>
      <c r="MD14" s="1709"/>
      <c r="ME14" s="1709"/>
      <c r="MF14" s="1709"/>
      <c r="MG14" s="1709"/>
      <c r="MH14" s="1709"/>
      <c r="MI14" s="1709"/>
      <c r="MJ14" s="1709"/>
      <c r="MK14" s="1709"/>
      <c r="ML14" s="1709"/>
      <c r="MM14" s="1709"/>
      <c r="MN14" s="1709"/>
      <c r="MO14" s="1709"/>
      <c r="MP14" s="1709"/>
      <c r="MQ14" s="1709"/>
      <c r="MR14" s="1709"/>
      <c r="MS14" s="1709"/>
      <c r="MT14" s="1709"/>
      <c r="MU14" s="1709"/>
      <c r="MV14" s="1709"/>
      <c r="MW14" s="1709"/>
      <c r="MX14" s="1709"/>
      <c r="MY14" s="1709"/>
      <c r="MZ14" s="1709"/>
      <c r="NA14" s="1709"/>
      <c r="NB14" s="1709"/>
      <c r="NC14" s="1709"/>
      <c r="ND14" s="1709"/>
      <c r="NE14" s="1709"/>
      <c r="NF14" s="1709"/>
      <c r="NG14" s="1709"/>
      <c r="NH14" s="1709"/>
      <c r="NI14" s="1709"/>
      <c r="NJ14" s="1709"/>
      <c r="NK14" s="1709"/>
      <c r="NL14" s="1709"/>
      <c r="NM14" s="1709"/>
      <c r="NN14" s="1709"/>
      <c r="NO14" s="1709"/>
      <c r="NP14" s="1709"/>
      <c r="NQ14" s="1709"/>
      <c r="NR14" s="1709"/>
      <c r="NS14" s="1709"/>
      <c r="NT14" s="1709"/>
      <c r="NU14" s="1709"/>
      <c r="NV14" s="1709"/>
      <c r="NW14" s="1709"/>
      <c r="NX14" s="1709"/>
      <c r="NY14" s="1709"/>
      <c r="NZ14" s="1709"/>
      <c r="OA14" s="1709"/>
      <c r="OB14" s="1709"/>
      <c r="OC14" s="1709"/>
      <c r="OD14" s="1709"/>
      <c r="OE14" s="1709"/>
      <c r="OF14" s="1709"/>
      <c r="OG14" s="1709"/>
      <c r="OH14" s="1709"/>
      <c r="OI14" s="1709"/>
      <c r="OJ14" s="1709"/>
      <c r="OK14" s="1709"/>
      <c r="OL14" s="1709"/>
      <c r="OM14" s="1709"/>
      <c r="ON14" s="1709"/>
      <c r="OO14" s="1709"/>
      <c r="OP14" s="1709"/>
      <c r="OQ14" s="1709"/>
      <c r="OR14" s="1709"/>
      <c r="OS14" s="1709"/>
      <c r="OT14" s="1709"/>
      <c r="OU14" s="1709"/>
      <c r="OV14" s="1709"/>
      <c r="OW14" s="1709"/>
      <c r="OX14" s="1709"/>
      <c r="OY14" s="1709"/>
      <c r="OZ14" s="1709"/>
      <c r="PA14" s="1709"/>
      <c r="PB14" s="1709"/>
      <c r="PC14" s="1709"/>
      <c r="PD14" s="1709"/>
      <c r="PE14" s="1709"/>
      <c r="PF14" s="1709"/>
      <c r="PG14" s="1709"/>
      <c r="PH14" s="1709"/>
      <c r="PI14" s="1709"/>
      <c r="PJ14" s="1709"/>
      <c r="PK14" s="1709"/>
      <c r="PL14" s="1709"/>
      <c r="PM14" s="1709"/>
      <c r="PN14" s="1709"/>
      <c r="PO14" s="1709"/>
      <c r="PP14" s="1709"/>
      <c r="PQ14" s="1709"/>
      <c r="PR14" s="1709"/>
      <c r="PS14" s="1709"/>
      <c r="PT14" s="1709"/>
      <c r="PU14" s="1709"/>
      <c r="PV14" s="1709"/>
      <c r="PW14" s="1709"/>
      <c r="PX14" s="1709"/>
      <c r="PY14" s="1709"/>
      <c r="PZ14" s="1709"/>
      <c r="QA14" s="1709"/>
      <c r="QB14" s="1709"/>
      <c r="QC14" s="1709"/>
      <c r="QD14" s="1709"/>
      <c r="QE14" s="1709"/>
      <c r="QF14" s="1709"/>
      <c r="QG14" s="1709"/>
      <c r="QH14" s="1709"/>
      <c r="QI14" s="1709"/>
      <c r="QJ14" s="1709"/>
      <c r="QK14" s="1709"/>
      <c r="QL14" s="1709"/>
      <c r="QM14" s="1709"/>
      <c r="QN14" s="1709"/>
      <c r="QO14" s="1709"/>
      <c r="QP14" s="1709"/>
      <c r="QQ14" s="1709"/>
      <c r="QR14" s="1709"/>
      <c r="QS14" s="1709"/>
      <c r="QT14" s="1709"/>
      <c r="QU14" s="1709"/>
      <c r="QV14" s="1709"/>
      <c r="QW14" s="1709"/>
      <c r="QX14" s="1709"/>
      <c r="QY14" s="1709"/>
      <c r="QZ14" s="1709"/>
      <c r="RA14" s="1709"/>
      <c r="RB14" s="1709"/>
      <c r="RC14" s="1709"/>
      <c r="RD14" s="1709"/>
      <c r="RE14" s="1709"/>
      <c r="RF14" s="1709"/>
      <c r="RG14" s="1709"/>
      <c r="RH14" s="1709"/>
      <c r="RI14" s="1709"/>
      <c r="RJ14" s="1709"/>
      <c r="RK14" s="1709"/>
      <c r="RL14" s="1709"/>
      <c r="RM14" s="1709"/>
      <c r="RN14" s="1709"/>
      <c r="RO14" s="1709"/>
      <c r="RP14" s="1709"/>
      <c r="RQ14" s="1709"/>
      <c r="RR14" s="1709"/>
      <c r="RS14" s="1709"/>
      <c r="RT14" s="1709"/>
      <c r="RU14" s="1709"/>
      <c r="RV14" s="1709"/>
      <c r="RW14" s="1709"/>
      <c r="RX14" s="1709"/>
      <c r="RY14" s="1709"/>
      <c r="RZ14" s="1709"/>
      <c r="SA14" s="1709"/>
      <c r="SB14" s="1709"/>
      <c r="SC14" s="1709"/>
      <c r="SD14" s="1709"/>
      <c r="SE14" s="1709"/>
      <c r="SF14" s="1709"/>
      <c r="SG14" s="1709"/>
      <c r="SH14" s="1709"/>
      <c r="SI14" s="1709"/>
      <c r="SJ14" s="1709"/>
      <c r="SK14" s="1709"/>
      <c r="SL14" s="1709"/>
      <c r="SM14" s="1709"/>
      <c r="SN14" s="1709"/>
      <c r="SO14" s="1709"/>
      <c r="SP14" s="1709"/>
      <c r="SQ14" s="1709"/>
      <c r="SR14" s="1709"/>
      <c r="SS14" s="1709"/>
      <c r="ST14" s="1709"/>
      <c r="SU14" s="1709"/>
      <c r="SV14" s="1709"/>
      <c r="SW14" s="1709"/>
      <c r="SX14" s="1709"/>
      <c r="SY14" s="1709"/>
      <c r="SZ14" s="1709"/>
      <c r="TA14" s="1709"/>
      <c r="TB14" s="1709"/>
      <c r="TC14" s="1709"/>
      <c r="TD14" s="1709"/>
      <c r="TE14" s="1709"/>
      <c r="TF14" s="1709"/>
      <c r="TG14" s="1709"/>
      <c r="TH14" s="1709"/>
      <c r="TI14" s="1709"/>
      <c r="TJ14" s="1709"/>
      <c r="TK14" s="1709"/>
      <c r="TL14" s="1709"/>
      <c r="TM14" s="1709"/>
      <c r="TN14" s="1709"/>
      <c r="TO14" s="1709"/>
      <c r="TP14" s="1709"/>
      <c r="TQ14" s="1709"/>
      <c r="TR14" s="1709"/>
      <c r="TS14" s="1709"/>
      <c r="TT14" s="1709"/>
      <c r="TU14" s="1709"/>
      <c r="TV14" s="1709"/>
      <c r="TW14" s="1709"/>
      <c r="TX14" s="1709"/>
      <c r="TY14" s="1709"/>
      <c r="TZ14" s="1709"/>
      <c r="UA14" s="1709"/>
      <c r="UB14" s="1709"/>
      <c r="UC14" s="1709"/>
      <c r="UD14" s="1709"/>
      <c r="UE14" s="1709"/>
      <c r="UF14" s="1709"/>
      <c r="UG14" s="1709"/>
      <c r="UH14" s="1709"/>
      <c r="UI14" s="1709"/>
      <c r="UJ14" s="1709"/>
      <c r="UK14" s="1709"/>
      <c r="UL14" s="1709"/>
      <c r="UM14" s="1709"/>
      <c r="UN14" s="1709"/>
      <c r="UO14" s="1709"/>
      <c r="UP14" s="1709"/>
      <c r="UQ14" s="1709"/>
      <c r="UR14" s="1709"/>
      <c r="US14" s="1709"/>
      <c r="UT14" s="1709"/>
      <c r="UU14" s="1709"/>
      <c r="UV14" s="1709"/>
      <c r="UW14" s="1709"/>
      <c r="UX14" s="1709"/>
      <c r="UY14" s="1709"/>
      <c r="UZ14" s="1709"/>
      <c r="VA14" s="1709"/>
      <c r="VB14" s="1709"/>
      <c r="VC14" s="1709"/>
      <c r="VD14" s="1709"/>
      <c r="VE14" s="1709"/>
      <c r="VF14" s="1709"/>
      <c r="VG14" s="1709"/>
      <c r="VH14" s="1709"/>
      <c r="VI14" s="1709"/>
      <c r="VJ14" s="1709"/>
      <c r="VK14" s="1709"/>
      <c r="VL14" s="1709"/>
      <c r="VM14" s="1709"/>
      <c r="VN14" s="1709"/>
      <c r="VO14" s="1709"/>
      <c r="VP14" s="1709"/>
      <c r="VQ14" s="1709"/>
      <c r="VR14" s="1709"/>
      <c r="VS14" s="1709"/>
      <c r="VT14" s="1709"/>
      <c r="VU14" s="1709"/>
      <c r="VV14" s="1709"/>
      <c r="VW14" s="1709"/>
      <c r="VX14" s="1709"/>
      <c r="VY14" s="1709"/>
      <c r="VZ14" s="1709"/>
      <c r="WA14" s="1709"/>
      <c r="WB14" s="1709"/>
      <c r="WC14" s="1709"/>
      <c r="WD14" s="1709"/>
      <c r="WE14" s="1709"/>
      <c r="WF14" s="1709"/>
      <c r="WG14" s="1709"/>
      <c r="WH14" s="1709"/>
      <c r="WI14" s="1709"/>
      <c r="WJ14" s="1709"/>
      <c r="WK14" s="1709"/>
      <c r="WL14" s="1709"/>
      <c r="WM14" s="1709"/>
      <c r="WN14" s="1709"/>
      <c r="WO14" s="1709"/>
      <c r="WP14" s="1709"/>
      <c r="WQ14" s="1709"/>
      <c r="WR14" s="1709"/>
      <c r="WS14" s="1709"/>
      <c r="WT14" s="1709"/>
      <c r="WU14" s="1709"/>
      <c r="WV14" s="1709"/>
      <c r="WW14" s="1709"/>
      <c r="WX14" s="1709"/>
      <c r="WY14" s="1709"/>
      <c r="WZ14" s="1709"/>
      <c r="XA14" s="1709"/>
      <c r="XB14" s="1709"/>
      <c r="XC14" s="1709"/>
      <c r="XD14" s="1709"/>
      <c r="XE14" s="1709"/>
      <c r="XF14" s="1709"/>
      <c r="XG14" s="1709"/>
      <c r="XH14" s="1709"/>
      <c r="XI14" s="1709"/>
      <c r="XJ14" s="1709"/>
      <c r="XK14" s="1709"/>
      <c r="XL14" s="1709"/>
      <c r="XM14" s="1709"/>
      <c r="XN14" s="1709"/>
      <c r="XO14" s="1709"/>
      <c r="XP14" s="1709"/>
      <c r="XQ14" s="1709"/>
      <c r="XR14" s="1709"/>
      <c r="XS14" s="1709"/>
      <c r="XT14" s="1709"/>
      <c r="XU14" s="1709"/>
      <c r="XV14" s="1709"/>
      <c r="XW14" s="1709"/>
      <c r="XX14" s="1709"/>
      <c r="XY14" s="1709"/>
      <c r="XZ14" s="1709"/>
      <c r="YA14" s="1709"/>
      <c r="YB14" s="1709"/>
      <c r="YC14" s="1709"/>
      <c r="YD14" s="1709"/>
      <c r="YE14" s="1709"/>
      <c r="YF14" s="1709"/>
      <c r="YG14" s="1709"/>
      <c r="YH14" s="1709"/>
      <c r="YI14" s="1709"/>
      <c r="YJ14" s="1709"/>
      <c r="YK14" s="1709"/>
      <c r="YL14" s="1709"/>
      <c r="YM14" s="1709"/>
      <c r="YN14" s="1709"/>
      <c r="YO14" s="1709"/>
      <c r="YP14" s="1709"/>
      <c r="YQ14" s="1709"/>
      <c r="YR14" s="1709"/>
      <c r="YS14" s="1709"/>
      <c r="YT14" s="1709"/>
      <c r="YU14" s="1709"/>
      <c r="YV14" s="1709"/>
      <c r="YW14" s="1709"/>
      <c r="YX14" s="1709"/>
      <c r="YY14" s="1709"/>
      <c r="YZ14" s="1709"/>
      <c r="ZA14" s="1709"/>
      <c r="ZB14" s="1709"/>
      <c r="ZC14" s="1709"/>
      <c r="ZD14" s="1709"/>
      <c r="ZE14" s="1709"/>
      <c r="ZF14" s="1709"/>
      <c r="ZG14" s="1709"/>
      <c r="ZH14" s="1709"/>
      <c r="ZI14" s="1709"/>
      <c r="ZJ14" s="1709"/>
      <c r="ZK14" s="1709"/>
      <c r="ZL14" s="1709"/>
      <c r="ZM14" s="1709"/>
      <c r="ZN14" s="1709"/>
      <c r="ZO14" s="1709"/>
      <c r="ZP14" s="1709"/>
      <c r="ZQ14" s="1709"/>
      <c r="ZR14" s="1709"/>
      <c r="ZS14" s="1709"/>
      <c r="ZT14" s="1709"/>
      <c r="ZU14" s="1709"/>
      <c r="ZV14" s="1709"/>
      <c r="ZW14" s="1709"/>
      <c r="ZX14" s="1709"/>
      <c r="ZY14" s="1709"/>
      <c r="ZZ14" s="1709"/>
      <c r="AAA14" s="1709"/>
      <c r="AAB14" s="1709"/>
      <c r="AAC14" s="1709"/>
      <c r="AAD14" s="1709"/>
      <c r="AAE14" s="1709"/>
      <c r="AAF14" s="1709"/>
      <c r="AAG14" s="1709"/>
      <c r="AAH14" s="1709"/>
      <c r="AAI14" s="1709"/>
      <c r="AAJ14" s="1709"/>
      <c r="AAK14" s="1709"/>
      <c r="AAL14" s="1709"/>
      <c r="AAM14" s="1709"/>
      <c r="AAN14" s="1709"/>
      <c r="AAO14" s="1709"/>
      <c r="AAP14" s="1709"/>
      <c r="AAQ14" s="1709"/>
      <c r="AAR14" s="1709"/>
      <c r="AAS14" s="1709"/>
      <c r="AAT14" s="1709"/>
      <c r="AAU14" s="1709"/>
      <c r="AAV14" s="1709"/>
      <c r="AAW14" s="1709"/>
      <c r="AAX14" s="1709"/>
      <c r="AAY14" s="1709"/>
      <c r="AAZ14" s="1709"/>
      <c r="ABA14" s="1709"/>
      <c r="ABB14" s="1709"/>
      <c r="ABC14" s="1709"/>
      <c r="ABD14" s="1709"/>
      <c r="ABE14" s="1709"/>
      <c r="ABF14" s="1709"/>
      <c r="ABG14" s="1709"/>
      <c r="ABH14" s="1709"/>
      <c r="ABI14" s="1709"/>
      <c r="ABJ14" s="1709"/>
      <c r="ABK14" s="1709"/>
      <c r="ABL14" s="1709"/>
      <c r="ABM14" s="1709"/>
      <c r="ABN14" s="1709"/>
      <c r="ABO14" s="1709"/>
      <c r="ABP14" s="1709"/>
      <c r="ABQ14" s="1709"/>
      <c r="ABR14" s="1709"/>
      <c r="ABS14" s="1709"/>
      <c r="ABT14" s="1709"/>
      <c r="ABU14" s="1709"/>
      <c r="ABV14" s="1709"/>
      <c r="ABW14" s="1709"/>
      <c r="ABX14" s="1709"/>
      <c r="ABY14" s="1709"/>
      <c r="ABZ14" s="1709"/>
      <c r="ACA14" s="1709"/>
      <c r="ACB14" s="1709"/>
      <c r="ACC14" s="1709"/>
      <c r="ACD14" s="1709"/>
      <c r="ACE14" s="1709"/>
      <c r="ACF14" s="1709"/>
      <c r="ACG14" s="1709"/>
      <c r="ACH14" s="1709"/>
      <c r="ACI14" s="1709"/>
      <c r="ACJ14" s="1709"/>
      <c r="ACK14" s="1709"/>
      <c r="ACL14" s="1709"/>
      <c r="ACM14" s="1709"/>
      <c r="ACN14" s="1709"/>
      <c r="ACO14" s="1709"/>
      <c r="ACP14" s="1709"/>
      <c r="ACQ14" s="1709"/>
      <c r="ACR14" s="1709"/>
      <c r="ACS14" s="1709"/>
      <c r="ACT14" s="1709"/>
      <c r="ACU14" s="1709"/>
      <c r="ACV14" s="1709"/>
      <c r="ACW14" s="1709"/>
      <c r="ACX14" s="1709"/>
      <c r="ACY14" s="1709"/>
      <c r="ACZ14" s="1709"/>
      <c r="ADA14" s="1709"/>
      <c r="ADB14" s="1709"/>
      <c r="ADC14" s="1709"/>
      <c r="ADD14" s="1709"/>
      <c r="ADE14" s="1709"/>
      <c r="ADF14" s="1709"/>
      <c r="ADG14" s="1709"/>
      <c r="ADH14" s="1709"/>
      <c r="ADI14" s="1709"/>
      <c r="ADJ14" s="1709"/>
      <c r="ADK14" s="1709"/>
      <c r="ADL14" s="1709"/>
      <c r="ADM14" s="1709"/>
      <c r="ADN14" s="1709"/>
      <c r="ADO14" s="1709"/>
      <c r="ADP14" s="1709"/>
      <c r="ADQ14" s="1709"/>
      <c r="ADR14" s="1709"/>
      <c r="ADS14" s="1709"/>
      <c r="ADT14" s="1709"/>
      <c r="ADU14" s="1709"/>
      <c r="ADV14" s="1709"/>
      <c r="ADW14" s="1709"/>
      <c r="ADX14" s="1709"/>
      <c r="ADY14" s="1709"/>
      <c r="ADZ14" s="1709"/>
      <c r="AEA14" s="1709"/>
      <c r="AEB14" s="1709"/>
      <c r="AEC14" s="1709"/>
      <c r="AED14" s="1709"/>
      <c r="AEE14" s="1709"/>
      <c r="AEF14" s="1709"/>
      <c r="AEG14" s="1709"/>
      <c r="AEH14" s="1709"/>
      <c r="AEI14" s="1709"/>
      <c r="AEJ14" s="1709"/>
      <c r="AEK14" s="1709"/>
      <c r="AEL14" s="1709"/>
      <c r="AEM14" s="1709"/>
      <c r="AEN14" s="1709"/>
      <c r="AEO14" s="1709"/>
      <c r="AEP14" s="1709"/>
      <c r="AEQ14" s="1709"/>
      <c r="AER14" s="1709"/>
      <c r="AES14" s="1709"/>
      <c r="AET14" s="1709"/>
      <c r="AEU14" s="1709"/>
      <c r="AEV14" s="1709"/>
      <c r="AEW14" s="1709"/>
      <c r="AEX14" s="1709"/>
      <c r="AEY14" s="1709"/>
      <c r="AEZ14" s="1709"/>
      <c r="AFA14" s="1709"/>
      <c r="AFB14" s="1709"/>
      <c r="AFC14" s="1709"/>
      <c r="AFD14" s="1709"/>
      <c r="AFE14" s="1709"/>
      <c r="AFF14" s="1709"/>
      <c r="AFG14" s="1709"/>
      <c r="AFH14" s="1709"/>
      <c r="AFI14" s="1709"/>
      <c r="AFJ14" s="1709"/>
      <c r="AFK14" s="1709"/>
      <c r="AFL14" s="1709"/>
      <c r="AFM14" s="1709"/>
      <c r="AFN14" s="1709"/>
      <c r="AFO14" s="1709"/>
      <c r="AFP14" s="1709"/>
      <c r="AFQ14" s="1709"/>
      <c r="AFR14" s="1709"/>
      <c r="AFS14" s="1709"/>
      <c r="AFT14" s="1709"/>
      <c r="AFU14" s="1709"/>
      <c r="AFV14" s="1709"/>
      <c r="AFW14" s="1709"/>
      <c r="AFX14" s="1709"/>
      <c r="AFY14" s="1709"/>
      <c r="AFZ14" s="1709"/>
      <c r="AGA14" s="1709"/>
      <c r="AGB14" s="1709"/>
      <c r="AGC14" s="1709"/>
      <c r="AGD14" s="1709"/>
      <c r="AGE14" s="1709"/>
      <c r="AGF14" s="1709"/>
      <c r="AGG14" s="1709"/>
      <c r="AGH14" s="1709"/>
      <c r="AGI14" s="1709"/>
      <c r="AGJ14" s="1709"/>
      <c r="AGK14" s="1709"/>
      <c r="AGL14" s="1709"/>
      <c r="AGM14" s="1709"/>
      <c r="AGN14" s="1709"/>
      <c r="AGO14" s="1709"/>
      <c r="AGP14" s="1709"/>
      <c r="AGQ14" s="1709"/>
      <c r="AGR14" s="1709"/>
      <c r="AGS14" s="1709"/>
      <c r="AGT14" s="1709"/>
      <c r="AGU14" s="1709"/>
      <c r="AGV14" s="1709"/>
      <c r="AGW14" s="1709"/>
      <c r="AGX14" s="1709"/>
      <c r="AGY14" s="1709"/>
      <c r="AGZ14" s="1709"/>
      <c r="AHA14" s="1709"/>
      <c r="AHB14" s="1709"/>
      <c r="AHC14" s="1709"/>
      <c r="AHD14" s="1709"/>
      <c r="AHE14" s="1709"/>
      <c r="AHF14" s="1709"/>
      <c r="AHG14" s="1709"/>
      <c r="AHH14" s="1709"/>
      <c r="AHI14" s="1709"/>
      <c r="AHJ14" s="1709"/>
      <c r="AHK14" s="1709"/>
      <c r="AHL14" s="1709"/>
      <c r="AHM14" s="1709"/>
      <c r="AHN14" s="1709"/>
      <c r="AHO14" s="1709"/>
      <c r="AHP14" s="1709"/>
      <c r="AHQ14" s="1709"/>
      <c r="AHR14" s="1709"/>
      <c r="AHS14" s="1709"/>
      <c r="AHT14" s="1709"/>
      <c r="AHU14" s="1709"/>
      <c r="AHV14" s="1709"/>
      <c r="AHW14" s="1709"/>
      <c r="AHX14" s="1709"/>
      <c r="AHY14" s="1709"/>
      <c r="AHZ14" s="1709"/>
      <c r="AIA14" s="1709"/>
      <c r="AIB14" s="1709"/>
      <c r="AIC14" s="1709"/>
      <c r="AID14" s="1709"/>
      <c r="AIE14" s="1709"/>
      <c r="AIF14" s="1709"/>
      <c r="AIG14" s="1709"/>
      <c r="AIH14" s="1709"/>
      <c r="AII14" s="1709"/>
      <c r="AIJ14" s="1709"/>
      <c r="AIK14" s="1709"/>
      <c r="AIL14" s="1709"/>
      <c r="AIM14" s="1709"/>
      <c r="AIN14" s="1709"/>
      <c r="AIO14" s="1709"/>
      <c r="AIP14" s="1709"/>
      <c r="AIQ14" s="1709"/>
      <c r="AIR14" s="1709"/>
      <c r="AIS14" s="1709"/>
      <c r="AIT14" s="1709"/>
      <c r="AIU14" s="1709"/>
      <c r="AIV14" s="1709"/>
      <c r="AIW14" s="1709"/>
      <c r="AIX14" s="1709"/>
      <c r="AIY14" s="1709"/>
      <c r="AIZ14" s="1709"/>
      <c r="AJA14" s="1709"/>
      <c r="AJB14" s="1709"/>
      <c r="AJC14" s="1709"/>
      <c r="AJD14" s="1709"/>
      <c r="AJE14" s="1709"/>
      <c r="AJF14" s="1709"/>
      <c r="AJG14" s="1709"/>
      <c r="AJH14" s="1709"/>
      <c r="AJI14" s="1709"/>
      <c r="AJJ14" s="1709"/>
      <c r="AJK14" s="1709"/>
      <c r="AJL14" s="1709"/>
      <c r="AJM14" s="1709"/>
      <c r="AJN14" s="1709"/>
      <c r="AJO14" s="1709"/>
      <c r="AJP14" s="1709"/>
      <c r="AJQ14" s="1709"/>
      <c r="AJR14" s="1709"/>
      <c r="AJS14" s="1709"/>
      <c r="AJT14" s="1709"/>
      <c r="AJU14" s="1709"/>
      <c r="AJV14" s="1709"/>
      <c r="AJW14" s="1709"/>
      <c r="AJX14" s="1709"/>
      <c r="AJY14" s="1709"/>
      <c r="AJZ14" s="1709"/>
      <c r="AKA14" s="1709"/>
      <c r="AKB14" s="1709"/>
      <c r="AKC14" s="1709"/>
      <c r="AKD14" s="1709"/>
      <c r="AKE14" s="1709"/>
      <c r="AKF14" s="1709"/>
      <c r="AKG14" s="1709"/>
      <c r="AKH14" s="1709"/>
      <c r="AKI14" s="1709"/>
      <c r="AKJ14" s="1709"/>
      <c r="AKK14" s="1709"/>
      <c r="AKL14" s="1709"/>
      <c r="AKM14" s="1709"/>
      <c r="AKN14" s="1709"/>
      <c r="AKO14" s="1709"/>
      <c r="AKP14" s="1709"/>
      <c r="AKQ14" s="1709"/>
      <c r="AKR14" s="1709"/>
      <c r="AKS14" s="1709"/>
      <c r="AKT14" s="1709"/>
      <c r="AKU14" s="1709"/>
      <c r="AKV14" s="1709"/>
      <c r="AKW14" s="1709"/>
      <c r="AKX14" s="1709"/>
      <c r="AKY14" s="1709"/>
      <c r="AKZ14" s="1709"/>
      <c r="ALA14" s="1709"/>
      <c r="ALB14" s="1709"/>
      <c r="ALC14" s="1709"/>
      <c r="ALD14" s="1709"/>
      <c r="ALE14" s="1709"/>
      <c r="ALF14" s="1709"/>
      <c r="ALG14" s="1709"/>
      <c r="ALH14" s="1709"/>
      <c r="ALI14" s="1709"/>
      <c r="ALJ14" s="1709"/>
      <c r="ALK14" s="1709"/>
      <c r="ALL14" s="1709"/>
      <c r="ALM14" s="1709"/>
      <c r="ALN14" s="1709"/>
      <c r="ALO14" s="1709"/>
      <c r="ALP14" s="1709"/>
      <c r="ALQ14" s="1709"/>
      <c r="ALR14" s="1709"/>
      <c r="ALS14" s="1709"/>
      <c r="ALT14" s="1709"/>
      <c r="ALU14" s="1709"/>
      <c r="ALV14" s="1709"/>
      <c r="ALW14" s="1709"/>
      <c r="ALX14" s="1709"/>
      <c r="ALY14" s="1709"/>
      <c r="ALZ14" s="1709"/>
      <c r="AMA14" s="1709"/>
      <c r="AMB14" s="1709"/>
      <c r="AMC14" s="1709"/>
      <c r="AMD14" s="1709"/>
      <c r="AME14" s="1709"/>
      <c r="AMF14" s="1709"/>
      <c r="AMG14" s="1709"/>
      <c r="AMH14" s="1709"/>
      <c r="AMI14" s="1709"/>
      <c r="AMJ14" s="1709"/>
      <c r="AMK14" s="1709"/>
      <c r="AML14" s="1709"/>
      <c r="AMM14" s="1709"/>
      <c r="AMN14" s="1709"/>
      <c r="AMO14" s="1709"/>
      <c r="AMP14" s="1709"/>
      <c r="AMQ14" s="1709"/>
      <c r="AMR14" s="1709"/>
      <c r="AMS14" s="1709"/>
      <c r="AMT14" s="1709"/>
      <c r="AMU14" s="1709"/>
      <c r="AMV14" s="1709"/>
      <c r="AMW14" s="1709"/>
      <c r="AMX14" s="1709"/>
      <c r="AMY14" s="1709"/>
      <c r="AMZ14" s="1709"/>
      <c r="ANA14" s="1709"/>
      <c r="ANB14" s="1709"/>
      <c r="ANC14" s="1709"/>
      <c r="AND14" s="1709"/>
      <c r="ANE14" s="1709"/>
      <c r="ANF14" s="1709"/>
      <c r="ANG14" s="1709"/>
      <c r="ANH14" s="1709"/>
      <c r="ANI14" s="1709"/>
      <c r="ANJ14" s="1709"/>
      <c r="ANK14" s="1709"/>
      <c r="ANL14" s="1709"/>
      <c r="ANM14" s="1709"/>
      <c r="ANN14" s="1709"/>
      <c r="ANO14" s="1709"/>
      <c r="ANP14" s="1709"/>
      <c r="ANQ14" s="1709"/>
      <c r="ANR14" s="1709"/>
      <c r="ANS14" s="1709"/>
      <c r="ANT14" s="1709"/>
      <c r="ANU14" s="1709"/>
      <c r="ANV14" s="1709"/>
      <c r="ANW14" s="1709"/>
      <c r="ANX14" s="1709"/>
      <c r="ANY14" s="1709"/>
      <c r="ANZ14" s="1709"/>
      <c r="AOA14" s="1709"/>
      <c r="AOB14" s="1709"/>
      <c r="AOC14" s="1709"/>
      <c r="AOD14" s="1709"/>
      <c r="AOE14" s="1709"/>
      <c r="AOF14" s="1709"/>
      <c r="AOG14" s="1709"/>
      <c r="AOH14" s="1709"/>
      <c r="AOI14" s="1709"/>
      <c r="AOJ14" s="1709"/>
      <c r="AOK14" s="1709"/>
      <c r="AOL14" s="1709"/>
      <c r="AOM14" s="1709"/>
      <c r="AON14" s="1709"/>
      <c r="AOO14" s="1709"/>
      <c r="AOP14" s="1709"/>
      <c r="AOQ14" s="1709"/>
      <c r="AOR14" s="1709"/>
      <c r="AOS14" s="1709"/>
      <c r="AOT14" s="1709"/>
      <c r="AOU14" s="1709"/>
      <c r="AOV14" s="1709"/>
      <c r="AOW14" s="1709"/>
      <c r="AOX14" s="1709"/>
      <c r="AOY14" s="1709"/>
      <c r="AOZ14" s="1709"/>
      <c r="APA14" s="1709"/>
      <c r="APB14" s="1709"/>
      <c r="APC14" s="1709"/>
      <c r="APD14" s="1709"/>
      <c r="APE14" s="1709"/>
      <c r="APF14" s="1709"/>
      <c r="APG14" s="1709"/>
      <c r="APH14" s="1709"/>
      <c r="API14" s="1709"/>
      <c r="APJ14" s="1709"/>
      <c r="APK14" s="1709"/>
      <c r="APL14" s="1709"/>
      <c r="APM14" s="1709"/>
      <c r="APN14" s="1709"/>
      <c r="APO14" s="1709"/>
      <c r="APP14" s="1709"/>
      <c r="APQ14" s="1709"/>
      <c r="APR14" s="1709"/>
      <c r="APS14" s="1709"/>
      <c r="APT14" s="1709"/>
      <c r="APU14" s="1709"/>
      <c r="APV14" s="1709"/>
      <c r="APW14" s="1709"/>
      <c r="APX14" s="1709"/>
      <c r="APY14" s="1709"/>
      <c r="APZ14" s="1709"/>
      <c r="AQA14" s="1709"/>
      <c r="AQB14" s="1709"/>
      <c r="AQC14" s="1709"/>
      <c r="AQD14" s="1709"/>
      <c r="AQE14" s="1709"/>
      <c r="AQF14" s="1709"/>
      <c r="AQG14" s="1709"/>
      <c r="AQH14" s="1709"/>
      <c r="AQI14" s="1709"/>
      <c r="AQJ14" s="1709"/>
      <c r="AQK14" s="1709"/>
      <c r="AQL14" s="1709"/>
      <c r="AQM14" s="1709"/>
      <c r="AQN14" s="1709"/>
      <c r="AQO14" s="1709"/>
      <c r="AQP14" s="1709"/>
      <c r="AQQ14" s="1709"/>
      <c r="AQR14" s="1709"/>
      <c r="AQS14" s="1709"/>
      <c r="AQT14" s="1709"/>
      <c r="AQU14" s="1709"/>
      <c r="AQV14" s="1709"/>
      <c r="AQW14" s="1709"/>
      <c r="AQX14" s="1709"/>
      <c r="AQY14" s="1709"/>
      <c r="AQZ14" s="1709"/>
      <c r="ARA14" s="1709"/>
      <c r="ARB14" s="1709"/>
      <c r="ARC14" s="1709"/>
      <c r="ARD14" s="1709"/>
      <c r="ARE14" s="1709"/>
      <c r="ARF14" s="1709"/>
      <c r="ARG14" s="1709"/>
      <c r="ARH14" s="1709"/>
      <c r="ARI14" s="1709"/>
      <c r="ARJ14" s="1709"/>
      <c r="ARK14" s="1709"/>
      <c r="ARL14" s="1709"/>
      <c r="ARM14" s="1709"/>
      <c r="ARN14" s="1709"/>
      <c r="ARO14" s="1709"/>
      <c r="ARP14" s="1709"/>
      <c r="ARQ14" s="1709"/>
      <c r="ARR14" s="1709"/>
      <c r="ARS14" s="1709"/>
      <c r="ART14" s="1709"/>
      <c r="ARU14" s="1709"/>
      <c r="ARV14" s="1709"/>
      <c r="ARW14" s="1709"/>
      <c r="ARX14" s="1709"/>
      <c r="ARY14" s="1709"/>
      <c r="ARZ14" s="1709"/>
      <c r="ASA14" s="1709"/>
      <c r="ASB14" s="1709"/>
      <c r="ASC14" s="1709"/>
      <c r="ASD14" s="1709"/>
      <c r="ASE14" s="1709"/>
      <c r="ASF14" s="1709"/>
      <c r="ASG14" s="1709"/>
      <c r="ASH14" s="1709"/>
      <c r="ASI14" s="1709"/>
      <c r="ASJ14" s="1709"/>
      <c r="ASK14" s="1709"/>
      <c r="ASL14" s="1709"/>
      <c r="ASM14" s="1709"/>
      <c r="ASN14" s="1709"/>
      <c r="ASO14" s="1709"/>
      <c r="ASP14" s="1709"/>
      <c r="ASQ14" s="1709"/>
      <c r="ASR14" s="1709"/>
      <c r="ASS14" s="1709"/>
      <c r="AST14" s="1709"/>
      <c r="ASU14" s="1709"/>
      <c r="ASV14" s="1709"/>
      <c r="ASW14" s="1709"/>
      <c r="ASX14" s="1709"/>
      <c r="ASY14" s="1709"/>
      <c r="ASZ14" s="1709"/>
      <c r="ATA14" s="1709"/>
      <c r="ATB14" s="1709"/>
      <c r="ATC14" s="1709"/>
      <c r="ATD14" s="1709"/>
      <c r="ATE14" s="1709"/>
      <c r="ATF14" s="1709"/>
      <c r="ATG14" s="1709"/>
      <c r="ATH14" s="1709"/>
      <c r="ATI14" s="1709"/>
      <c r="ATJ14" s="1709"/>
      <c r="ATK14" s="1709"/>
      <c r="ATL14" s="1709"/>
      <c r="ATM14" s="1709"/>
      <c r="ATN14" s="1709"/>
      <c r="ATO14" s="1709"/>
      <c r="ATP14" s="1709"/>
      <c r="ATQ14" s="1709"/>
      <c r="ATR14" s="1709"/>
      <c r="ATS14" s="1709"/>
      <c r="ATT14" s="1709"/>
      <c r="ATU14" s="1709"/>
      <c r="ATV14" s="1709"/>
      <c r="ATW14" s="1709"/>
      <c r="ATX14" s="1709"/>
      <c r="ATY14" s="1709"/>
      <c r="ATZ14" s="1709"/>
      <c r="AUA14" s="1709"/>
      <c r="AUB14" s="1709"/>
      <c r="AUC14" s="1709"/>
      <c r="AUD14" s="1709"/>
      <c r="AUE14" s="1709"/>
      <c r="AUF14" s="1709"/>
      <c r="AUG14" s="1709"/>
      <c r="AUH14" s="1709"/>
      <c r="AUI14" s="1709"/>
      <c r="AUJ14" s="1709"/>
      <c r="AUK14" s="1709"/>
      <c r="AUL14" s="1709"/>
      <c r="AUM14" s="1709"/>
      <c r="AUN14" s="1709"/>
      <c r="AUO14" s="1709"/>
      <c r="AUP14" s="1709"/>
      <c r="AUQ14" s="1709"/>
      <c r="AUR14" s="1709"/>
      <c r="AUS14" s="1709"/>
      <c r="AUT14" s="1709"/>
      <c r="AUU14" s="1709"/>
      <c r="AUV14" s="1709"/>
      <c r="AUW14" s="1709"/>
      <c r="AUX14" s="1709"/>
      <c r="AUY14" s="1709"/>
      <c r="AUZ14" s="1709"/>
      <c r="AVA14" s="1709"/>
      <c r="AVB14" s="1709"/>
      <c r="AVC14" s="1709"/>
      <c r="AVD14" s="1709"/>
      <c r="AVE14" s="1709"/>
      <c r="AVF14" s="1709"/>
      <c r="AVG14" s="1709"/>
      <c r="AVH14" s="1709"/>
      <c r="AVI14" s="1709"/>
      <c r="AVJ14" s="1709"/>
      <c r="AVK14" s="1709"/>
      <c r="AVL14" s="1709"/>
      <c r="AVM14" s="1709"/>
      <c r="AVN14" s="1709"/>
      <c r="AVO14" s="1709"/>
      <c r="AVP14" s="1709"/>
      <c r="AVQ14" s="1709"/>
      <c r="AVR14" s="1709"/>
      <c r="AVS14" s="1709"/>
      <c r="AVT14" s="1709"/>
      <c r="AVU14" s="1709"/>
      <c r="AVV14" s="1709"/>
      <c r="AVW14" s="1709"/>
      <c r="AVX14" s="1709"/>
      <c r="AVY14" s="1709"/>
      <c r="AVZ14" s="1709"/>
      <c r="AWA14" s="1709"/>
      <c r="AWB14" s="1709"/>
      <c r="AWC14" s="1709"/>
      <c r="AWD14" s="1709"/>
      <c r="AWE14" s="1709"/>
      <c r="AWF14" s="1709"/>
      <c r="AWG14" s="1709"/>
      <c r="AWH14" s="1709"/>
      <c r="AWI14" s="1709"/>
      <c r="AWJ14" s="1709"/>
      <c r="AWK14" s="1709"/>
      <c r="AWL14" s="1709"/>
      <c r="AWM14" s="1709"/>
      <c r="AWN14" s="1709"/>
      <c r="AWO14" s="1709"/>
      <c r="AWP14" s="1709"/>
      <c r="AWQ14" s="1709"/>
      <c r="AWR14" s="1709"/>
      <c r="AWS14" s="1709"/>
      <c r="AWT14" s="1709"/>
      <c r="AWU14" s="1709"/>
      <c r="AWV14" s="1709"/>
      <c r="AWW14" s="1709"/>
      <c r="AWX14" s="1709"/>
      <c r="AWY14" s="1709"/>
      <c r="AWZ14" s="1709"/>
      <c r="AXA14" s="1709"/>
      <c r="AXB14" s="1709"/>
      <c r="AXC14" s="1709"/>
      <c r="AXD14" s="1709"/>
      <c r="AXE14" s="1709"/>
      <c r="AXF14" s="1709"/>
      <c r="AXG14" s="1709"/>
      <c r="AXH14" s="1709"/>
      <c r="AXI14" s="1709"/>
      <c r="AXJ14" s="1709"/>
      <c r="AXK14" s="1709"/>
      <c r="AXL14" s="1709"/>
      <c r="AXM14" s="1709"/>
      <c r="AXN14" s="1709"/>
      <c r="AXO14" s="1709"/>
      <c r="AXP14" s="1709"/>
      <c r="AXQ14" s="1709"/>
      <c r="AXR14" s="1709"/>
      <c r="AXS14" s="1709"/>
      <c r="AXT14" s="1709"/>
      <c r="AXU14" s="1709"/>
      <c r="AXV14" s="1709"/>
      <c r="AXW14" s="1709"/>
      <c r="AXX14" s="1709"/>
      <c r="AXY14" s="1709"/>
      <c r="AXZ14" s="1709"/>
      <c r="AYA14" s="1709"/>
      <c r="AYB14" s="1709"/>
      <c r="AYC14" s="1709"/>
      <c r="AYD14" s="1709"/>
      <c r="AYE14" s="1709"/>
      <c r="AYF14" s="1709"/>
      <c r="AYG14" s="1709"/>
      <c r="AYH14" s="1709"/>
      <c r="AYI14" s="1709"/>
      <c r="AYJ14" s="1709"/>
      <c r="AYK14" s="1709"/>
      <c r="AYL14" s="1709"/>
      <c r="AYM14" s="1709"/>
      <c r="AYN14" s="1709"/>
      <c r="AYO14" s="1709"/>
      <c r="AYP14" s="1709"/>
      <c r="AYQ14" s="1709"/>
      <c r="AYR14" s="1709"/>
      <c r="AYS14" s="1709"/>
      <c r="AYT14" s="1709"/>
      <c r="AYU14" s="1709"/>
      <c r="AYV14" s="1709"/>
      <c r="AYW14" s="1709"/>
      <c r="AYX14" s="1709"/>
      <c r="AYY14" s="1709"/>
      <c r="AYZ14" s="1709"/>
      <c r="AZA14" s="1709"/>
      <c r="AZB14" s="1709"/>
      <c r="AZC14" s="1709"/>
      <c r="AZD14" s="1709"/>
      <c r="AZE14" s="1709"/>
      <c r="AZF14" s="1709"/>
      <c r="AZG14" s="1709"/>
      <c r="AZH14" s="1709"/>
      <c r="AZI14" s="1709"/>
      <c r="AZJ14" s="1709"/>
      <c r="AZK14" s="1709"/>
      <c r="AZL14" s="1709"/>
      <c r="AZM14" s="1709"/>
      <c r="AZN14" s="1709"/>
      <c r="AZO14" s="1709"/>
      <c r="AZP14" s="1709"/>
      <c r="AZQ14" s="1709"/>
      <c r="AZR14" s="1709"/>
      <c r="AZS14" s="1709"/>
      <c r="AZT14" s="1709"/>
      <c r="AZU14" s="1709"/>
      <c r="AZV14" s="1709"/>
      <c r="AZW14" s="1709"/>
      <c r="AZX14" s="1709"/>
    </row>
    <row r="15" spans="1:1376" s="124" customFormat="1" ht="24.75" customHeight="1" x14ac:dyDescent="0.2">
      <c r="A15" s="3541"/>
      <c r="B15" s="3542"/>
      <c r="C15" s="3494"/>
      <c r="D15" s="3515"/>
      <c r="E15" s="3515"/>
      <c r="F15" s="3516"/>
      <c r="G15" s="2996"/>
      <c r="H15" s="2996"/>
      <c r="I15" s="3498"/>
      <c r="J15" s="3519"/>
      <c r="K15" s="3480"/>
      <c r="L15" s="3480"/>
      <c r="M15" s="3049"/>
      <c r="N15" s="3060"/>
      <c r="O15" s="3498"/>
      <c r="P15" s="3480"/>
      <c r="Q15" s="3482"/>
      <c r="R15" s="3529"/>
      <c r="S15" s="3480"/>
      <c r="T15" s="3477"/>
      <c r="U15" s="3520" t="s">
        <v>849</v>
      </c>
      <c r="V15" s="3523">
        <v>3425000</v>
      </c>
      <c r="W15" s="3535">
        <v>20</v>
      </c>
      <c r="X15" s="3536" t="s">
        <v>846</v>
      </c>
      <c r="Y15" s="3282"/>
      <c r="Z15" s="3282"/>
      <c r="AA15" s="3282"/>
      <c r="AB15" s="3282"/>
      <c r="AC15" s="3282"/>
      <c r="AD15" s="3282"/>
      <c r="AE15" s="3538"/>
      <c r="AF15" s="2031"/>
      <c r="AG15" s="2031"/>
      <c r="AH15" s="2031"/>
      <c r="AI15" s="2031"/>
      <c r="AJ15" s="2031"/>
      <c r="AK15" s="2031"/>
      <c r="AL15" s="2031"/>
      <c r="AM15" s="482"/>
      <c r="AN15" s="3150"/>
      <c r="AO15" s="3472"/>
      <c r="AP15" s="3474"/>
      <c r="AQ15" s="3477"/>
      <c r="AR15" s="1709"/>
      <c r="AS15" s="1709"/>
      <c r="AT15" s="1709"/>
      <c r="AU15" s="1709"/>
      <c r="AV15" s="1709"/>
      <c r="AW15" s="1709"/>
      <c r="AX15" s="1709"/>
      <c r="AY15" s="1709"/>
      <c r="AZ15" s="1709"/>
      <c r="BA15" s="1709"/>
      <c r="BB15" s="1709"/>
      <c r="BC15" s="1709"/>
      <c r="BD15" s="1709"/>
      <c r="BE15" s="1709"/>
      <c r="BF15" s="1709"/>
      <c r="BG15" s="1709"/>
      <c r="BH15" s="1709"/>
      <c r="BI15" s="1709"/>
      <c r="BJ15" s="1709"/>
      <c r="BK15" s="1709"/>
      <c r="BL15" s="1709"/>
      <c r="BM15" s="1709"/>
      <c r="BN15" s="1709"/>
      <c r="BO15" s="1709"/>
      <c r="BP15" s="1709"/>
      <c r="BQ15" s="1709"/>
      <c r="BR15" s="1709"/>
      <c r="BS15" s="1709"/>
      <c r="BT15" s="1709"/>
      <c r="BU15" s="1709"/>
      <c r="BV15" s="1709"/>
      <c r="BW15" s="1709"/>
      <c r="BX15" s="1709"/>
      <c r="BY15" s="1709"/>
      <c r="BZ15" s="1709"/>
      <c r="CA15" s="1709"/>
      <c r="CB15" s="1709"/>
      <c r="CC15" s="1709"/>
      <c r="CD15" s="1709"/>
      <c r="CE15" s="1709"/>
      <c r="CF15" s="1709"/>
      <c r="CG15" s="1709"/>
      <c r="CH15" s="1709"/>
      <c r="CI15" s="1709"/>
      <c r="CJ15" s="1709"/>
      <c r="CK15" s="1709"/>
      <c r="CL15" s="1709"/>
      <c r="CM15" s="1709"/>
      <c r="CN15" s="1709"/>
      <c r="CO15" s="1709"/>
      <c r="CP15" s="1709"/>
      <c r="CQ15" s="1709"/>
      <c r="CR15" s="1709"/>
      <c r="CS15" s="1709"/>
      <c r="CT15" s="1709"/>
      <c r="CU15" s="1709"/>
      <c r="CV15" s="1709"/>
      <c r="CW15" s="1709"/>
      <c r="CX15" s="1709"/>
      <c r="CY15" s="1709"/>
      <c r="CZ15" s="1709"/>
      <c r="DA15" s="1709"/>
      <c r="DB15" s="1709"/>
      <c r="DC15" s="1709"/>
      <c r="DD15" s="1709"/>
      <c r="DE15" s="1709"/>
      <c r="DF15" s="1709"/>
      <c r="DG15" s="1709"/>
      <c r="DH15" s="1709"/>
      <c r="DI15" s="1709"/>
      <c r="DJ15" s="1709"/>
      <c r="DK15" s="1709"/>
      <c r="DL15" s="1709"/>
      <c r="DM15" s="1709"/>
      <c r="DN15" s="1709"/>
      <c r="DO15" s="1709"/>
      <c r="DP15" s="1709"/>
      <c r="DQ15" s="1709"/>
      <c r="DR15" s="1709"/>
      <c r="DS15" s="1709"/>
      <c r="DT15" s="1709"/>
      <c r="DU15" s="1709"/>
      <c r="DV15" s="1709"/>
      <c r="DW15" s="1709"/>
      <c r="DX15" s="1709"/>
      <c r="DY15" s="1709"/>
      <c r="DZ15" s="1709"/>
      <c r="EA15" s="1709"/>
      <c r="EB15" s="1709"/>
      <c r="EC15" s="1709"/>
      <c r="ED15" s="1709"/>
      <c r="EE15" s="1709"/>
      <c r="EF15" s="1709"/>
      <c r="EG15" s="1709"/>
      <c r="EH15" s="1709"/>
      <c r="EI15" s="1709"/>
      <c r="EJ15" s="1709"/>
      <c r="EK15" s="1709"/>
      <c r="EL15" s="1709"/>
      <c r="EM15" s="1709"/>
      <c r="EN15" s="1709"/>
      <c r="EO15" s="1709"/>
      <c r="EP15" s="1709"/>
      <c r="EQ15" s="1709"/>
      <c r="ER15" s="1709"/>
      <c r="ES15" s="1709"/>
      <c r="ET15" s="1709"/>
      <c r="EU15" s="1709"/>
      <c r="EV15" s="1709"/>
      <c r="EW15" s="1709"/>
      <c r="EX15" s="1709"/>
      <c r="EY15" s="1709"/>
      <c r="EZ15" s="1709"/>
      <c r="FA15" s="1709"/>
      <c r="FB15" s="1709"/>
      <c r="FC15" s="1709"/>
      <c r="FD15" s="1709"/>
      <c r="FE15" s="1709"/>
      <c r="FF15" s="1709"/>
      <c r="FG15" s="1709"/>
      <c r="FH15" s="1709"/>
      <c r="FI15" s="1709"/>
      <c r="FJ15" s="1709"/>
      <c r="FK15" s="1709"/>
      <c r="FL15" s="1709"/>
      <c r="FM15" s="1709"/>
      <c r="FN15" s="1709"/>
      <c r="FO15" s="1709"/>
      <c r="FP15" s="1709"/>
      <c r="FQ15" s="1709"/>
      <c r="FR15" s="1709"/>
      <c r="FS15" s="1709"/>
      <c r="FT15" s="1709"/>
      <c r="FU15" s="1709"/>
      <c r="FV15" s="1709"/>
      <c r="FW15" s="1709"/>
      <c r="FX15" s="1709"/>
      <c r="FY15" s="1709"/>
      <c r="FZ15" s="1709"/>
      <c r="GA15" s="1709"/>
      <c r="GB15" s="1709"/>
      <c r="GC15" s="1709"/>
      <c r="GD15" s="1709"/>
      <c r="GE15" s="1709"/>
      <c r="GF15" s="1709"/>
      <c r="GG15" s="1709"/>
      <c r="GH15" s="1709"/>
      <c r="GI15" s="1709"/>
      <c r="GJ15" s="1709"/>
      <c r="GK15" s="1709"/>
      <c r="GL15" s="1709"/>
      <c r="GM15" s="1709"/>
      <c r="GN15" s="1709"/>
      <c r="GO15" s="1709"/>
      <c r="GP15" s="1709"/>
      <c r="GQ15" s="1709"/>
      <c r="GR15" s="1709"/>
      <c r="GS15" s="1709"/>
      <c r="GT15" s="1709"/>
      <c r="GU15" s="1709"/>
      <c r="GV15" s="1709"/>
      <c r="GW15" s="1709"/>
      <c r="GX15" s="1709"/>
      <c r="GY15" s="1709"/>
      <c r="GZ15" s="1709"/>
      <c r="HA15" s="1709"/>
      <c r="HB15" s="1709"/>
      <c r="HC15" s="1709"/>
      <c r="HD15" s="1709"/>
      <c r="HE15" s="1709"/>
      <c r="HF15" s="1709"/>
      <c r="HG15" s="1709"/>
      <c r="HH15" s="1709"/>
      <c r="HI15" s="1709"/>
      <c r="HJ15" s="1709"/>
      <c r="HK15" s="1709"/>
      <c r="HL15" s="1709"/>
      <c r="HM15" s="1709"/>
      <c r="HN15" s="1709"/>
      <c r="HO15" s="1709"/>
      <c r="HP15" s="1709"/>
      <c r="HQ15" s="1709"/>
      <c r="HR15" s="1709"/>
      <c r="HS15" s="1709"/>
      <c r="HT15" s="1709"/>
      <c r="HU15" s="1709"/>
      <c r="HV15" s="1709"/>
      <c r="HW15" s="1709"/>
      <c r="HX15" s="1709"/>
      <c r="HY15" s="1709"/>
      <c r="HZ15" s="1709"/>
      <c r="IA15" s="1709"/>
      <c r="IB15" s="1709"/>
      <c r="IC15" s="1709"/>
      <c r="ID15" s="1709"/>
      <c r="IE15" s="1709"/>
      <c r="IF15" s="1709"/>
      <c r="IG15" s="1709"/>
      <c r="IH15" s="1709"/>
      <c r="II15" s="1709"/>
      <c r="IJ15" s="1709"/>
      <c r="IK15" s="1709"/>
      <c r="IL15" s="1709"/>
      <c r="IM15" s="1709"/>
      <c r="IN15" s="1709"/>
      <c r="IO15" s="1709"/>
      <c r="IP15" s="1709"/>
      <c r="IQ15" s="1709"/>
      <c r="IR15" s="1709"/>
      <c r="IS15" s="1709"/>
      <c r="IT15" s="1709"/>
      <c r="IU15" s="1709"/>
      <c r="IV15" s="1709"/>
      <c r="IW15" s="1709"/>
      <c r="IX15" s="1709"/>
      <c r="IY15" s="1709"/>
      <c r="IZ15" s="1709"/>
      <c r="JA15" s="1709"/>
      <c r="JB15" s="1709"/>
      <c r="JC15" s="1709"/>
      <c r="JD15" s="1709"/>
      <c r="JE15" s="1709"/>
      <c r="JF15" s="1709"/>
      <c r="JG15" s="1709"/>
      <c r="JH15" s="1709"/>
      <c r="JI15" s="1709"/>
      <c r="JJ15" s="1709"/>
      <c r="JK15" s="1709"/>
      <c r="JL15" s="1709"/>
      <c r="JM15" s="1709"/>
      <c r="JN15" s="1709"/>
      <c r="JO15" s="1709"/>
      <c r="JP15" s="1709"/>
      <c r="JQ15" s="1709"/>
      <c r="JR15" s="1709"/>
      <c r="JS15" s="1709"/>
      <c r="JT15" s="1709"/>
      <c r="JU15" s="1709"/>
      <c r="JV15" s="1709"/>
      <c r="JW15" s="1709"/>
      <c r="JX15" s="1709"/>
      <c r="JY15" s="1709"/>
      <c r="JZ15" s="1709"/>
      <c r="KA15" s="1709"/>
      <c r="KB15" s="1709"/>
      <c r="KC15" s="1709"/>
      <c r="KD15" s="1709"/>
      <c r="KE15" s="1709"/>
      <c r="KF15" s="1709"/>
      <c r="KG15" s="1709"/>
      <c r="KH15" s="1709"/>
      <c r="KI15" s="1709"/>
      <c r="KJ15" s="1709"/>
      <c r="KK15" s="1709"/>
      <c r="KL15" s="1709"/>
      <c r="KM15" s="1709"/>
      <c r="KN15" s="1709"/>
      <c r="KO15" s="1709"/>
      <c r="KP15" s="1709"/>
      <c r="KQ15" s="1709"/>
      <c r="KR15" s="1709"/>
      <c r="KS15" s="1709"/>
      <c r="KT15" s="1709"/>
      <c r="KU15" s="1709"/>
      <c r="KV15" s="1709"/>
      <c r="KW15" s="1709"/>
      <c r="KX15" s="1709"/>
      <c r="KY15" s="1709"/>
      <c r="KZ15" s="1709"/>
      <c r="LA15" s="1709"/>
      <c r="LB15" s="1709"/>
      <c r="LC15" s="1709"/>
      <c r="LD15" s="1709"/>
      <c r="LE15" s="1709"/>
      <c r="LF15" s="1709"/>
      <c r="LG15" s="1709"/>
      <c r="LH15" s="1709"/>
      <c r="LI15" s="1709"/>
      <c r="LJ15" s="1709"/>
      <c r="LK15" s="1709"/>
      <c r="LL15" s="1709"/>
      <c r="LM15" s="1709"/>
      <c r="LN15" s="1709"/>
      <c r="LO15" s="1709"/>
      <c r="LP15" s="1709"/>
      <c r="LQ15" s="1709"/>
      <c r="LR15" s="1709"/>
      <c r="LS15" s="1709"/>
      <c r="LT15" s="1709"/>
      <c r="LU15" s="1709"/>
      <c r="LV15" s="1709"/>
      <c r="LW15" s="1709"/>
      <c r="LX15" s="1709"/>
      <c r="LY15" s="1709"/>
      <c r="LZ15" s="1709"/>
      <c r="MA15" s="1709"/>
      <c r="MB15" s="1709"/>
      <c r="MC15" s="1709"/>
      <c r="MD15" s="1709"/>
      <c r="ME15" s="1709"/>
      <c r="MF15" s="1709"/>
      <c r="MG15" s="1709"/>
      <c r="MH15" s="1709"/>
      <c r="MI15" s="1709"/>
      <c r="MJ15" s="1709"/>
      <c r="MK15" s="1709"/>
      <c r="ML15" s="1709"/>
      <c r="MM15" s="1709"/>
      <c r="MN15" s="1709"/>
      <c r="MO15" s="1709"/>
      <c r="MP15" s="1709"/>
      <c r="MQ15" s="1709"/>
      <c r="MR15" s="1709"/>
      <c r="MS15" s="1709"/>
      <c r="MT15" s="1709"/>
      <c r="MU15" s="1709"/>
      <c r="MV15" s="1709"/>
      <c r="MW15" s="1709"/>
      <c r="MX15" s="1709"/>
      <c r="MY15" s="1709"/>
      <c r="MZ15" s="1709"/>
      <c r="NA15" s="1709"/>
      <c r="NB15" s="1709"/>
      <c r="NC15" s="1709"/>
      <c r="ND15" s="1709"/>
      <c r="NE15" s="1709"/>
      <c r="NF15" s="1709"/>
      <c r="NG15" s="1709"/>
      <c r="NH15" s="1709"/>
      <c r="NI15" s="1709"/>
      <c r="NJ15" s="1709"/>
      <c r="NK15" s="1709"/>
      <c r="NL15" s="1709"/>
      <c r="NM15" s="1709"/>
      <c r="NN15" s="1709"/>
      <c r="NO15" s="1709"/>
      <c r="NP15" s="1709"/>
      <c r="NQ15" s="1709"/>
      <c r="NR15" s="1709"/>
      <c r="NS15" s="1709"/>
      <c r="NT15" s="1709"/>
      <c r="NU15" s="1709"/>
      <c r="NV15" s="1709"/>
      <c r="NW15" s="1709"/>
      <c r="NX15" s="1709"/>
      <c r="NY15" s="1709"/>
      <c r="NZ15" s="1709"/>
      <c r="OA15" s="1709"/>
      <c r="OB15" s="1709"/>
      <c r="OC15" s="1709"/>
      <c r="OD15" s="1709"/>
      <c r="OE15" s="1709"/>
      <c r="OF15" s="1709"/>
      <c r="OG15" s="1709"/>
      <c r="OH15" s="1709"/>
      <c r="OI15" s="1709"/>
      <c r="OJ15" s="1709"/>
      <c r="OK15" s="1709"/>
      <c r="OL15" s="1709"/>
      <c r="OM15" s="1709"/>
      <c r="ON15" s="1709"/>
      <c r="OO15" s="1709"/>
      <c r="OP15" s="1709"/>
      <c r="OQ15" s="1709"/>
      <c r="OR15" s="1709"/>
      <c r="OS15" s="1709"/>
      <c r="OT15" s="1709"/>
      <c r="OU15" s="1709"/>
      <c r="OV15" s="1709"/>
      <c r="OW15" s="1709"/>
      <c r="OX15" s="1709"/>
      <c r="OY15" s="1709"/>
      <c r="OZ15" s="1709"/>
      <c r="PA15" s="1709"/>
      <c r="PB15" s="1709"/>
      <c r="PC15" s="1709"/>
      <c r="PD15" s="1709"/>
      <c r="PE15" s="1709"/>
      <c r="PF15" s="1709"/>
      <c r="PG15" s="1709"/>
      <c r="PH15" s="1709"/>
      <c r="PI15" s="1709"/>
      <c r="PJ15" s="1709"/>
      <c r="PK15" s="1709"/>
      <c r="PL15" s="1709"/>
      <c r="PM15" s="1709"/>
      <c r="PN15" s="1709"/>
      <c r="PO15" s="1709"/>
      <c r="PP15" s="1709"/>
      <c r="PQ15" s="1709"/>
      <c r="PR15" s="1709"/>
      <c r="PS15" s="1709"/>
      <c r="PT15" s="1709"/>
      <c r="PU15" s="1709"/>
      <c r="PV15" s="1709"/>
      <c r="PW15" s="1709"/>
      <c r="PX15" s="1709"/>
      <c r="PY15" s="1709"/>
      <c r="PZ15" s="1709"/>
      <c r="QA15" s="1709"/>
      <c r="QB15" s="1709"/>
      <c r="QC15" s="1709"/>
      <c r="QD15" s="1709"/>
      <c r="QE15" s="1709"/>
      <c r="QF15" s="1709"/>
      <c r="QG15" s="1709"/>
      <c r="QH15" s="1709"/>
      <c r="QI15" s="1709"/>
      <c r="QJ15" s="1709"/>
      <c r="QK15" s="1709"/>
      <c r="QL15" s="1709"/>
      <c r="QM15" s="1709"/>
      <c r="QN15" s="1709"/>
      <c r="QO15" s="1709"/>
      <c r="QP15" s="1709"/>
      <c r="QQ15" s="1709"/>
      <c r="QR15" s="1709"/>
      <c r="QS15" s="1709"/>
      <c r="QT15" s="1709"/>
      <c r="QU15" s="1709"/>
      <c r="QV15" s="1709"/>
      <c r="QW15" s="1709"/>
      <c r="QX15" s="1709"/>
      <c r="QY15" s="1709"/>
      <c r="QZ15" s="1709"/>
      <c r="RA15" s="1709"/>
      <c r="RB15" s="1709"/>
      <c r="RC15" s="1709"/>
      <c r="RD15" s="1709"/>
      <c r="RE15" s="1709"/>
      <c r="RF15" s="1709"/>
      <c r="RG15" s="1709"/>
      <c r="RH15" s="1709"/>
      <c r="RI15" s="1709"/>
      <c r="RJ15" s="1709"/>
      <c r="RK15" s="1709"/>
      <c r="RL15" s="1709"/>
      <c r="RM15" s="1709"/>
      <c r="RN15" s="1709"/>
      <c r="RO15" s="1709"/>
      <c r="RP15" s="1709"/>
      <c r="RQ15" s="1709"/>
      <c r="RR15" s="1709"/>
      <c r="RS15" s="1709"/>
      <c r="RT15" s="1709"/>
      <c r="RU15" s="1709"/>
      <c r="RV15" s="1709"/>
      <c r="RW15" s="1709"/>
      <c r="RX15" s="1709"/>
      <c r="RY15" s="1709"/>
      <c r="RZ15" s="1709"/>
      <c r="SA15" s="1709"/>
      <c r="SB15" s="1709"/>
      <c r="SC15" s="1709"/>
      <c r="SD15" s="1709"/>
      <c r="SE15" s="1709"/>
      <c r="SF15" s="1709"/>
      <c r="SG15" s="1709"/>
      <c r="SH15" s="1709"/>
      <c r="SI15" s="1709"/>
      <c r="SJ15" s="1709"/>
      <c r="SK15" s="1709"/>
      <c r="SL15" s="1709"/>
      <c r="SM15" s="1709"/>
      <c r="SN15" s="1709"/>
      <c r="SO15" s="1709"/>
      <c r="SP15" s="1709"/>
      <c r="SQ15" s="1709"/>
      <c r="SR15" s="1709"/>
      <c r="SS15" s="1709"/>
      <c r="ST15" s="1709"/>
      <c r="SU15" s="1709"/>
      <c r="SV15" s="1709"/>
      <c r="SW15" s="1709"/>
      <c r="SX15" s="1709"/>
      <c r="SY15" s="1709"/>
      <c r="SZ15" s="1709"/>
      <c r="TA15" s="1709"/>
      <c r="TB15" s="1709"/>
      <c r="TC15" s="1709"/>
      <c r="TD15" s="1709"/>
      <c r="TE15" s="1709"/>
      <c r="TF15" s="1709"/>
      <c r="TG15" s="1709"/>
      <c r="TH15" s="1709"/>
      <c r="TI15" s="1709"/>
      <c r="TJ15" s="1709"/>
      <c r="TK15" s="1709"/>
      <c r="TL15" s="1709"/>
      <c r="TM15" s="1709"/>
      <c r="TN15" s="1709"/>
      <c r="TO15" s="1709"/>
      <c r="TP15" s="1709"/>
      <c r="TQ15" s="1709"/>
      <c r="TR15" s="1709"/>
      <c r="TS15" s="1709"/>
      <c r="TT15" s="1709"/>
      <c r="TU15" s="1709"/>
      <c r="TV15" s="1709"/>
      <c r="TW15" s="1709"/>
      <c r="TX15" s="1709"/>
      <c r="TY15" s="1709"/>
      <c r="TZ15" s="1709"/>
      <c r="UA15" s="1709"/>
      <c r="UB15" s="1709"/>
      <c r="UC15" s="1709"/>
      <c r="UD15" s="1709"/>
      <c r="UE15" s="1709"/>
      <c r="UF15" s="1709"/>
      <c r="UG15" s="1709"/>
      <c r="UH15" s="1709"/>
      <c r="UI15" s="1709"/>
      <c r="UJ15" s="1709"/>
      <c r="UK15" s="1709"/>
      <c r="UL15" s="1709"/>
      <c r="UM15" s="1709"/>
      <c r="UN15" s="1709"/>
      <c r="UO15" s="1709"/>
      <c r="UP15" s="1709"/>
      <c r="UQ15" s="1709"/>
      <c r="UR15" s="1709"/>
      <c r="US15" s="1709"/>
      <c r="UT15" s="1709"/>
      <c r="UU15" s="1709"/>
      <c r="UV15" s="1709"/>
      <c r="UW15" s="1709"/>
      <c r="UX15" s="1709"/>
      <c r="UY15" s="1709"/>
      <c r="UZ15" s="1709"/>
      <c r="VA15" s="1709"/>
      <c r="VB15" s="1709"/>
      <c r="VC15" s="1709"/>
      <c r="VD15" s="1709"/>
      <c r="VE15" s="1709"/>
      <c r="VF15" s="1709"/>
      <c r="VG15" s="1709"/>
      <c r="VH15" s="1709"/>
      <c r="VI15" s="1709"/>
      <c r="VJ15" s="1709"/>
      <c r="VK15" s="1709"/>
      <c r="VL15" s="1709"/>
      <c r="VM15" s="1709"/>
      <c r="VN15" s="1709"/>
      <c r="VO15" s="1709"/>
      <c r="VP15" s="1709"/>
      <c r="VQ15" s="1709"/>
      <c r="VR15" s="1709"/>
      <c r="VS15" s="1709"/>
      <c r="VT15" s="1709"/>
      <c r="VU15" s="1709"/>
      <c r="VV15" s="1709"/>
      <c r="VW15" s="1709"/>
      <c r="VX15" s="1709"/>
      <c r="VY15" s="1709"/>
      <c r="VZ15" s="1709"/>
      <c r="WA15" s="1709"/>
      <c r="WB15" s="1709"/>
      <c r="WC15" s="1709"/>
      <c r="WD15" s="1709"/>
      <c r="WE15" s="1709"/>
      <c r="WF15" s="1709"/>
      <c r="WG15" s="1709"/>
      <c r="WH15" s="1709"/>
      <c r="WI15" s="1709"/>
      <c r="WJ15" s="1709"/>
      <c r="WK15" s="1709"/>
      <c r="WL15" s="1709"/>
      <c r="WM15" s="1709"/>
      <c r="WN15" s="1709"/>
      <c r="WO15" s="1709"/>
      <c r="WP15" s="1709"/>
      <c r="WQ15" s="1709"/>
      <c r="WR15" s="1709"/>
      <c r="WS15" s="1709"/>
      <c r="WT15" s="1709"/>
      <c r="WU15" s="1709"/>
      <c r="WV15" s="1709"/>
      <c r="WW15" s="1709"/>
      <c r="WX15" s="1709"/>
      <c r="WY15" s="1709"/>
      <c r="WZ15" s="1709"/>
      <c r="XA15" s="1709"/>
      <c r="XB15" s="1709"/>
      <c r="XC15" s="1709"/>
      <c r="XD15" s="1709"/>
      <c r="XE15" s="1709"/>
      <c r="XF15" s="1709"/>
      <c r="XG15" s="1709"/>
      <c r="XH15" s="1709"/>
      <c r="XI15" s="1709"/>
      <c r="XJ15" s="1709"/>
      <c r="XK15" s="1709"/>
      <c r="XL15" s="1709"/>
      <c r="XM15" s="1709"/>
      <c r="XN15" s="1709"/>
      <c r="XO15" s="1709"/>
      <c r="XP15" s="1709"/>
      <c r="XQ15" s="1709"/>
      <c r="XR15" s="1709"/>
      <c r="XS15" s="1709"/>
      <c r="XT15" s="1709"/>
      <c r="XU15" s="1709"/>
      <c r="XV15" s="1709"/>
      <c r="XW15" s="1709"/>
      <c r="XX15" s="1709"/>
      <c r="XY15" s="1709"/>
      <c r="XZ15" s="1709"/>
      <c r="YA15" s="1709"/>
      <c r="YB15" s="1709"/>
      <c r="YC15" s="1709"/>
      <c r="YD15" s="1709"/>
      <c r="YE15" s="1709"/>
      <c r="YF15" s="1709"/>
      <c r="YG15" s="1709"/>
      <c r="YH15" s="1709"/>
      <c r="YI15" s="1709"/>
      <c r="YJ15" s="1709"/>
      <c r="YK15" s="1709"/>
      <c r="YL15" s="1709"/>
      <c r="YM15" s="1709"/>
      <c r="YN15" s="1709"/>
      <c r="YO15" s="1709"/>
      <c r="YP15" s="1709"/>
      <c r="YQ15" s="1709"/>
      <c r="YR15" s="1709"/>
      <c r="YS15" s="1709"/>
      <c r="YT15" s="1709"/>
      <c r="YU15" s="1709"/>
      <c r="YV15" s="1709"/>
      <c r="YW15" s="1709"/>
      <c r="YX15" s="1709"/>
      <c r="YY15" s="1709"/>
      <c r="YZ15" s="1709"/>
      <c r="ZA15" s="1709"/>
      <c r="ZB15" s="1709"/>
      <c r="ZC15" s="1709"/>
      <c r="ZD15" s="1709"/>
      <c r="ZE15" s="1709"/>
      <c r="ZF15" s="1709"/>
      <c r="ZG15" s="1709"/>
      <c r="ZH15" s="1709"/>
      <c r="ZI15" s="1709"/>
      <c r="ZJ15" s="1709"/>
      <c r="ZK15" s="1709"/>
      <c r="ZL15" s="1709"/>
      <c r="ZM15" s="1709"/>
      <c r="ZN15" s="1709"/>
      <c r="ZO15" s="1709"/>
      <c r="ZP15" s="1709"/>
      <c r="ZQ15" s="1709"/>
      <c r="ZR15" s="1709"/>
      <c r="ZS15" s="1709"/>
      <c r="ZT15" s="1709"/>
      <c r="ZU15" s="1709"/>
      <c r="ZV15" s="1709"/>
      <c r="ZW15" s="1709"/>
      <c r="ZX15" s="1709"/>
      <c r="ZY15" s="1709"/>
      <c r="ZZ15" s="1709"/>
      <c r="AAA15" s="1709"/>
      <c r="AAB15" s="1709"/>
      <c r="AAC15" s="1709"/>
      <c r="AAD15" s="1709"/>
      <c r="AAE15" s="1709"/>
      <c r="AAF15" s="1709"/>
      <c r="AAG15" s="1709"/>
      <c r="AAH15" s="1709"/>
      <c r="AAI15" s="1709"/>
      <c r="AAJ15" s="1709"/>
      <c r="AAK15" s="1709"/>
      <c r="AAL15" s="1709"/>
      <c r="AAM15" s="1709"/>
      <c r="AAN15" s="1709"/>
      <c r="AAO15" s="1709"/>
      <c r="AAP15" s="1709"/>
      <c r="AAQ15" s="1709"/>
      <c r="AAR15" s="1709"/>
      <c r="AAS15" s="1709"/>
      <c r="AAT15" s="1709"/>
      <c r="AAU15" s="1709"/>
      <c r="AAV15" s="1709"/>
      <c r="AAW15" s="1709"/>
      <c r="AAX15" s="1709"/>
      <c r="AAY15" s="1709"/>
      <c r="AAZ15" s="1709"/>
      <c r="ABA15" s="1709"/>
      <c r="ABB15" s="1709"/>
      <c r="ABC15" s="1709"/>
      <c r="ABD15" s="1709"/>
      <c r="ABE15" s="1709"/>
      <c r="ABF15" s="1709"/>
      <c r="ABG15" s="1709"/>
      <c r="ABH15" s="1709"/>
      <c r="ABI15" s="1709"/>
      <c r="ABJ15" s="1709"/>
      <c r="ABK15" s="1709"/>
      <c r="ABL15" s="1709"/>
      <c r="ABM15" s="1709"/>
      <c r="ABN15" s="1709"/>
      <c r="ABO15" s="1709"/>
      <c r="ABP15" s="1709"/>
      <c r="ABQ15" s="1709"/>
      <c r="ABR15" s="1709"/>
      <c r="ABS15" s="1709"/>
      <c r="ABT15" s="1709"/>
      <c r="ABU15" s="1709"/>
      <c r="ABV15" s="1709"/>
      <c r="ABW15" s="1709"/>
      <c r="ABX15" s="1709"/>
      <c r="ABY15" s="1709"/>
      <c r="ABZ15" s="1709"/>
      <c r="ACA15" s="1709"/>
      <c r="ACB15" s="1709"/>
      <c r="ACC15" s="1709"/>
      <c r="ACD15" s="1709"/>
      <c r="ACE15" s="1709"/>
      <c r="ACF15" s="1709"/>
      <c r="ACG15" s="1709"/>
      <c r="ACH15" s="1709"/>
      <c r="ACI15" s="1709"/>
      <c r="ACJ15" s="1709"/>
      <c r="ACK15" s="1709"/>
      <c r="ACL15" s="1709"/>
      <c r="ACM15" s="1709"/>
      <c r="ACN15" s="1709"/>
      <c r="ACO15" s="1709"/>
      <c r="ACP15" s="1709"/>
      <c r="ACQ15" s="1709"/>
      <c r="ACR15" s="1709"/>
      <c r="ACS15" s="1709"/>
      <c r="ACT15" s="1709"/>
      <c r="ACU15" s="1709"/>
      <c r="ACV15" s="1709"/>
      <c r="ACW15" s="1709"/>
      <c r="ACX15" s="1709"/>
      <c r="ACY15" s="1709"/>
      <c r="ACZ15" s="1709"/>
      <c r="ADA15" s="1709"/>
      <c r="ADB15" s="1709"/>
      <c r="ADC15" s="1709"/>
      <c r="ADD15" s="1709"/>
      <c r="ADE15" s="1709"/>
      <c r="ADF15" s="1709"/>
      <c r="ADG15" s="1709"/>
      <c r="ADH15" s="1709"/>
      <c r="ADI15" s="1709"/>
      <c r="ADJ15" s="1709"/>
      <c r="ADK15" s="1709"/>
      <c r="ADL15" s="1709"/>
      <c r="ADM15" s="1709"/>
      <c r="ADN15" s="1709"/>
      <c r="ADO15" s="1709"/>
      <c r="ADP15" s="1709"/>
      <c r="ADQ15" s="1709"/>
      <c r="ADR15" s="1709"/>
      <c r="ADS15" s="1709"/>
      <c r="ADT15" s="1709"/>
      <c r="ADU15" s="1709"/>
      <c r="ADV15" s="1709"/>
      <c r="ADW15" s="1709"/>
      <c r="ADX15" s="1709"/>
      <c r="ADY15" s="1709"/>
      <c r="ADZ15" s="1709"/>
      <c r="AEA15" s="1709"/>
      <c r="AEB15" s="1709"/>
      <c r="AEC15" s="1709"/>
      <c r="AED15" s="1709"/>
      <c r="AEE15" s="1709"/>
      <c r="AEF15" s="1709"/>
      <c r="AEG15" s="1709"/>
      <c r="AEH15" s="1709"/>
      <c r="AEI15" s="1709"/>
      <c r="AEJ15" s="1709"/>
      <c r="AEK15" s="1709"/>
      <c r="AEL15" s="1709"/>
      <c r="AEM15" s="1709"/>
      <c r="AEN15" s="1709"/>
      <c r="AEO15" s="1709"/>
      <c r="AEP15" s="1709"/>
      <c r="AEQ15" s="1709"/>
      <c r="AER15" s="1709"/>
      <c r="AES15" s="1709"/>
      <c r="AET15" s="1709"/>
      <c r="AEU15" s="1709"/>
      <c r="AEV15" s="1709"/>
      <c r="AEW15" s="1709"/>
      <c r="AEX15" s="1709"/>
      <c r="AEY15" s="1709"/>
      <c r="AEZ15" s="1709"/>
      <c r="AFA15" s="1709"/>
      <c r="AFB15" s="1709"/>
      <c r="AFC15" s="1709"/>
      <c r="AFD15" s="1709"/>
      <c r="AFE15" s="1709"/>
      <c r="AFF15" s="1709"/>
      <c r="AFG15" s="1709"/>
      <c r="AFH15" s="1709"/>
      <c r="AFI15" s="1709"/>
      <c r="AFJ15" s="1709"/>
      <c r="AFK15" s="1709"/>
      <c r="AFL15" s="1709"/>
      <c r="AFM15" s="1709"/>
      <c r="AFN15" s="1709"/>
      <c r="AFO15" s="1709"/>
      <c r="AFP15" s="1709"/>
      <c r="AFQ15" s="1709"/>
      <c r="AFR15" s="1709"/>
      <c r="AFS15" s="1709"/>
      <c r="AFT15" s="1709"/>
      <c r="AFU15" s="1709"/>
      <c r="AFV15" s="1709"/>
      <c r="AFW15" s="1709"/>
      <c r="AFX15" s="1709"/>
      <c r="AFY15" s="1709"/>
      <c r="AFZ15" s="1709"/>
      <c r="AGA15" s="1709"/>
      <c r="AGB15" s="1709"/>
      <c r="AGC15" s="1709"/>
      <c r="AGD15" s="1709"/>
      <c r="AGE15" s="1709"/>
      <c r="AGF15" s="1709"/>
      <c r="AGG15" s="1709"/>
      <c r="AGH15" s="1709"/>
      <c r="AGI15" s="1709"/>
      <c r="AGJ15" s="1709"/>
      <c r="AGK15" s="1709"/>
      <c r="AGL15" s="1709"/>
      <c r="AGM15" s="1709"/>
      <c r="AGN15" s="1709"/>
      <c r="AGO15" s="1709"/>
      <c r="AGP15" s="1709"/>
      <c r="AGQ15" s="1709"/>
      <c r="AGR15" s="1709"/>
      <c r="AGS15" s="1709"/>
      <c r="AGT15" s="1709"/>
      <c r="AGU15" s="1709"/>
      <c r="AGV15" s="1709"/>
      <c r="AGW15" s="1709"/>
      <c r="AGX15" s="1709"/>
      <c r="AGY15" s="1709"/>
      <c r="AGZ15" s="1709"/>
      <c r="AHA15" s="1709"/>
      <c r="AHB15" s="1709"/>
      <c r="AHC15" s="1709"/>
      <c r="AHD15" s="1709"/>
      <c r="AHE15" s="1709"/>
      <c r="AHF15" s="1709"/>
      <c r="AHG15" s="1709"/>
      <c r="AHH15" s="1709"/>
      <c r="AHI15" s="1709"/>
      <c r="AHJ15" s="1709"/>
      <c r="AHK15" s="1709"/>
      <c r="AHL15" s="1709"/>
      <c r="AHM15" s="1709"/>
      <c r="AHN15" s="1709"/>
      <c r="AHO15" s="1709"/>
      <c r="AHP15" s="1709"/>
      <c r="AHQ15" s="1709"/>
      <c r="AHR15" s="1709"/>
      <c r="AHS15" s="1709"/>
      <c r="AHT15" s="1709"/>
      <c r="AHU15" s="1709"/>
      <c r="AHV15" s="1709"/>
      <c r="AHW15" s="1709"/>
      <c r="AHX15" s="1709"/>
      <c r="AHY15" s="1709"/>
      <c r="AHZ15" s="1709"/>
      <c r="AIA15" s="1709"/>
      <c r="AIB15" s="1709"/>
      <c r="AIC15" s="1709"/>
      <c r="AID15" s="1709"/>
      <c r="AIE15" s="1709"/>
      <c r="AIF15" s="1709"/>
      <c r="AIG15" s="1709"/>
      <c r="AIH15" s="1709"/>
      <c r="AII15" s="1709"/>
      <c r="AIJ15" s="1709"/>
      <c r="AIK15" s="1709"/>
      <c r="AIL15" s="1709"/>
      <c r="AIM15" s="1709"/>
      <c r="AIN15" s="1709"/>
      <c r="AIO15" s="1709"/>
      <c r="AIP15" s="1709"/>
      <c r="AIQ15" s="1709"/>
      <c r="AIR15" s="1709"/>
      <c r="AIS15" s="1709"/>
      <c r="AIT15" s="1709"/>
      <c r="AIU15" s="1709"/>
      <c r="AIV15" s="1709"/>
      <c r="AIW15" s="1709"/>
      <c r="AIX15" s="1709"/>
      <c r="AIY15" s="1709"/>
      <c r="AIZ15" s="1709"/>
      <c r="AJA15" s="1709"/>
      <c r="AJB15" s="1709"/>
      <c r="AJC15" s="1709"/>
      <c r="AJD15" s="1709"/>
      <c r="AJE15" s="1709"/>
      <c r="AJF15" s="1709"/>
      <c r="AJG15" s="1709"/>
      <c r="AJH15" s="1709"/>
      <c r="AJI15" s="1709"/>
      <c r="AJJ15" s="1709"/>
      <c r="AJK15" s="1709"/>
      <c r="AJL15" s="1709"/>
      <c r="AJM15" s="1709"/>
      <c r="AJN15" s="1709"/>
      <c r="AJO15" s="1709"/>
      <c r="AJP15" s="1709"/>
      <c r="AJQ15" s="1709"/>
      <c r="AJR15" s="1709"/>
      <c r="AJS15" s="1709"/>
      <c r="AJT15" s="1709"/>
      <c r="AJU15" s="1709"/>
      <c r="AJV15" s="1709"/>
      <c r="AJW15" s="1709"/>
      <c r="AJX15" s="1709"/>
      <c r="AJY15" s="1709"/>
      <c r="AJZ15" s="1709"/>
      <c r="AKA15" s="1709"/>
      <c r="AKB15" s="1709"/>
      <c r="AKC15" s="1709"/>
      <c r="AKD15" s="1709"/>
      <c r="AKE15" s="1709"/>
      <c r="AKF15" s="1709"/>
      <c r="AKG15" s="1709"/>
      <c r="AKH15" s="1709"/>
      <c r="AKI15" s="1709"/>
      <c r="AKJ15" s="1709"/>
      <c r="AKK15" s="1709"/>
      <c r="AKL15" s="1709"/>
      <c r="AKM15" s="1709"/>
      <c r="AKN15" s="1709"/>
      <c r="AKO15" s="1709"/>
      <c r="AKP15" s="1709"/>
      <c r="AKQ15" s="1709"/>
      <c r="AKR15" s="1709"/>
      <c r="AKS15" s="1709"/>
      <c r="AKT15" s="1709"/>
      <c r="AKU15" s="1709"/>
      <c r="AKV15" s="1709"/>
      <c r="AKW15" s="1709"/>
      <c r="AKX15" s="1709"/>
      <c r="AKY15" s="1709"/>
      <c r="AKZ15" s="1709"/>
      <c r="ALA15" s="1709"/>
      <c r="ALB15" s="1709"/>
      <c r="ALC15" s="1709"/>
      <c r="ALD15" s="1709"/>
      <c r="ALE15" s="1709"/>
      <c r="ALF15" s="1709"/>
      <c r="ALG15" s="1709"/>
      <c r="ALH15" s="1709"/>
      <c r="ALI15" s="1709"/>
      <c r="ALJ15" s="1709"/>
      <c r="ALK15" s="1709"/>
      <c r="ALL15" s="1709"/>
      <c r="ALM15" s="1709"/>
      <c r="ALN15" s="1709"/>
      <c r="ALO15" s="1709"/>
      <c r="ALP15" s="1709"/>
      <c r="ALQ15" s="1709"/>
      <c r="ALR15" s="1709"/>
      <c r="ALS15" s="1709"/>
      <c r="ALT15" s="1709"/>
      <c r="ALU15" s="1709"/>
      <c r="ALV15" s="1709"/>
      <c r="ALW15" s="1709"/>
      <c r="ALX15" s="1709"/>
      <c r="ALY15" s="1709"/>
      <c r="ALZ15" s="1709"/>
      <c r="AMA15" s="1709"/>
      <c r="AMB15" s="1709"/>
      <c r="AMC15" s="1709"/>
      <c r="AMD15" s="1709"/>
      <c r="AME15" s="1709"/>
      <c r="AMF15" s="1709"/>
      <c r="AMG15" s="1709"/>
      <c r="AMH15" s="1709"/>
      <c r="AMI15" s="1709"/>
      <c r="AMJ15" s="1709"/>
      <c r="AMK15" s="1709"/>
      <c r="AML15" s="1709"/>
      <c r="AMM15" s="1709"/>
      <c r="AMN15" s="1709"/>
      <c r="AMO15" s="1709"/>
      <c r="AMP15" s="1709"/>
      <c r="AMQ15" s="1709"/>
      <c r="AMR15" s="1709"/>
      <c r="AMS15" s="1709"/>
      <c r="AMT15" s="1709"/>
      <c r="AMU15" s="1709"/>
      <c r="AMV15" s="1709"/>
      <c r="AMW15" s="1709"/>
      <c r="AMX15" s="1709"/>
      <c r="AMY15" s="1709"/>
      <c r="AMZ15" s="1709"/>
      <c r="ANA15" s="1709"/>
      <c r="ANB15" s="1709"/>
      <c r="ANC15" s="1709"/>
      <c r="AND15" s="1709"/>
      <c r="ANE15" s="1709"/>
      <c r="ANF15" s="1709"/>
      <c r="ANG15" s="1709"/>
      <c r="ANH15" s="1709"/>
      <c r="ANI15" s="1709"/>
      <c r="ANJ15" s="1709"/>
      <c r="ANK15" s="1709"/>
      <c r="ANL15" s="1709"/>
      <c r="ANM15" s="1709"/>
      <c r="ANN15" s="1709"/>
      <c r="ANO15" s="1709"/>
      <c r="ANP15" s="1709"/>
      <c r="ANQ15" s="1709"/>
      <c r="ANR15" s="1709"/>
      <c r="ANS15" s="1709"/>
      <c r="ANT15" s="1709"/>
      <c r="ANU15" s="1709"/>
      <c r="ANV15" s="1709"/>
      <c r="ANW15" s="1709"/>
      <c r="ANX15" s="1709"/>
      <c r="ANY15" s="1709"/>
      <c r="ANZ15" s="1709"/>
      <c r="AOA15" s="1709"/>
      <c r="AOB15" s="1709"/>
      <c r="AOC15" s="1709"/>
      <c r="AOD15" s="1709"/>
      <c r="AOE15" s="1709"/>
      <c r="AOF15" s="1709"/>
      <c r="AOG15" s="1709"/>
      <c r="AOH15" s="1709"/>
      <c r="AOI15" s="1709"/>
      <c r="AOJ15" s="1709"/>
      <c r="AOK15" s="1709"/>
      <c r="AOL15" s="1709"/>
      <c r="AOM15" s="1709"/>
      <c r="AON15" s="1709"/>
      <c r="AOO15" s="1709"/>
      <c r="AOP15" s="1709"/>
      <c r="AOQ15" s="1709"/>
      <c r="AOR15" s="1709"/>
      <c r="AOS15" s="1709"/>
      <c r="AOT15" s="1709"/>
      <c r="AOU15" s="1709"/>
      <c r="AOV15" s="1709"/>
      <c r="AOW15" s="1709"/>
      <c r="AOX15" s="1709"/>
      <c r="AOY15" s="1709"/>
      <c r="AOZ15" s="1709"/>
      <c r="APA15" s="1709"/>
      <c r="APB15" s="1709"/>
      <c r="APC15" s="1709"/>
      <c r="APD15" s="1709"/>
      <c r="APE15" s="1709"/>
      <c r="APF15" s="1709"/>
      <c r="APG15" s="1709"/>
      <c r="APH15" s="1709"/>
      <c r="API15" s="1709"/>
      <c r="APJ15" s="1709"/>
      <c r="APK15" s="1709"/>
      <c r="APL15" s="1709"/>
      <c r="APM15" s="1709"/>
      <c r="APN15" s="1709"/>
      <c r="APO15" s="1709"/>
      <c r="APP15" s="1709"/>
      <c r="APQ15" s="1709"/>
      <c r="APR15" s="1709"/>
      <c r="APS15" s="1709"/>
      <c r="APT15" s="1709"/>
      <c r="APU15" s="1709"/>
      <c r="APV15" s="1709"/>
      <c r="APW15" s="1709"/>
      <c r="APX15" s="1709"/>
      <c r="APY15" s="1709"/>
      <c r="APZ15" s="1709"/>
      <c r="AQA15" s="1709"/>
      <c r="AQB15" s="1709"/>
      <c r="AQC15" s="1709"/>
      <c r="AQD15" s="1709"/>
      <c r="AQE15" s="1709"/>
      <c r="AQF15" s="1709"/>
      <c r="AQG15" s="1709"/>
      <c r="AQH15" s="1709"/>
      <c r="AQI15" s="1709"/>
      <c r="AQJ15" s="1709"/>
      <c r="AQK15" s="1709"/>
      <c r="AQL15" s="1709"/>
      <c r="AQM15" s="1709"/>
      <c r="AQN15" s="1709"/>
      <c r="AQO15" s="1709"/>
      <c r="AQP15" s="1709"/>
      <c r="AQQ15" s="1709"/>
      <c r="AQR15" s="1709"/>
      <c r="AQS15" s="1709"/>
      <c r="AQT15" s="1709"/>
      <c r="AQU15" s="1709"/>
      <c r="AQV15" s="1709"/>
      <c r="AQW15" s="1709"/>
      <c r="AQX15" s="1709"/>
      <c r="AQY15" s="1709"/>
      <c r="AQZ15" s="1709"/>
      <c r="ARA15" s="1709"/>
      <c r="ARB15" s="1709"/>
      <c r="ARC15" s="1709"/>
      <c r="ARD15" s="1709"/>
      <c r="ARE15" s="1709"/>
      <c r="ARF15" s="1709"/>
      <c r="ARG15" s="1709"/>
      <c r="ARH15" s="1709"/>
      <c r="ARI15" s="1709"/>
      <c r="ARJ15" s="1709"/>
      <c r="ARK15" s="1709"/>
      <c r="ARL15" s="1709"/>
      <c r="ARM15" s="1709"/>
      <c r="ARN15" s="1709"/>
      <c r="ARO15" s="1709"/>
      <c r="ARP15" s="1709"/>
      <c r="ARQ15" s="1709"/>
      <c r="ARR15" s="1709"/>
      <c r="ARS15" s="1709"/>
      <c r="ART15" s="1709"/>
      <c r="ARU15" s="1709"/>
      <c r="ARV15" s="1709"/>
      <c r="ARW15" s="1709"/>
      <c r="ARX15" s="1709"/>
      <c r="ARY15" s="1709"/>
      <c r="ARZ15" s="1709"/>
      <c r="ASA15" s="1709"/>
      <c r="ASB15" s="1709"/>
      <c r="ASC15" s="1709"/>
      <c r="ASD15" s="1709"/>
      <c r="ASE15" s="1709"/>
      <c r="ASF15" s="1709"/>
      <c r="ASG15" s="1709"/>
      <c r="ASH15" s="1709"/>
      <c r="ASI15" s="1709"/>
      <c r="ASJ15" s="1709"/>
      <c r="ASK15" s="1709"/>
      <c r="ASL15" s="1709"/>
      <c r="ASM15" s="1709"/>
      <c r="ASN15" s="1709"/>
      <c r="ASO15" s="1709"/>
      <c r="ASP15" s="1709"/>
      <c r="ASQ15" s="1709"/>
      <c r="ASR15" s="1709"/>
      <c r="ASS15" s="1709"/>
      <c r="AST15" s="1709"/>
      <c r="ASU15" s="1709"/>
      <c r="ASV15" s="1709"/>
      <c r="ASW15" s="1709"/>
      <c r="ASX15" s="1709"/>
      <c r="ASY15" s="1709"/>
      <c r="ASZ15" s="1709"/>
      <c r="ATA15" s="1709"/>
      <c r="ATB15" s="1709"/>
      <c r="ATC15" s="1709"/>
      <c r="ATD15" s="1709"/>
      <c r="ATE15" s="1709"/>
      <c r="ATF15" s="1709"/>
      <c r="ATG15" s="1709"/>
      <c r="ATH15" s="1709"/>
      <c r="ATI15" s="1709"/>
      <c r="ATJ15" s="1709"/>
      <c r="ATK15" s="1709"/>
      <c r="ATL15" s="1709"/>
      <c r="ATM15" s="1709"/>
      <c r="ATN15" s="1709"/>
      <c r="ATO15" s="1709"/>
      <c r="ATP15" s="1709"/>
      <c r="ATQ15" s="1709"/>
      <c r="ATR15" s="1709"/>
      <c r="ATS15" s="1709"/>
      <c r="ATT15" s="1709"/>
      <c r="ATU15" s="1709"/>
      <c r="ATV15" s="1709"/>
      <c r="ATW15" s="1709"/>
      <c r="ATX15" s="1709"/>
      <c r="ATY15" s="1709"/>
      <c r="ATZ15" s="1709"/>
      <c r="AUA15" s="1709"/>
      <c r="AUB15" s="1709"/>
      <c r="AUC15" s="1709"/>
      <c r="AUD15" s="1709"/>
      <c r="AUE15" s="1709"/>
      <c r="AUF15" s="1709"/>
      <c r="AUG15" s="1709"/>
      <c r="AUH15" s="1709"/>
      <c r="AUI15" s="1709"/>
      <c r="AUJ15" s="1709"/>
      <c r="AUK15" s="1709"/>
      <c r="AUL15" s="1709"/>
      <c r="AUM15" s="1709"/>
      <c r="AUN15" s="1709"/>
      <c r="AUO15" s="1709"/>
      <c r="AUP15" s="1709"/>
      <c r="AUQ15" s="1709"/>
      <c r="AUR15" s="1709"/>
      <c r="AUS15" s="1709"/>
      <c r="AUT15" s="1709"/>
      <c r="AUU15" s="1709"/>
      <c r="AUV15" s="1709"/>
      <c r="AUW15" s="1709"/>
      <c r="AUX15" s="1709"/>
      <c r="AUY15" s="1709"/>
      <c r="AUZ15" s="1709"/>
      <c r="AVA15" s="1709"/>
      <c r="AVB15" s="1709"/>
      <c r="AVC15" s="1709"/>
      <c r="AVD15" s="1709"/>
      <c r="AVE15" s="1709"/>
      <c r="AVF15" s="1709"/>
      <c r="AVG15" s="1709"/>
      <c r="AVH15" s="1709"/>
      <c r="AVI15" s="1709"/>
      <c r="AVJ15" s="1709"/>
      <c r="AVK15" s="1709"/>
      <c r="AVL15" s="1709"/>
      <c r="AVM15" s="1709"/>
      <c r="AVN15" s="1709"/>
      <c r="AVO15" s="1709"/>
      <c r="AVP15" s="1709"/>
      <c r="AVQ15" s="1709"/>
      <c r="AVR15" s="1709"/>
      <c r="AVS15" s="1709"/>
      <c r="AVT15" s="1709"/>
      <c r="AVU15" s="1709"/>
      <c r="AVV15" s="1709"/>
      <c r="AVW15" s="1709"/>
      <c r="AVX15" s="1709"/>
      <c r="AVY15" s="1709"/>
      <c r="AVZ15" s="1709"/>
      <c r="AWA15" s="1709"/>
      <c r="AWB15" s="1709"/>
      <c r="AWC15" s="1709"/>
      <c r="AWD15" s="1709"/>
      <c r="AWE15" s="1709"/>
      <c r="AWF15" s="1709"/>
      <c r="AWG15" s="1709"/>
      <c r="AWH15" s="1709"/>
      <c r="AWI15" s="1709"/>
      <c r="AWJ15" s="1709"/>
      <c r="AWK15" s="1709"/>
      <c r="AWL15" s="1709"/>
      <c r="AWM15" s="1709"/>
      <c r="AWN15" s="1709"/>
      <c r="AWO15" s="1709"/>
      <c r="AWP15" s="1709"/>
      <c r="AWQ15" s="1709"/>
      <c r="AWR15" s="1709"/>
      <c r="AWS15" s="1709"/>
      <c r="AWT15" s="1709"/>
      <c r="AWU15" s="1709"/>
      <c r="AWV15" s="1709"/>
      <c r="AWW15" s="1709"/>
      <c r="AWX15" s="1709"/>
      <c r="AWY15" s="1709"/>
      <c r="AWZ15" s="1709"/>
      <c r="AXA15" s="1709"/>
      <c r="AXB15" s="1709"/>
      <c r="AXC15" s="1709"/>
      <c r="AXD15" s="1709"/>
      <c r="AXE15" s="1709"/>
      <c r="AXF15" s="1709"/>
      <c r="AXG15" s="1709"/>
      <c r="AXH15" s="1709"/>
      <c r="AXI15" s="1709"/>
      <c r="AXJ15" s="1709"/>
      <c r="AXK15" s="1709"/>
      <c r="AXL15" s="1709"/>
      <c r="AXM15" s="1709"/>
      <c r="AXN15" s="1709"/>
      <c r="AXO15" s="1709"/>
      <c r="AXP15" s="1709"/>
      <c r="AXQ15" s="1709"/>
      <c r="AXR15" s="1709"/>
      <c r="AXS15" s="1709"/>
      <c r="AXT15" s="1709"/>
      <c r="AXU15" s="1709"/>
      <c r="AXV15" s="1709"/>
      <c r="AXW15" s="1709"/>
      <c r="AXX15" s="1709"/>
      <c r="AXY15" s="1709"/>
      <c r="AXZ15" s="1709"/>
      <c r="AYA15" s="1709"/>
      <c r="AYB15" s="1709"/>
      <c r="AYC15" s="1709"/>
      <c r="AYD15" s="1709"/>
      <c r="AYE15" s="1709"/>
      <c r="AYF15" s="1709"/>
      <c r="AYG15" s="1709"/>
      <c r="AYH15" s="1709"/>
      <c r="AYI15" s="1709"/>
      <c r="AYJ15" s="1709"/>
      <c r="AYK15" s="1709"/>
      <c r="AYL15" s="1709"/>
      <c r="AYM15" s="1709"/>
      <c r="AYN15" s="1709"/>
      <c r="AYO15" s="1709"/>
      <c r="AYP15" s="1709"/>
      <c r="AYQ15" s="1709"/>
      <c r="AYR15" s="1709"/>
      <c r="AYS15" s="1709"/>
      <c r="AYT15" s="1709"/>
      <c r="AYU15" s="1709"/>
      <c r="AYV15" s="1709"/>
      <c r="AYW15" s="1709"/>
      <c r="AYX15" s="1709"/>
      <c r="AYY15" s="1709"/>
      <c r="AYZ15" s="1709"/>
      <c r="AZA15" s="1709"/>
      <c r="AZB15" s="1709"/>
      <c r="AZC15" s="1709"/>
      <c r="AZD15" s="1709"/>
      <c r="AZE15" s="1709"/>
      <c r="AZF15" s="1709"/>
      <c r="AZG15" s="1709"/>
      <c r="AZH15" s="1709"/>
      <c r="AZI15" s="1709"/>
      <c r="AZJ15" s="1709"/>
      <c r="AZK15" s="1709"/>
      <c r="AZL15" s="1709"/>
      <c r="AZM15" s="1709"/>
      <c r="AZN15" s="1709"/>
      <c r="AZO15" s="1709"/>
      <c r="AZP15" s="1709"/>
      <c r="AZQ15" s="1709"/>
      <c r="AZR15" s="1709"/>
      <c r="AZS15" s="1709"/>
      <c r="AZT15" s="1709"/>
      <c r="AZU15" s="1709"/>
      <c r="AZV15" s="1709"/>
      <c r="AZW15" s="1709"/>
      <c r="AZX15" s="1709"/>
    </row>
    <row r="16" spans="1:1376" s="124" customFormat="1" ht="42" customHeight="1" x14ac:dyDescent="0.2">
      <c r="A16" s="3541"/>
      <c r="B16" s="3542"/>
      <c r="C16" s="3494"/>
      <c r="D16" s="3515"/>
      <c r="E16" s="3515"/>
      <c r="F16" s="3516"/>
      <c r="G16" s="2996"/>
      <c r="H16" s="2996"/>
      <c r="I16" s="3498"/>
      <c r="J16" s="3519"/>
      <c r="K16" s="3480"/>
      <c r="L16" s="3480"/>
      <c r="M16" s="3049"/>
      <c r="N16" s="3060"/>
      <c r="O16" s="3498"/>
      <c r="P16" s="3480"/>
      <c r="Q16" s="3482"/>
      <c r="R16" s="3529"/>
      <c r="S16" s="3480"/>
      <c r="T16" s="3477"/>
      <c r="U16" s="3532"/>
      <c r="V16" s="3523"/>
      <c r="W16" s="3509"/>
      <c r="X16" s="3510"/>
      <c r="Y16" s="3282"/>
      <c r="Z16" s="3282"/>
      <c r="AA16" s="3282"/>
      <c r="AB16" s="3282"/>
      <c r="AC16" s="3282"/>
      <c r="AD16" s="3282"/>
      <c r="AE16" s="3538"/>
      <c r="AF16" s="2031"/>
      <c r="AG16" s="2031"/>
      <c r="AH16" s="2031"/>
      <c r="AI16" s="2031"/>
      <c r="AJ16" s="2031"/>
      <c r="AK16" s="2031"/>
      <c r="AL16" s="2031"/>
      <c r="AM16" s="482"/>
      <c r="AN16" s="3150"/>
      <c r="AO16" s="3472"/>
      <c r="AP16" s="3474"/>
      <c r="AQ16" s="3477"/>
      <c r="AR16" s="1709"/>
      <c r="AS16" s="1709"/>
      <c r="AT16" s="1709"/>
      <c r="AU16" s="1709"/>
      <c r="AV16" s="1709"/>
      <c r="AW16" s="1709"/>
      <c r="AX16" s="1709"/>
      <c r="AY16" s="1709"/>
      <c r="AZ16" s="1709"/>
      <c r="BA16" s="1709"/>
      <c r="BB16" s="1709"/>
      <c r="BC16" s="1709"/>
      <c r="BD16" s="1709"/>
      <c r="BE16" s="1709"/>
      <c r="BF16" s="1709"/>
      <c r="BG16" s="1709"/>
      <c r="BH16" s="1709"/>
      <c r="BI16" s="1709"/>
      <c r="BJ16" s="1709"/>
      <c r="BK16" s="1709"/>
      <c r="BL16" s="1709"/>
      <c r="BM16" s="1709"/>
      <c r="BN16" s="1709"/>
      <c r="BO16" s="1709"/>
      <c r="BP16" s="1709"/>
      <c r="BQ16" s="1709"/>
      <c r="BR16" s="1709"/>
      <c r="BS16" s="1709"/>
      <c r="BT16" s="1709"/>
      <c r="BU16" s="1709"/>
      <c r="BV16" s="1709"/>
      <c r="BW16" s="1709"/>
      <c r="BX16" s="1709"/>
      <c r="BY16" s="1709"/>
      <c r="BZ16" s="1709"/>
      <c r="CA16" s="1709"/>
      <c r="CB16" s="1709"/>
      <c r="CC16" s="1709"/>
      <c r="CD16" s="1709"/>
      <c r="CE16" s="1709"/>
      <c r="CF16" s="1709"/>
      <c r="CG16" s="1709"/>
      <c r="CH16" s="1709"/>
      <c r="CI16" s="1709"/>
      <c r="CJ16" s="1709"/>
      <c r="CK16" s="1709"/>
      <c r="CL16" s="1709"/>
      <c r="CM16" s="1709"/>
      <c r="CN16" s="1709"/>
      <c r="CO16" s="1709"/>
      <c r="CP16" s="1709"/>
      <c r="CQ16" s="1709"/>
      <c r="CR16" s="1709"/>
      <c r="CS16" s="1709"/>
      <c r="CT16" s="1709"/>
      <c r="CU16" s="1709"/>
      <c r="CV16" s="1709"/>
      <c r="CW16" s="1709"/>
      <c r="CX16" s="1709"/>
      <c r="CY16" s="1709"/>
      <c r="CZ16" s="1709"/>
      <c r="DA16" s="1709"/>
      <c r="DB16" s="1709"/>
      <c r="DC16" s="1709"/>
      <c r="DD16" s="1709"/>
      <c r="DE16" s="1709"/>
      <c r="DF16" s="1709"/>
      <c r="DG16" s="1709"/>
      <c r="DH16" s="1709"/>
      <c r="DI16" s="1709"/>
      <c r="DJ16" s="1709"/>
      <c r="DK16" s="1709"/>
      <c r="DL16" s="1709"/>
      <c r="DM16" s="1709"/>
      <c r="DN16" s="1709"/>
      <c r="DO16" s="1709"/>
      <c r="DP16" s="1709"/>
      <c r="DQ16" s="1709"/>
      <c r="DR16" s="1709"/>
      <c r="DS16" s="1709"/>
      <c r="DT16" s="1709"/>
      <c r="DU16" s="1709"/>
      <c r="DV16" s="1709"/>
      <c r="DW16" s="1709"/>
      <c r="DX16" s="1709"/>
      <c r="DY16" s="1709"/>
      <c r="DZ16" s="1709"/>
      <c r="EA16" s="1709"/>
      <c r="EB16" s="1709"/>
      <c r="EC16" s="1709"/>
      <c r="ED16" s="1709"/>
      <c r="EE16" s="1709"/>
      <c r="EF16" s="1709"/>
      <c r="EG16" s="1709"/>
      <c r="EH16" s="1709"/>
      <c r="EI16" s="1709"/>
      <c r="EJ16" s="1709"/>
      <c r="EK16" s="1709"/>
      <c r="EL16" s="1709"/>
      <c r="EM16" s="1709"/>
      <c r="EN16" s="1709"/>
      <c r="EO16" s="1709"/>
      <c r="EP16" s="1709"/>
      <c r="EQ16" s="1709"/>
      <c r="ER16" s="1709"/>
      <c r="ES16" s="1709"/>
      <c r="ET16" s="1709"/>
      <c r="EU16" s="1709"/>
      <c r="EV16" s="1709"/>
      <c r="EW16" s="1709"/>
      <c r="EX16" s="1709"/>
      <c r="EY16" s="1709"/>
      <c r="EZ16" s="1709"/>
      <c r="FA16" s="1709"/>
      <c r="FB16" s="1709"/>
      <c r="FC16" s="1709"/>
      <c r="FD16" s="1709"/>
      <c r="FE16" s="1709"/>
      <c r="FF16" s="1709"/>
      <c r="FG16" s="1709"/>
      <c r="FH16" s="1709"/>
      <c r="FI16" s="1709"/>
      <c r="FJ16" s="1709"/>
      <c r="FK16" s="1709"/>
      <c r="FL16" s="1709"/>
      <c r="FM16" s="1709"/>
      <c r="FN16" s="1709"/>
      <c r="FO16" s="1709"/>
      <c r="FP16" s="1709"/>
      <c r="FQ16" s="1709"/>
      <c r="FR16" s="1709"/>
      <c r="FS16" s="1709"/>
      <c r="FT16" s="1709"/>
      <c r="FU16" s="1709"/>
      <c r="FV16" s="1709"/>
      <c r="FW16" s="1709"/>
      <c r="FX16" s="1709"/>
      <c r="FY16" s="1709"/>
      <c r="FZ16" s="1709"/>
      <c r="GA16" s="1709"/>
      <c r="GB16" s="1709"/>
      <c r="GC16" s="1709"/>
      <c r="GD16" s="1709"/>
      <c r="GE16" s="1709"/>
      <c r="GF16" s="1709"/>
      <c r="GG16" s="1709"/>
      <c r="GH16" s="1709"/>
      <c r="GI16" s="1709"/>
      <c r="GJ16" s="1709"/>
      <c r="GK16" s="1709"/>
      <c r="GL16" s="1709"/>
      <c r="GM16" s="1709"/>
      <c r="GN16" s="1709"/>
      <c r="GO16" s="1709"/>
      <c r="GP16" s="1709"/>
      <c r="GQ16" s="1709"/>
      <c r="GR16" s="1709"/>
      <c r="GS16" s="1709"/>
      <c r="GT16" s="1709"/>
      <c r="GU16" s="1709"/>
      <c r="GV16" s="1709"/>
      <c r="GW16" s="1709"/>
      <c r="GX16" s="1709"/>
      <c r="GY16" s="1709"/>
      <c r="GZ16" s="1709"/>
      <c r="HA16" s="1709"/>
      <c r="HB16" s="1709"/>
      <c r="HC16" s="1709"/>
      <c r="HD16" s="1709"/>
      <c r="HE16" s="1709"/>
      <c r="HF16" s="1709"/>
      <c r="HG16" s="1709"/>
      <c r="HH16" s="1709"/>
      <c r="HI16" s="1709"/>
      <c r="HJ16" s="1709"/>
      <c r="HK16" s="1709"/>
      <c r="HL16" s="1709"/>
      <c r="HM16" s="1709"/>
      <c r="HN16" s="1709"/>
      <c r="HO16" s="1709"/>
      <c r="HP16" s="1709"/>
      <c r="HQ16" s="1709"/>
      <c r="HR16" s="1709"/>
      <c r="HS16" s="1709"/>
      <c r="HT16" s="1709"/>
      <c r="HU16" s="1709"/>
      <c r="HV16" s="1709"/>
      <c r="HW16" s="1709"/>
      <c r="HX16" s="1709"/>
      <c r="HY16" s="1709"/>
      <c r="HZ16" s="1709"/>
      <c r="IA16" s="1709"/>
      <c r="IB16" s="1709"/>
      <c r="IC16" s="1709"/>
      <c r="ID16" s="1709"/>
      <c r="IE16" s="1709"/>
      <c r="IF16" s="1709"/>
      <c r="IG16" s="1709"/>
      <c r="IH16" s="1709"/>
      <c r="II16" s="1709"/>
      <c r="IJ16" s="1709"/>
      <c r="IK16" s="1709"/>
      <c r="IL16" s="1709"/>
      <c r="IM16" s="1709"/>
      <c r="IN16" s="1709"/>
      <c r="IO16" s="1709"/>
      <c r="IP16" s="1709"/>
      <c r="IQ16" s="1709"/>
      <c r="IR16" s="1709"/>
      <c r="IS16" s="1709"/>
      <c r="IT16" s="1709"/>
      <c r="IU16" s="1709"/>
      <c r="IV16" s="1709"/>
      <c r="IW16" s="1709"/>
      <c r="IX16" s="1709"/>
      <c r="IY16" s="1709"/>
      <c r="IZ16" s="1709"/>
      <c r="JA16" s="1709"/>
      <c r="JB16" s="1709"/>
      <c r="JC16" s="1709"/>
      <c r="JD16" s="1709"/>
      <c r="JE16" s="1709"/>
      <c r="JF16" s="1709"/>
      <c r="JG16" s="1709"/>
      <c r="JH16" s="1709"/>
      <c r="JI16" s="1709"/>
      <c r="JJ16" s="1709"/>
      <c r="JK16" s="1709"/>
      <c r="JL16" s="1709"/>
      <c r="JM16" s="1709"/>
      <c r="JN16" s="1709"/>
      <c r="JO16" s="1709"/>
      <c r="JP16" s="1709"/>
      <c r="JQ16" s="1709"/>
      <c r="JR16" s="1709"/>
      <c r="JS16" s="1709"/>
      <c r="JT16" s="1709"/>
      <c r="JU16" s="1709"/>
      <c r="JV16" s="1709"/>
      <c r="JW16" s="1709"/>
      <c r="JX16" s="1709"/>
      <c r="JY16" s="1709"/>
      <c r="JZ16" s="1709"/>
      <c r="KA16" s="1709"/>
      <c r="KB16" s="1709"/>
      <c r="KC16" s="1709"/>
      <c r="KD16" s="1709"/>
      <c r="KE16" s="1709"/>
      <c r="KF16" s="1709"/>
      <c r="KG16" s="1709"/>
      <c r="KH16" s="1709"/>
      <c r="KI16" s="1709"/>
      <c r="KJ16" s="1709"/>
      <c r="KK16" s="1709"/>
      <c r="KL16" s="1709"/>
      <c r="KM16" s="1709"/>
      <c r="KN16" s="1709"/>
      <c r="KO16" s="1709"/>
      <c r="KP16" s="1709"/>
      <c r="KQ16" s="1709"/>
      <c r="KR16" s="1709"/>
      <c r="KS16" s="1709"/>
      <c r="KT16" s="1709"/>
      <c r="KU16" s="1709"/>
      <c r="KV16" s="1709"/>
      <c r="KW16" s="1709"/>
      <c r="KX16" s="1709"/>
      <c r="KY16" s="1709"/>
      <c r="KZ16" s="1709"/>
      <c r="LA16" s="1709"/>
      <c r="LB16" s="1709"/>
      <c r="LC16" s="1709"/>
      <c r="LD16" s="1709"/>
      <c r="LE16" s="1709"/>
      <c r="LF16" s="1709"/>
      <c r="LG16" s="1709"/>
      <c r="LH16" s="1709"/>
      <c r="LI16" s="1709"/>
      <c r="LJ16" s="1709"/>
      <c r="LK16" s="1709"/>
      <c r="LL16" s="1709"/>
      <c r="LM16" s="1709"/>
      <c r="LN16" s="1709"/>
      <c r="LO16" s="1709"/>
      <c r="LP16" s="1709"/>
      <c r="LQ16" s="1709"/>
      <c r="LR16" s="1709"/>
      <c r="LS16" s="1709"/>
      <c r="LT16" s="1709"/>
      <c r="LU16" s="1709"/>
      <c r="LV16" s="1709"/>
      <c r="LW16" s="1709"/>
      <c r="LX16" s="1709"/>
      <c r="LY16" s="1709"/>
      <c r="LZ16" s="1709"/>
      <c r="MA16" s="1709"/>
      <c r="MB16" s="1709"/>
      <c r="MC16" s="1709"/>
      <c r="MD16" s="1709"/>
      <c r="ME16" s="1709"/>
      <c r="MF16" s="1709"/>
      <c r="MG16" s="1709"/>
      <c r="MH16" s="1709"/>
      <c r="MI16" s="1709"/>
      <c r="MJ16" s="1709"/>
      <c r="MK16" s="1709"/>
      <c r="ML16" s="1709"/>
      <c r="MM16" s="1709"/>
      <c r="MN16" s="1709"/>
      <c r="MO16" s="1709"/>
      <c r="MP16" s="1709"/>
      <c r="MQ16" s="1709"/>
      <c r="MR16" s="1709"/>
      <c r="MS16" s="1709"/>
      <c r="MT16" s="1709"/>
      <c r="MU16" s="1709"/>
      <c r="MV16" s="1709"/>
      <c r="MW16" s="1709"/>
      <c r="MX16" s="1709"/>
      <c r="MY16" s="1709"/>
      <c r="MZ16" s="1709"/>
      <c r="NA16" s="1709"/>
      <c r="NB16" s="1709"/>
      <c r="NC16" s="1709"/>
      <c r="ND16" s="1709"/>
      <c r="NE16" s="1709"/>
      <c r="NF16" s="1709"/>
      <c r="NG16" s="1709"/>
      <c r="NH16" s="1709"/>
      <c r="NI16" s="1709"/>
      <c r="NJ16" s="1709"/>
      <c r="NK16" s="1709"/>
      <c r="NL16" s="1709"/>
      <c r="NM16" s="1709"/>
      <c r="NN16" s="1709"/>
      <c r="NO16" s="1709"/>
      <c r="NP16" s="1709"/>
      <c r="NQ16" s="1709"/>
      <c r="NR16" s="1709"/>
      <c r="NS16" s="1709"/>
      <c r="NT16" s="1709"/>
      <c r="NU16" s="1709"/>
      <c r="NV16" s="1709"/>
      <c r="NW16" s="1709"/>
      <c r="NX16" s="1709"/>
      <c r="NY16" s="1709"/>
      <c r="NZ16" s="1709"/>
      <c r="OA16" s="1709"/>
      <c r="OB16" s="1709"/>
      <c r="OC16" s="1709"/>
      <c r="OD16" s="1709"/>
      <c r="OE16" s="1709"/>
      <c r="OF16" s="1709"/>
      <c r="OG16" s="1709"/>
      <c r="OH16" s="1709"/>
      <c r="OI16" s="1709"/>
      <c r="OJ16" s="1709"/>
      <c r="OK16" s="1709"/>
      <c r="OL16" s="1709"/>
      <c r="OM16" s="1709"/>
      <c r="ON16" s="1709"/>
      <c r="OO16" s="1709"/>
      <c r="OP16" s="1709"/>
      <c r="OQ16" s="1709"/>
      <c r="OR16" s="1709"/>
      <c r="OS16" s="1709"/>
      <c r="OT16" s="1709"/>
      <c r="OU16" s="1709"/>
      <c r="OV16" s="1709"/>
      <c r="OW16" s="1709"/>
      <c r="OX16" s="1709"/>
      <c r="OY16" s="1709"/>
      <c r="OZ16" s="1709"/>
      <c r="PA16" s="1709"/>
      <c r="PB16" s="1709"/>
      <c r="PC16" s="1709"/>
      <c r="PD16" s="1709"/>
      <c r="PE16" s="1709"/>
      <c r="PF16" s="1709"/>
      <c r="PG16" s="1709"/>
      <c r="PH16" s="1709"/>
      <c r="PI16" s="1709"/>
      <c r="PJ16" s="1709"/>
      <c r="PK16" s="1709"/>
      <c r="PL16" s="1709"/>
      <c r="PM16" s="1709"/>
      <c r="PN16" s="1709"/>
      <c r="PO16" s="1709"/>
      <c r="PP16" s="1709"/>
      <c r="PQ16" s="1709"/>
      <c r="PR16" s="1709"/>
      <c r="PS16" s="1709"/>
      <c r="PT16" s="1709"/>
      <c r="PU16" s="1709"/>
      <c r="PV16" s="1709"/>
      <c r="PW16" s="1709"/>
      <c r="PX16" s="1709"/>
      <c r="PY16" s="1709"/>
      <c r="PZ16" s="1709"/>
      <c r="QA16" s="1709"/>
      <c r="QB16" s="1709"/>
      <c r="QC16" s="1709"/>
      <c r="QD16" s="1709"/>
      <c r="QE16" s="1709"/>
      <c r="QF16" s="1709"/>
      <c r="QG16" s="1709"/>
      <c r="QH16" s="1709"/>
      <c r="QI16" s="1709"/>
      <c r="QJ16" s="1709"/>
      <c r="QK16" s="1709"/>
      <c r="QL16" s="1709"/>
      <c r="QM16" s="1709"/>
      <c r="QN16" s="1709"/>
      <c r="QO16" s="1709"/>
      <c r="QP16" s="1709"/>
      <c r="QQ16" s="1709"/>
      <c r="QR16" s="1709"/>
      <c r="QS16" s="1709"/>
      <c r="QT16" s="1709"/>
      <c r="QU16" s="1709"/>
      <c r="QV16" s="1709"/>
      <c r="QW16" s="1709"/>
      <c r="QX16" s="1709"/>
      <c r="QY16" s="1709"/>
      <c r="QZ16" s="1709"/>
      <c r="RA16" s="1709"/>
      <c r="RB16" s="1709"/>
      <c r="RC16" s="1709"/>
      <c r="RD16" s="1709"/>
      <c r="RE16" s="1709"/>
      <c r="RF16" s="1709"/>
      <c r="RG16" s="1709"/>
      <c r="RH16" s="1709"/>
      <c r="RI16" s="1709"/>
      <c r="RJ16" s="1709"/>
      <c r="RK16" s="1709"/>
      <c r="RL16" s="1709"/>
      <c r="RM16" s="1709"/>
      <c r="RN16" s="1709"/>
      <c r="RO16" s="1709"/>
      <c r="RP16" s="1709"/>
      <c r="RQ16" s="1709"/>
      <c r="RR16" s="1709"/>
      <c r="RS16" s="1709"/>
      <c r="RT16" s="1709"/>
      <c r="RU16" s="1709"/>
      <c r="RV16" s="1709"/>
      <c r="RW16" s="1709"/>
      <c r="RX16" s="1709"/>
      <c r="RY16" s="1709"/>
      <c r="RZ16" s="1709"/>
      <c r="SA16" s="1709"/>
      <c r="SB16" s="1709"/>
      <c r="SC16" s="1709"/>
      <c r="SD16" s="1709"/>
      <c r="SE16" s="1709"/>
      <c r="SF16" s="1709"/>
      <c r="SG16" s="1709"/>
      <c r="SH16" s="1709"/>
      <c r="SI16" s="1709"/>
      <c r="SJ16" s="1709"/>
      <c r="SK16" s="1709"/>
      <c r="SL16" s="1709"/>
      <c r="SM16" s="1709"/>
      <c r="SN16" s="1709"/>
      <c r="SO16" s="1709"/>
      <c r="SP16" s="1709"/>
      <c r="SQ16" s="1709"/>
      <c r="SR16" s="1709"/>
      <c r="SS16" s="1709"/>
      <c r="ST16" s="1709"/>
      <c r="SU16" s="1709"/>
      <c r="SV16" s="1709"/>
      <c r="SW16" s="1709"/>
      <c r="SX16" s="1709"/>
      <c r="SY16" s="1709"/>
      <c r="SZ16" s="1709"/>
      <c r="TA16" s="1709"/>
      <c r="TB16" s="1709"/>
      <c r="TC16" s="1709"/>
      <c r="TD16" s="1709"/>
      <c r="TE16" s="1709"/>
      <c r="TF16" s="1709"/>
      <c r="TG16" s="1709"/>
      <c r="TH16" s="1709"/>
      <c r="TI16" s="1709"/>
      <c r="TJ16" s="1709"/>
      <c r="TK16" s="1709"/>
      <c r="TL16" s="1709"/>
      <c r="TM16" s="1709"/>
      <c r="TN16" s="1709"/>
      <c r="TO16" s="1709"/>
      <c r="TP16" s="1709"/>
      <c r="TQ16" s="1709"/>
      <c r="TR16" s="1709"/>
      <c r="TS16" s="1709"/>
      <c r="TT16" s="1709"/>
      <c r="TU16" s="1709"/>
      <c r="TV16" s="1709"/>
      <c r="TW16" s="1709"/>
      <c r="TX16" s="1709"/>
      <c r="TY16" s="1709"/>
      <c r="TZ16" s="1709"/>
      <c r="UA16" s="1709"/>
      <c r="UB16" s="1709"/>
      <c r="UC16" s="1709"/>
      <c r="UD16" s="1709"/>
      <c r="UE16" s="1709"/>
      <c r="UF16" s="1709"/>
      <c r="UG16" s="1709"/>
      <c r="UH16" s="1709"/>
      <c r="UI16" s="1709"/>
      <c r="UJ16" s="1709"/>
      <c r="UK16" s="1709"/>
      <c r="UL16" s="1709"/>
      <c r="UM16" s="1709"/>
      <c r="UN16" s="1709"/>
      <c r="UO16" s="1709"/>
      <c r="UP16" s="1709"/>
      <c r="UQ16" s="1709"/>
      <c r="UR16" s="1709"/>
      <c r="US16" s="1709"/>
      <c r="UT16" s="1709"/>
      <c r="UU16" s="1709"/>
      <c r="UV16" s="1709"/>
      <c r="UW16" s="1709"/>
      <c r="UX16" s="1709"/>
      <c r="UY16" s="1709"/>
      <c r="UZ16" s="1709"/>
      <c r="VA16" s="1709"/>
      <c r="VB16" s="1709"/>
      <c r="VC16" s="1709"/>
      <c r="VD16" s="1709"/>
      <c r="VE16" s="1709"/>
      <c r="VF16" s="1709"/>
      <c r="VG16" s="1709"/>
      <c r="VH16" s="1709"/>
      <c r="VI16" s="1709"/>
      <c r="VJ16" s="1709"/>
      <c r="VK16" s="1709"/>
      <c r="VL16" s="1709"/>
      <c r="VM16" s="1709"/>
      <c r="VN16" s="1709"/>
      <c r="VO16" s="1709"/>
      <c r="VP16" s="1709"/>
      <c r="VQ16" s="1709"/>
      <c r="VR16" s="1709"/>
      <c r="VS16" s="1709"/>
      <c r="VT16" s="1709"/>
      <c r="VU16" s="1709"/>
      <c r="VV16" s="1709"/>
      <c r="VW16" s="1709"/>
      <c r="VX16" s="1709"/>
      <c r="VY16" s="1709"/>
      <c r="VZ16" s="1709"/>
      <c r="WA16" s="1709"/>
      <c r="WB16" s="1709"/>
      <c r="WC16" s="1709"/>
      <c r="WD16" s="1709"/>
      <c r="WE16" s="1709"/>
      <c r="WF16" s="1709"/>
      <c r="WG16" s="1709"/>
      <c r="WH16" s="1709"/>
      <c r="WI16" s="1709"/>
      <c r="WJ16" s="1709"/>
      <c r="WK16" s="1709"/>
      <c r="WL16" s="1709"/>
      <c r="WM16" s="1709"/>
      <c r="WN16" s="1709"/>
      <c r="WO16" s="1709"/>
      <c r="WP16" s="1709"/>
      <c r="WQ16" s="1709"/>
      <c r="WR16" s="1709"/>
      <c r="WS16" s="1709"/>
      <c r="WT16" s="1709"/>
      <c r="WU16" s="1709"/>
      <c r="WV16" s="1709"/>
      <c r="WW16" s="1709"/>
      <c r="WX16" s="1709"/>
      <c r="WY16" s="1709"/>
      <c r="WZ16" s="1709"/>
      <c r="XA16" s="1709"/>
      <c r="XB16" s="1709"/>
      <c r="XC16" s="1709"/>
      <c r="XD16" s="1709"/>
      <c r="XE16" s="1709"/>
      <c r="XF16" s="1709"/>
      <c r="XG16" s="1709"/>
      <c r="XH16" s="1709"/>
      <c r="XI16" s="1709"/>
      <c r="XJ16" s="1709"/>
      <c r="XK16" s="1709"/>
      <c r="XL16" s="1709"/>
      <c r="XM16" s="1709"/>
      <c r="XN16" s="1709"/>
      <c r="XO16" s="1709"/>
      <c r="XP16" s="1709"/>
      <c r="XQ16" s="1709"/>
      <c r="XR16" s="1709"/>
      <c r="XS16" s="1709"/>
      <c r="XT16" s="1709"/>
      <c r="XU16" s="1709"/>
      <c r="XV16" s="1709"/>
      <c r="XW16" s="1709"/>
      <c r="XX16" s="1709"/>
      <c r="XY16" s="1709"/>
      <c r="XZ16" s="1709"/>
      <c r="YA16" s="1709"/>
      <c r="YB16" s="1709"/>
      <c r="YC16" s="1709"/>
      <c r="YD16" s="1709"/>
      <c r="YE16" s="1709"/>
      <c r="YF16" s="1709"/>
      <c r="YG16" s="1709"/>
      <c r="YH16" s="1709"/>
      <c r="YI16" s="1709"/>
      <c r="YJ16" s="1709"/>
      <c r="YK16" s="1709"/>
      <c r="YL16" s="1709"/>
      <c r="YM16" s="1709"/>
      <c r="YN16" s="1709"/>
      <c r="YO16" s="1709"/>
      <c r="YP16" s="1709"/>
      <c r="YQ16" s="1709"/>
      <c r="YR16" s="1709"/>
      <c r="YS16" s="1709"/>
      <c r="YT16" s="1709"/>
      <c r="YU16" s="1709"/>
      <c r="YV16" s="1709"/>
      <c r="YW16" s="1709"/>
      <c r="YX16" s="1709"/>
      <c r="YY16" s="1709"/>
      <c r="YZ16" s="1709"/>
      <c r="ZA16" s="1709"/>
      <c r="ZB16" s="1709"/>
      <c r="ZC16" s="1709"/>
      <c r="ZD16" s="1709"/>
      <c r="ZE16" s="1709"/>
      <c r="ZF16" s="1709"/>
      <c r="ZG16" s="1709"/>
      <c r="ZH16" s="1709"/>
      <c r="ZI16" s="1709"/>
      <c r="ZJ16" s="1709"/>
      <c r="ZK16" s="1709"/>
      <c r="ZL16" s="1709"/>
      <c r="ZM16" s="1709"/>
      <c r="ZN16" s="1709"/>
      <c r="ZO16" s="1709"/>
      <c r="ZP16" s="1709"/>
      <c r="ZQ16" s="1709"/>
      <c r="ZR16" s="1709"/>
      <c r="ZS16" s="1709"/>
      <c r="ZT16" s="1709"/>
      <c r="ZU16" s="1709"/>
      <c r="ZV16" s="1709"/>
      <c r="ZW16" s="1709"/>
      <c r="ZX16" s="1709"/>
      <c r="ZY16" s="1709"/>
      <c r="ZZ16" s="1709"/>
      <c r="AAA16" s="1709"/>
      <c r="AAB16" s="1709"/>
      <c r="AAC16" s="1709"/>
      <c r="AAD16" s="1709"/>
      <c r="AAE16" s="1709"/>
      <c r="AAF16" s="1709"/>
      <c r="AAG16" s="1709"/>
      <c r="AAH16" s="1709"/>
      <c r="AAI16" s="1709"/>
      <c r="AAJ16" s="1709"/>
      <c r="AAK16" s="1709"/>
      <c r="AAL16" s="1709"/>
      <c r="AAM16" s="1709"/>
      <c r="AAN16" s="1709"/>
      <c r="AAO16" s="1709"/>
      <c r="AAP16" s="1709"/>
      <c r="AAQ16" s="1709"/>
      <c r="AAR16" s="1709"/>
      <c r="AAS16" s="1709"/>
      <c r="AAT16" s="1709"/>
      <c r="AAU16" s="1709"/>
      <c r="AAV16" s="1709"/>
      <c r="AAW16" s="1709"/>
      <c r="AAX16" s="1709"/>
      <c r="AAY16" s="1709"/>
      <c r="AAZ16" s="1709"/>
      <c r="ABA16" s="1709"/>
      <c r="ABB16" s="1709"/>
      <c r="ABC16" s="1709"/>
      <c r="ABD16" s="1709"/>
      <c r="ABE16" s="1709"/>
      <c r="ABF16" s="1709"/>
      <c r="ABG16" s="1709"/>
      <c r="ABH16" s="1709"/>
      <c r="ABI16" s="1709"/>
      <c r="ABJ16" s="1709"/>
      <c r="ABK16" s="1709"/>
      <c r="ABL16" s="1709"/>
      <c r="ABM16" s="1709"/>
      <c r="ABN16" s="1709"/>
      <c r="ABO16" s="1709"/>
      <c r="ABP16" s="1709"/>
      <c r="ABQ16" s="1709"/>
      <c r="ABR16" s="1709"/>
      <c r="ABS16" s="1709"/>
      <c r="ABT16" s="1709"/>
      <c r="ABU16" s="1709"/>
      <c r="ABV16" s="1709"/>
      <c r="ABW16" s="1709"/>
      <c r="ABX16" s="1709"/>
      <c r="ABY16" s="1709"/>
      <c r="ABZ16" s="1709"/>
      <c r="ACA16" s="1709"/>
      <c r="ACB16" s="1709"/>
      <c r="ACC16" s="1709"/>
      <c r="ACD16" s="1709"/>
      <c r="ACE16" s="1709"/>
      <c r="ACF16" s="1709"/>
      <c r="ACG16" s="1709"/>
      <c r="ACH16" s="1709"/>
      <c r="ACI16" s="1709"/>
      <c r="ACJ16" s="1709"/>
      <c r="ACK16" s="1709"/>
      <c r="ACL16" s="1709"/>
      <c r="ACM16" s="1709"/>
      <c r="ACN16" s="1709"/>
      <c r="ACO16" s="1709"/>
      <c r="ACP16" s="1709"/>
      <c r="ACQ16" s="1709"/>
      <c r="ACR16" s="1709"/>
      <c r="ACS16" s="1709"/>
      <c r="ACT16" s="1709"/>
      <c r="ACU16" s="1709"/>
      <c r="ACV16" s="1709"/>
      <c r="ACW16" s="1709"/>
      <c r="ACX16" s="1709"/>
      <c r="ACY16" s="1709"/>
      <c r="ACZ16" s="1709"/>
      <c r="ADA16" s="1709"/>
      <c r="ADB16" s="1709"/>
      <c r="ADC16" s="1709"/>
      <c r="ADD16" s="1709"/>
      <c r="ADE16" s="1709"/>
      <c r="ADF16" s="1709"/>
      <c r="ADG16" s="1709"/>
      <c r="ADH16" s="1709"/>
      <c r="ADI16" s="1709"/>
      <c r="ADJ16" s="1709"/>
      <c r="ADK16" s="1709"/>
      <c r="ADL16" s="1709"/>
      <c r="ADM16" s="1709"/>
      <c r="ADN16" s="1709"/>
      <c r="ADO16" s="1709"/>
      <c r="ADP16" s="1709"/>
      <c r="ADQ16" s="1709"/>
      <c r="ADR16" s="1709"/>
      <c r="ADS16" s="1709"/>
      <c r="ADT16" s="1709"/>
      <c r="ADU16" s="1709"/>
      <c r="ADV16" s="1709"/>
      <c r="ADW16" s="1709"/>
      <c r="ADX16" s="1709"/>
      <c r="ADY16" s="1709"/>
      <c r="ADZ16" s="1709"/>
      <c r="AEA16" s="1709"/>
      <c r="AEB16" s="1709"/>
      <c r="AEC16" s="1709"/>
      <c r="AED16" s="1709"/>
      <c r="AEE16" s="1709"/>
      <c r="AEF16" s="1709"/>
      <c r="AEG16" s="1709"/>
      <c r="AEH16" s="1709"/>
      <c r="AEI16" s="1709"/>
      <c r="AEJ16" s="1709"/>
      <c r="AEK16" s="1709"/>
      <c r="AEL16" s="1709"/>
      <c r="AEM16" s="1709"/>
      <c r="AEN16" s="1709"/>
      <c r="AEO16" s="1709"/>
      <c r="AEP16" s="1709"/>
      <c r="AEQ16" s="1709"/>
      <c r="AER16" s="1709"/>
      <c r="AES16" s="1709"/>
      <c r="AET16" s="1709"/>
      <c r="AEU16" s="1709"/>
      <c r="AEV16" s="1709"/>
      <c r="AEW16" s="1709"/>
      <c r="AEX16" s="1709"/>
      <c r="AEY16" s="1709"/>
      <c r="AEZ16" s="1709"/>
      <c r="AFA16" s="1709"/>
      <c r="AFB16" s="1709"/>
      <c r="AFC16" s="1709"/>
      <c r="AFD16" s="1709"/>
      <c r="AFE16" s="1709"/>
      <c r="AFF16" s="1709"/>
      <c r="AFG16" s="1709"/>
      <c r="AFH16" s="1709"/>
      <c r="AFI16" s="1709"/>
      <c r="AFJ16" s="1709"/>
      <c r="AFK16" s="1709"/>
      <c r="AFL16" s="1709"/>
      <c r="AFM16" s="1709"/>
      <c r="AFN16" s="1709"/>
      <c r="AFO16" s="1709"/>
      <c r="AFP16" s="1709"/>
      <c r="AFQ16" s="1709"/>
      <c r="AFR16" s="1709"/>
      <c r="AFS16" s="1709"/>
      <c r="AFT16" s="1709"/>
      <c r="AFU16" s="1709"/>
      <c r="AFV16" s="1709"/>
      <c r="AFW16" s="1709"/>
      <c r="AFX16" s="1709"/>
      <c r="AFY16" s="1709"/>
      <c r="AFZ16" s="1709"/>
      <c r="AGA16" s="1709"/>
      <c r="AGB16" s="1709"/>
      <c r="AGC16" s="1709"/>
      <c r="AGD16" s="1709"/>
      <c r="AGE16" s="1709"/>
      <c r="AGF16" s="1709"/>
      <c r="AGG16" s="1709"/>
      <c r="AGH16" s="1709"/>
      <c r="AGI16" s="1709"/>
      <c r="AGJ16" s="1709"/>
      <c r="AGK16" s="1709"/>
      <c r="AGL16" s="1709"/>
      <c r="AGM16" s="1709"/>
      <c r="AGN16" s="1709"/>
      <c r="AGO16" s="1709"/>
      <c r="AGP16" s="1709"/>
      <c r="AGQ16" s="1709"/>
      <c r="AGR16" s="1709"/>
      <c r="AGS16" s="1709"/>
      <c r="AGT16" s="1709"/>
      <c r="AGU16" s="1709"/>
      <c r="AGV16" s="1709"/>
      <c r="AGW16" s="1709"/>
      <c r="AGX16" s="1709"/>
      <c r="AGY16" s="1709"/>
      <c r="AGZ16" s="1709"/>
      <c r="AHA16" s="1709"/>
      <c r="AHB16" s="1709"/>
      <c r="AHC16" s="1709"/>
      <c r="AHD16" s="1709"/>
      <c r="AHE16" s="1709"/>
      <c r="AHF16" s="1709"/>
      <c r="AHG16" s="1709"/>
      <c r="AHH16" s="1709"/>
      <c r="AHI16" s="1709"/>
      <c r="AHJ16" s="1709"/>
      <c r="AHK16" s="1709"/>
      <c r="AHL16" s="1709"/>
      <c r="AHM16" s="1709"/>
      <c r="AHN16" s="1709"/>
      <c r="AHO16" s="1709"/>
      <c r="AHP16" s="1709"/>
      <c r="AHQ16" s="1709"/>
      <c r="AHR16" s="1709"/>
      <c r="AHS16" s="1709"/>
      <c r="AHT16" s="1709"/>
      <c r="AHU16" s="1709"/>
      <c r="AHV16" s="1709"/>
      <c r="AHW16" s="1709"/>
      <c r="AHX16" s="1709"/>
      <c r="AHY16" s="1709"/>
      <c r="AHZ16" s="1709"/>
      <c r="AIA16" s="1709"/>
      <c r="AIB16" s="1709"/>
      <c r="AIC16" s="1709"/>
      <c r="AID16" s="1709"/>
      <c r="AIE16" s="1709"/>
      <c r="AIF16" s="1709"/>
      <c r="AIG16" s="1709"/>
      <c r="AIH16" s="1709"/>
      <c r="AII16" s="1709"/>
      <c r="AIJ16" s="1709"/>
      <c r="AIK16" s="1709"/>
      <c r="AIL16" s="1709"/>
      <c r="AIM16" s="1709"/>
      <c r="AIN16" s="1709"/>
      <c r="AIO16" s="1709"/>
      <c r="AIP16" s="1709"/>
      <c r="AIQ16" s="1709"/>
      <c r="AIR16" s="1709"/>
      <c r="AIS16" s="1709"/>
      <c r="AIT16" s="1709"/>
      <c r="AIU16" s="1709"/>
      <c r="AIV16" s="1709"/>
      <c r="AIW16" s="1709"/>
      <c r="AIX16" s="1709"/>
      <c r="AIY16" s="1709"/>
      <c r="AIZ16" s="1709"/>
      <c r="AJA16" s="1709"/>
      <c r="AJB16" s="1709"/>
      <c r="AJC16" s="1709"/>
      <c r="AJD16" s="1709"/>
      <c r="AJE16" s="1709"/>
      <c r="AJF16" s="1709"/>
      <c r="AJG16" s="1709"/>
      <c r="AJH16" s="1709"/>
      <c r="AJI16" s="1709"/>
      <c r="AJJ16" s="1709"/>
      <c r="AJK16" s="1709"/>
      <c r="AJL16" s="1709"/>
      <c r="AJM16" s="1709"/>
      <c r="AJN16" s="1709"/>
      <c r="AJO16" s="1709"/>
      <c r="AJP16" s="1709"/>
      <c r="AJQ16" s="1709"/>
      <c r="AJR16" s="1709"/>
      <c r="AJS16" s="1709"/>
      <c r="AJT16" s="1709"/>
      <c r="AJU16" s="1709"/>
      <c r="AJV16" s="1709"/>
      <c r="AJW16" s="1709"/>
      <c r="AJX16" s="1709"/>
      <c r="AJY16" s="1709"/>
      <c r="AJZ16" s="1709"/>
      <c r="AKA16" s="1709"/>
      <c r="AKB16" s="1709"/>
      <c r="AKC16" s="1709"/>
      <c r="AKD16" s="1709"/>
      <c r="AKE16" s="1709"/>
      <c r="AKF16" s="1709"/>
      <c r="AKG16" s="1709"/>
      <c r="AKH16" s="1709"/>
      <c r="AKI16" s="1709"/>
      <c r="AKJ16" s="1709"/>
      <c r="AKK16" s="1709"/>
      <c r="AKL16" s="1709"/>
      <c r="AKM16" s="1709"/>
      <c r="AKN16" s="1709"/>
      <c r="AKO16" s="1709"/>
      <c r="AKP16" s="1709"/>
      <c r="AKQ16" s="1709"/>
      <c r="AKR16" s="1709"/>
      <c r="AKS16" s="1709"/>
      <c r="AKT16" s="1709"/>
      <c r="AKU16" s="1709"/>
      <c r="AKV16" s="1709"/>
      <c r="AKW16" s="1709"/>
      <c r="AKX16" s="1709"/>
      <c r="AKY16" s="1709"/>
      <c r="AKZ16" s="1709"/>
      <c r="ALA16" s="1709"/>
      <c r="ALB16" s="1709"/>
      <c r="ALC16" s="1709"/>
      <c r="ALD16" s="1709"/>
      <c r="ALE16" s="1709"/>
      <c r="ALF16" s="1709"/>
      <c r="ALG16" s="1709"/>
      <c r="ALH16" s="1709"/>
      <c r="ALI16" s="1709"/>
      <c r="ALJ16" s="1709"/>
      <c r="ALK16" s="1709"/>
      <c r="ALL16" s="1709"/>
      <c r="ALM16" s="1709"/>
      <c r="ALN16" s="1709"/>
      <c r="ALO16" s="1709"/>
      <c r="ALP16" s="1709"/>
      <c r="ALQ16" s="1709"/>
      <c r="ALR16" s="1709"/>
      <c r="ALS16" s="1709"/>
      <c r="ALT16" s="1709"/>
      <c r="ALU16" s="1709"/>
      <c r="ALV16" s="1709"/>
      <c r="ALW16" s="1709"/>
      <c r="ALX16" s="1709"/>
      <c r="ALY16" s="1709"/>
      <c r="ALZ16" s="1709"/>
      <c r="AMA16" s="1709"/>
      <c r="AMB16" s="1709"/>
      <c r="AMC16" s="1709"/>
      <c r="AMD16" s="1709"/>
      <c r="AME16" s="1709"/>
      <c r="AMF16" s="1709"/>
      <c r="AMG16" s="1709"/>
      <c r="AMH16" s="1709"/>
      <c r="AMI16" s="1709"/>
      <c r="AMJ16" s="1709"/>
      <c r="AMK16" s="1709"/>
      <c r="AML16" s="1709"/>
      <c r="AMM16" s="1709"/>
      <c r="AMN16" s="1709"/>
      <c r="AMO16" s="1709"/>
      <c r="AMP16" s="1709"/>
      <c r="AMQ16" s="1709"/>
      <c r="AMR16" s="1709"/>
      <c r="AMS16" s="1709"/>
      <c r="AMT16" s="1709"/>
      <c r="AMU16" s="1709"/>
      <c r="AMV16" s="1709"/>
      <c r="AMW16" s="1709"/>
      <c r="AMX16" s="1709"/>
      <c r="AMY16" s="1709"/>
      <c r="AMZ16" s="1709"/>
      <c r="ANA16" s="1709"/>
      <c r="ANB16" s="1709"/>
      <c r="ANC16" s="1709"/>
      <c r="AND16" s="1709"/>
      <c r="ANE16" s="1709"/>
      <c r="ANF16" s="1709"/>
      <c r="ANG16" s="1709"/>
      <c r="ANH16" s="1709"/>
      <c r="ANI16" s="1709"/>
      <c r="ANJ16" s="1709"/>
      <c r="ANK16" s="1709"/>
      <c r="ANL16" s="1709"/>
      <c r="ANM16" s="1709"/>
      <c r="ANN16" s="1709"/>
      <c r="ANO16" s="1709"/>
      <c r="ANP16" s="1709"/>
      <c r="ANQ16" s="1709"/>
      <c r="ANR16" s="1709"/>
      <c r="ANS16" s="1709"/>
      <c r="ANT16" s="1709"/>
      <c r="ANU16" s="1709"/>
      <c r="ANV16" s="1709"/>
      <c r="ANW16" s="1709"/>
      <c r="ANX16" s="1709"/>
      <c r="ANY16" s="1709"/>
      <c r="ANZ16" s="1709"/>
      <c r="AOA16" s="1709"/>
      <c r="AOB16" s="1709"/>
      <c r="AOC16" s="1709"/>
      <c r="AOD16" s="1709"/>
      <c r="AOE16" s="1709"/>
      <c r="AOF16" s="1709"/>
      <c r="AOG16" s="1709"/>
      <c r="AOH16" s="1709"/>
      <c r="AOI16" s="1709"/>
      <c r="AOJ16" s="1709"/>
      <c r="AOK16" s="1709"/>
      <c r="AOL16" s="1709"/>
      <c r="AOM16" s="1709"/>
      <c r="AON16" s="1709"/>
      <c r="AOO16" s="1709"/>
      <c r="AOP16" s="1709"/>
      <c r="AOQ16" s="1709"/>
      <c r="AOR16" s="1709"/>
      <c r="AOS16" s="1709"/>
      <c r="AOT16" s="1709"/>
      <c r="AOU16" s="1709"/>
      <c r="AOV16" s="1709"/>
      <c r="AOW16" s="1709"/>
      <c r="AOX16" s="1709"/>
      <c r="AOY16" s="1709"/>
      <c r="AOZ16" s="1709"/>
      <c r="APA16" s="1709"/>
      <c r="APB16" s="1709"/>
      <c r="APC16" s="1709"/>
      <c r="APD16" s="1709"/>
      <c r="APE16" s="1709"/>
      <c r="APF16" s="1709"/>
      <c r="APG16" s="1709"/>
      <c r="APH16" s="1709"/>
      <c r="API16" s="1709"/>
      <c r="APJ16" s="1709"/>
      <c r="APK16" s="1709"/>
      <c r="APL16" s="1709"/>
      <c r="APM16" s="1709"/>
      <c r="APN16" s="1709"/>
      <c r="APO16" s="1709"/>
      <c r="APP16" s="1709"/>
      <c r="APQ16" s="1709"/>
      <c r="APR16" s="1709"/>
      <c r="APS16" s="1709"/>
      <c r="APT16" s="1709"/>
      <c r="APU16" s="1709"/>
      <c r="APV16" s="1709"/>
      <c r="APW16" s="1709"/>
      <c r="APX16" s="1709"/>
      <c r="APY16" s="1709"/>
      <c r="APZ16" s="1709"/>
      <c r="AQA16" s="1709"/>
      <c r="AQB16" s="1709"/>
      <c r="AQC16" s="1709"/>
      <c r="AQD16" s="1709"/>
      <c r="AQE16" s="1709"/>
      <c r="AQF16" s="1709"/>
      <c r="AQG16" s="1709"/>
      <c r="AQH16" s="1709"/>
      <c r="AQI16" s="1709"/>
      <c r="AQJ16" s="1709"/>
      <c r="AQK16" s="1709"/>
      <c r="AQL16" s="1709"/>
      <c r="AQM16" s="1709"/>
      <c r="AQN16" s="1709"/>
      <c r="AQO16" s="1709"/>
      <c r="AQP16" s="1709"/>
      <c r="AQQ16" s="1709"/>
      <c r="AQR16" s="1709"/>
      <c r="AQS16" s="1709"/>
      <c r="AQT16" s="1709"/>
      <c r="AQU16" s="1709"/>
      <c r="AQV16" s="1709"/>
      <c r="AQW16" s="1709"/>
      <c r="AQX16" s="1709"/>
      <c r="AQY16" s="1709"/>
      <c r="AQZ16" s="1709"/>
      <c r="ARA16" s="1709"/>
      <c r="ARB16" s="1709"/>
      <c r="ARC16" s="1709"/>
      <c r="ARD16" s="1709"/>
      <c r="ARE16" s="1709"/>
      <c r="ARF16" s="1709"/>
      <c r="ARG16" s="1709"/>
      <c r="ARH16" s="1709"/>
      <c r="ARI16" s="1709"/>
      <c r="ARJ16" s="1709"/>
      <c r="ARK16" s="1709"/>
      <c r="ARL16" s="1709"/>
      <c r="ARM16" s="1709"/>
      <c r="ARN16" s="1709"/>
      <c r="ARO16" s="1709"/>
      <c r="ARP16" s="1709"/>
      <c r="ARQ16" s="1709"/>
      <c r="ARR16" s="1709"/>
      <c r="ARS16" s="1709"/>
      <c r="ART16" s="1709"/>
      <c r="ARU16" s="1709"/>
      <c r="ARV16" s="1709"/>
      <c r="ARW16" s="1709"/>
      <c r="ARX16" s="1709"/>
      <c r="ARY16" s="1709"/>
      <c r="ARZ16" s="1709"/>
      <c r="ASA16" s="1709"/>
      <c r="ASB16" s="1709"/>
      <c r="ASC16" s="1709"/>
      <c r="ASD16" s="1709"/>
      <c r="ASE16" s="1709"/>
      <c r="ASF16" s="1709"/>
      <c r="ASG16" s="1709"/>
      <c r="ASH16" s="1709"/>
      <c r="ASI16" s="1709"/>
      <c r="ASJ16" s="1709"/>
      <c r="ASK16" s="1709"/>
      <c r="ASL16" s="1709"/>
      <c r="ASM16" s="1709"/>
      <c r="ASN16" s="1709"/>
      <c r="ASO16" s="1709"/>
      <c r="ASP16" s="1709"/>
      <c r="ASQ16" s="1709"/>
      <c r="ASR16" s="1709"/>
      <c r="ASS16" s="1709"/>
      <c r="AST16" s="1709"/>
      <c r="ASU16" s="1709"/>
      <c r="ASV16" s="1709"/>
      <c r="ASW16" s="1709"/>
      <c r="ASX16" s="1709"/>
      <c r="ASY16" s="1709"/>
      <c r="ASZ16" s="1709"/>
      <c r="ATA16" s="1709"/>
      <c r="ATB16" s="1709"/>
      <c r="ATC16" s="1709"/>
      <c r="ATD16" s="1709"/>
      <c r="ATE16" s="1709"/>
      <c r="ATF16" s="1709"/>
      <c r="ATG16" s="1709"/>
      <c r="ATH16" s="1709"/>
      <c r="ATI16" s="1709"/>
      <c r="ATJ16" s="1709"/>
      <c r="ATK16" s="1709"/>
      <c r="ATL16" s="1709"/>
      <c r="ATM16" s="1709"/>
      <c r="ATN16" s="1709"/>
      <c r="ATO16" s="1709"/>
      <c r="ATP16" s="1709"/>
      <c r="ATQ16" s="1709"/>
      <c r="ATR16" s="1709"/>
      <c r="ATS16" s="1709"/>
      <c r="ATT16" s="1709"/>
      <c r="ATU16" s="1709"/>
      <c r="ATV16" s="1709"/>
      <c r="ATW16" s="1709"/>
      <c r="ATX16" s="1709"/>
      <c r="ATY16" s="1709"/>
      <c r="ATZ16" s="1709"/>
      <c r="AUA16" s="1709"/>
      <c r="AUB16" s="1709"/>
      <c r="AUC16" s="1709"/>
      <c r="AUD16" s="1709"/>
      <c r="AUE16" s="1709"/>
      <c r="AUF16" s="1709"/>
      <c r="AUG16" s="1709"/>
      <c r="AUH16" s="1709"/>
      <c r="AUI16" s="1709"/>
      <c r="AUJ16" s="1709"/>
      <c r="AUK16" s="1709"/>
      <c r="AUL16" s="1709"/>
      <c r="AUM16" s="1709"/>
      <c r="AUN16" s="1709"/>
      <c r="AUO16" s="1709"/>
      <c r="AUP16" s="1709"/>
      <c r="AUQ16" s="1709"/>
      <c r="AUR16" s="1709"/>
      <c r="AUS16" s="1709"/>
      <c r="AUT16" s="1709"/>
      <c r="AUU16" s="1709"/>
      <c r="AUV16" s="1709"/>
      <c r="AUW16" s="1709"/>
      <c r="AUX16" s="1709"/>
      <c r="AUY16" s="1709"/>
      <c r="AUZ16" s="1709"/>
      <c r="AVA16" s="1709"/>
      <c r="AVB16" s="1709"/>
      <c r="AVC16" s="1709"/>
      <c r="AVD16" s="1709"/>
      <c r="AVE16" s="1709"/>
      <c r="AVF16" s="1709"/>
      <c r="AVG16" s="1709"/>
      <c r="AVH16" s="1709"/>
      <c r="AVI16" s="1709"/>
      <c r="AVJ16" s="1709"/>
      <c r="AVK16" s="1709"/>
      <c r="AVL16" s="1709"/>
      <c r="AVM16" s="1709"/>
      <c r="AVN16" s="1709"/>
      <c r="AVO16" s="1709"/>
      <c r="AVP16" s="1709"/>
      <c r="AVQ16" s="1709"/>
      <c r="AVR16" s="1709"/>
      <c r="AVS16" s="1709"/>
      <c r="AVT16" s="1709"/>
      <c r="AVU16" s="1709"/>
      <c r="AVV16" s="1709"/>
      <c r="AVW16" s="1709"/>
      <c r="AVX16" s="1709"/>
      <c r="AVY16" s="1709"/>
      <c r="AVZ16" s="1709"/>
      <c r="AWA16" s="1709"/>
      <c r="AWB16" s="1709"/>
      <c r="AWC16" s="1709"/>
      <c r="AWD16" s="1709"/>
      <c r="AWE16" s="1709"/>
      <c r="AWF16" s="1709"/>
      <c r="AWG16" s="1709"/>
      <c r="AWH16" s="1709"/>
      <c r="AWI16" s="1709"/>
      <c r="AWJ16" s="1709"/>
      <c r="AWK16" s="1709"/>
      <c r="AWL16" s="1709"/>
      <c r="AWM16" s="1709"/>
      <c r="AWN16" s="1709"/>
      <c r="AWO16" s="1709"/>
      <c r="AWP16" s="1709"/>
      <c r="AWQ16" s="1709"/>
      <c r="AWR16" s="1709"/>
      <c r="AWS16" s="1709"/>
      <c r="AWT16" s="1709"/>
      <c r="AWU16" s="1709"/>
      <c r="AWV16" s="1709"/>
      <c r="AWW16" s="1709"/>
      <c r="AWX16" s="1709"/>
      <c r="AWY16" s="1709"/>
      <c r="AWZ16" s="1709"/>
      <c r="AXA16" s="1709"/>
      <c r="AXB16" s="1709"/>
      <c r="AXC16" s="1709"/>
      <c r="AXD16" s="1709"/>
      <c r="AXE16" s="1709"/>
      <c r="AXF16" s="1709"/>
      <c r="AXG16" s="1709"/>
      <c r="AXH16" s="1709"/>
      <c r="AXI16" s="1709"/>
      <c r="AXJ16" s="1709"/>
      <c r="AXK16" s="1709"/>
      <c r="AXL16" s="1709"/>
      <c r="AXM16" s="1709"/>
      <c r="AXN16" s="1709"/>
      <c r="AXO16" s="1709"/>
      <c r="AXP16" s="1709"/>
      <c r="AXQ16" s="1709"/>
      <c r="AXR16" s="1709"/>
      <c r="AXS16" s="1709"/>
      <c r="AXT16" s="1709"/>
      <c r="AXU16" s="1709"/>
      <c r="AXV16" s="1709"/>
      <c r="AXW16" s="1709"/>
      <c r="AXX16" s="1709"/>
      <c r="AXY16" s="1709"/>
      <c r="AXZ16" s="1709"/>
      <c r="AYA16" s="1709"/>
      <c r="AYB16" s="1709"/>
      <c r="AYC16" s="1709"/>
      <c r="AYD16" s="1709"/>
      <c r="AYE16" s="1709"/>
      <c r="AYF16" s="1709"/>
      <c r="AYG16" s="1709"/>
      <c r="AYH16" s="1709"/>
      <c r="AYI16" s="1709"/>
      <c r="AYJ16" s="1709"/>
      <c r="AYK16" s="1709"/>
      <c r="AYL16" s="1709"/>
      <c r="AYM16" s="1709"/>
      <c r="AYN16" s="1709"/>
      <c r="AYO16" s="1709"/>
      <c r="AYP16" s="1709"/>
      <c r="AYQ16" s="1709"/>
      <c r="AYR16" s="1709"/>
      <c r="AYS16" s="1709"/>
      <c r="AYT16" s="1709"/>
      <c r="AYU16" s="1709"/>
      <c r="AYV16" s="1709"/>
      <c r="AYW16" s="1709"/>
      <c r="AYX16" s="1709"/>
      <c r="AYY16" s="1709"/>
      <c r="AYZ16" s="1709"/>
      <c r="AZA16" s="1709"/>
      <c r="AZB16" s="1709"/>
      <c r="AZC16" s="1709"/>
      <c r="AZD16" s="1709"/>
      <c r="AZE16" s="1709"/>
      <c r="AZF16" s="1709"/>
      <c r="AZG16" s="1709"/>
      <c r="AZH16" s="1709"/>
      <c r="AZI16" s="1709"/>
      <c r="AZJ16" s="1709"/>
      <c r="AZK16" s="1709"/>
      <c r="AZL16" s="1709"/>
      <c r="AZM16" s="1709"/>
      <c r="AZN16" s="1709"/>
      <c r="AZO16" s="1709"/>
      <c r="AZP16" s="1709"/>
      <c r="AZQ16" s="1709"/>
      <c r="AZR16" s="1709"/>
      <c r="AZS16" s="1709"/>
      <c r="AZT16" s="1709"/>
      <c r="AZU16" s="1709"/>
      <c r="AZV16" s="1709"/>
      <c r="AZW16" s="1709"/>
      <c r="AZX16" s="1709"/>
    </row>
    <row r="17" spans="1:43" ht="99.75" customHeight="1" x14ac:dyDescent="0.2">
      <c r="A17" s="3541"/>
      <c r="B17" s="3542"/>
      <c r="C17" s="3494"/>
      <c r="D17" s="3515"/>
      <c r="E17" s="3515"/>
      <c r="F17" s="3516"/>
      <c r="G17" s="2996"/>
      <c r="H17" s="2996"/>
      <c r="I17" s="2996"/>
      <c r="J17" s="1968">
        <v>39</v>
      </c>
      <c r="K17" s="1841" t="s">
        <v>850</v>
      </c>
      <c r="L17" s="2014" t="s">
        <v>851</v>
      </c>
      <c r="M17" s="2020">
        <v>3</v>
      </c>
      <c r="N17" s="3061"/>
      <c r="O17" s="3498"/>
      <c r="P17" s="3480"/>
      <c r="Q17" s="2016">
        <f>SUM(V17:V17)/R13</f>
        <v>0.33235785953177255</v>
      </c>
      <c r="R17" s="3529"/>
      <c r="S17" s="3480"/>
      <c r="T17" s="3477"/>
      <c r="U17" s="2027" t="s">
        <v>852</v>
      </c>
      <c r="V17" s="2636">
        <v>39750000</v>
      </c>
      <c r="W17" s="2011">
        <v>20</v>
      </c>
      <c r="X17" s="2019" t="s">
        <v>846</v>
      </c>
      <c r="Y17" s="3282"/>
      <c r="Z17" s="3282"/>
      <c r="AA17" s="3282"/>
      <c r="AB17" s="3282"/>
      <c r="AC17" s="3282"/>
      <c r="AD17" s="3282"/>
      <c r="AE17" s="3538"/>
      <c r="AF17" s="2031"/>
      <c r="AG17" s="2031"/>
      <c r="AH17" s="2031"/>
      <c r="AI17" s="2031"/>
      <c r="AJ17" s="2031"/>
      <c r="AK17" s="2031"/>
      <c r="AL17" s="2031"/>
      <c r="AM17" s="482"/>
      <c r="AN17" s="3150"/>
      <c r="AO17" s="3472"/>
      <c r="AP17" s="3474"/>
      <c r="AQ17" s="3477"/>
    </row>
    <row r="18" spans="1:43" ht="48.75" customHeight="1" x14ac:dyDescent="0.2">
      <c r="A18" s="3541"/>
      <c r="B18" s="3542"/>
      <c r="C18" s="3494"/>
      <c r="D18" s="3515"/>
      <c r="E18" s="3515"/>
      <c r="F18" s="3516"/>
      <c r="G18" s="2996"/>
      <c r="H18" s="2996"/>
      <c r="I18" s="3498"/>
      <c r="J18" s="3519">
        <v>40</v>
      </c>
      <c r="K18" s="3479" t="s">
        <v>853</v>
      </c>
      <c r="L18" s="3479" t="s">
        <v>854</v>
      </c>
      <c r="M18" s="3533">
        <f>0.56+0.36</f>
        <v>0.92</v>
      </c>
      <c r="N18" s="1986"/>
      <c r="O18" s="3059" t="s">
        <v>855</v>
      </c>
      <c r="P18" s="3479" t="s">
        <v>856</v>
      </c>
      <c r="Q18" s="3481">
        <f>(V18+V19)/R18</f>
        <v>0.53959057551178058</v>
      </c>
      <c r="R18" s="3529">
        <f>SUM(V18:V26)</f>
        <v>129450000</v>
      </c>
      <c r="S18" s="3479" t="s">
        <v>857</v>
      </c>
      <c r="T18" s="3492" t="s">
        <v>858</v>
      </c>
      <c r="U18" s="3530" t="s">
        <v>859</v>
      </c>
      <c r="V18" s="2636">
        <v>19850000</v>
      </c>
      <c r="W18" s="2025">
        <v>20</v>
      </c>
      <c r="X18" s="2026" t="s">
        <v>846</v>
      </c>
      <c r="Y18" s="3150">
        <v>294321</v>
      </c>
      <c r="Z18" s="3150">
        <v>283947</v>
      </c>
      <c r="AA18" s="3150">
        <v>135754</v>
      </c>
      <c r="AB18" s="3150">
        <v>44640</v>
      </c>
      <c r="AC18" s="3150">
        <v>308178</v>
      </c>
      <c r="AD18" s="3108">
        <v>89696</v>
      </c>
      <c r="AE18" s="3526"/>
      <c r="AF18" s="2030"/>
      <c r="AG18" s="2030"/>
      <c r="AH18" s="2030"/>
      <c r="AI18" s="2030"/>
      <c r="AJ18" s="2030"/>
      <c r="AK18" s="2030"/>
      <c r="AL18" s="2030"/>
      <c r="AM18" s="474"/>
      <c r="AN18" s="3150">
        <f>+Y18+Z18</f>
        <v>578268</v>
      </c>
      <c r="AO18" s="3471">
        <v>43467</v>
      </c>
      <c r="AP18" s="3473">
        <v>43830</v>
      </c>
      <c r="AQ18" s="3475" t="s">
        <v>847</v>
      </c>
    </row>
    <row r="19" spans="1:43" ht="41.25" customHeight="1" x14ac:dyDescent="0.2">
      <c r="A19" s="3541"/>
      <c r="B19" s="3542"/>
      <c r="C19" s="3494"/>
      <c r="D19" s="3515"/>
      <c r="E19" s="3515"/>
      <c r="F19" s="3516"/>
      <c r="G19" s="2996"/>
      <c r="H19" s="2996"/>
      <c r="I19" s="3498"/>
      <c r="J19" s="3519"/>
      <c r="K19" s="3480"/>
      <c r="L19" s="3480"/>
      <c r="M19" s="3534"/>
      <c r="N19" s="1986"/>
      <c r="O19" s="3060"/>
      <c r="P19" s="3480"/>
      <c r="Q19" s="3482"/>
      <c r="R19" s="3529"/>
      <c r="S19" s="3480"/>
      <c r="T19" s="3477"/>
      <c r="U19" s="3530"/>
      <c r="V19" s="3523">
        <f>0+50000000</f>
        <v>50000000</v>
      </c>
      <c r="W19" s="3524">
        <v>88</v>
      </c>
      <c r="X19" s="3525" t="s">
        <v>848</v>
      </c>
      <c r="Y19" s="3150"/>
      <c r="Z19" s="3150"/>
      <c r="AA19" s="3150"/>
      <c r="AB19" s="3150"/>
      <c r="AC19" s="3150"/>
      <c r="AD19" s="3108"/>
      <c r="AE19" s="3527"/>
      <c r="AF19" s="2031"/>
      <c r="AG19" s="2031"/>
      <c r="AH19" s="2031"/>
      <c r="AI19" s="2031"/>
      <c r="AJ19" s="2031"/>
      <c r="AK19" s="2031"/>
      <c r="AL19" s="2031"/>
      <c r="AM19" s="482"/>
      <c r="AN19" s="3150"/>
      <c r="AO19" s="3472"/>
      <c r="AP19" s="3474"/>
      <c r="AQ19" s="3477"/>
    </row>
    <row r="20" spans="1:43" ht="18.75" customHeight="1" x14ac:dyDescent="0.2">
      <c r="A20" s="3541"/>
      <c r="B20" s="3542"/>
      <c r="C20" s="3494"/>
      <c r="D20" s="3515"/>
      <c r="E20" s="3515"/>
      <c r="F20" s="3516"/>
      <c r="G20" s="2996"/>
      <c r="H20" s="2996"/>
      <c r="I20" s="3498"/>
      <c r="J20" s="3519"/>
      <c r="K20" s="3480"/>
      <c r="L20" s="3480"/>
      <c r="M20" s="3534"/>
      <c r="N20" s="1986" t="s">
        <v>860</v>
      </c>
      <c r="O20" s="3060"/>
      <c r="P20" s="3480"/>
      <c r="Q20" s="3482"/>
      <c r="R20" s="3529"/>
      <c r="S20" s="3480"/>
      <c r="T20" s="3477"/>
      <c r="U20" s="3530"/>
      <c r="V20" s="3523"/>
      <c r="W20" s="3524"/>
      <c r="X20" s="3525"/>
      <c r="Y20" s="3150"/>
      <c r="Z20" s="3150"/>
      <c r="AA20" s="3150"/>
      <c r="AB20" s="3150"/>
      <c r="AC20" s="3150"/>
      <c r="AD20" s="3108"/>
      <c r="AE20" s="3527"/>
      <c r="AF20" s="2031"/>
      <c r="AG20" s="2031"/>
      <c r="AH20" s="2031"/>
      <c r="AI20" s="2031"/>
      <c r="AJ20" s="2031"/>
      <c r="AK20" s="2031"/>
      <c r="AL20" s="2031"/>
      <c r="AM20" s="482"/>
      <c r="AN20" s="3150"/>
      <c r="AO20" s="3472"/>
      <c r="AP20" s="3474"/>
      <c r="AQ20" s="3477"/>
    </row>
    <row r="21" spans="1:43" ht="38.25" customHeight="1" x14ac:dyDescent="0.2">
      <c r="A21" s="3541"/>
      <c r="B21" s="3542"/>
      <c r="C21" s="3494"/>
      <c r="D21" s="3515"/>
      <c r="E21" s="3515"/>
      <c r="F21" s="3516"/>
      <c r="G21" s="2996"/>
      <c r="H21" s="2996"/>
      <c r="I21" s="3498"/>
      <c r="J21" s="3518">
        <v>41</v>
      </c>
      <c r="K21" s="3479" t="s">
        <v>861</v>
      </c>
      <c r="L21" s="3479" t="s">
        <v>862</v>
      </c>
      <c r="M21" s="3059">
        <v>1</v>
      </c>
      <c r="N21" s="1986"/>
      <c r="O21" s="3060"/>
      <c r="P21" s="3480"/>
      <c r="Q21" s="3481">
        <f>(V21)/R18</f>
        <v>0.19196601004248745</v>
      </c>
      <c r="R21" s="3529"/>
      <c r="S21" s="3480"/>
      <c r="T21" s="3492" t="s">
        <v>863</v>
      </c>
      <c r="U21" s="3520" t="s">
        <v>864</v>
      </c>
      <c r="V21" s="3523">
        <v>24850000</v>
      </c>
      <c r="W21" s="3469">
        <v>20</v>
      </c>
      <c r="X21" s="3496" t="s">
        <v>846</v>
      </c>
      <c r="Y21" s="3150"/>
      <c r="Z21" s="3150"/>
      <c r="AA21" s="3150"/>
      <c r="AB21" s="3150"/>
      <c r="AC21" s="3150"/>
      <c r="AD21" s="3108"/>
      <c r="AE21" s="3527"/>
      <c r="AF21" s="2031"/>
      <c r="AG21" s="2031"/>
      <c r="AH21" s="2031"/>
      <c r="AI21" s="2031"/>
      <c r="AJ21" s="2031"/>
      <c r="AK21" s="2031"/>
      <c r="AL21" s="2031"/>
      <c r="AM21" s="482"/>
      <c r="AN21" s="3150"/>
      <c r="AO21" s="3472"/>
      <c r="AP21" s="3474"/>
      <c r="AQ21" s="3477"/>
    </row>
    <row r="22" spans="1:43" ht="36" customHeight="1" x14ac:dyDescent="0.2">
      <c r="A22" s="3541"/>
      <c r="B22" s="3542"/>
      <c r="C22" s="3494"/>
      <c r="D22" s="3515"/>
      <c r="E22" s="3515"/>
      <c r="F22" s="3516"/>
      <c r="G22" s="2996"/>
      <c r="H22" s="2996"/>
      <c r="I22" s="3498"/>
      <c r="J22" s="3519"/>
      <c r="K22" s="3480"/>
      <c r="L22" s="3480"/>
      <c r="M22" s="3060"/>
      <c r="N22" s="1986" t="s">
        <v>865</v>
      </c>
      <c r="O22" s="3060"/>
      <c r="P22" s="3480"/>
      <c r="Q22" s="3482"/>
      <c r="R22" s="3529"/>
      <c r="S22" s="3480"/>
      <c r="T22" s="3477"/>
      <c r="U22" s="3517"/>
      <c r="V22" s="3523"/>
      <c r="W22" s="3469"/>
      <c r="X22" s="3496"/>
      <c r="Y22" s="3150"/>
      <c r="Z22" s="3150"/>
      <c r="AA22" s="3150"/>
      <c r="AB22" s="3150"/>
      <c r="AC22" s="3150"/>
      <c r="AD22" s="3108"/>
      <c r="AE22" s="3527"/>
      <c r="AF22" s="2031"/>
      <c r="AG22" s="2031"/>
      <c r="AH22" s="2031"/>
      <c r="AI22" s="2031"/>
      <c r="AJ22" s="2031"/>
      <c r="AK22" s="2031"/>
      <c r="AL22" s="2031"/>
      <c r="AM22" s="482"/>
      <c r="AN22" s="3150"/>
      <c r="AO22" s="3472"/>
      <c r="AP22" s="3474"/>
      <c r="AQ22" s="3477"/>
    </row>
    <row r="23" spans="1:43" ht="28.5" customHeight="1" x14ac:dyDescent="0.2">
      <c r="A23" s="3541"/>
      <c r="B23" s="3542"/>
      <c r="C23" s="3494"/>
      <c r="D23" s="3515"/>
      <c r="E23" s="3515"/>
      <c r="F23" s="3516"/>
      <c r="G23" s="2996"/>
      <c r="H23" s="2996"/>
      <c r="I23" s="3498"/>
      <c r="J23" s="3519"/>
      <c r="K23" s="3480"/>
      <c r="L23" s="3480"/>
      <c r="M23" s="3060"/>
      <c r="N23" s="1986"/>
      <c r="O23" s="3060"/>
      <c r="P23" s="3480"/>
      <c r="Q23" s="3482"/>
      <c r="R23" s="3529"/>
      <c r="S23" s="3480"/>
      <c r="T23" s="3477"/>
      <c r="U23" s="3532"/>
      <c r="V23" s="3523"/>
      <c r="W23" s="3509"/>
      <c r="X23" s="3510"/>
      <c r="Y23" s="3150"/>
      <c r="Z23" s="3150"/>
      <c r="AA23" s="3150"/>
      <c r="AB23" s="3150"/>
      <c r="AC23" s="3150"/>
      <c r="AD23" s="3108"/>
      <c r="AE23" s="3527"/>
      <c r="AF23" s="2031"/>
      <c r="AG23" s="2031"/>
      <c r="AH23" s="2031"/>
      <c r="AI23" s="2031"/>
      <c r="AJ23" s="2031"/>
      <c r="AK23" s="2031"/>
      <c r="AL23" s="2031"/>
      <c r="AM23" s="482"/>
      <c r="AN23" s="3150"/>
      <c r="AO23" s="3472"/>
      <c r="AP23" s="3474"/>
      <c r="AQ23" s="3477"/>
    </row>
    <row r="24" spans="1:43" ht="25.5" customHeight="1" x14ac:dyDescent="0.2">
      <c r="A24" s="3541"/>
      <c r="B24" s="3542"/>
      <c r="C24" s="3494"/>
      <c r="D24" s="3515"/>
      <c r="E24" s="3515"/>
      <c r="F24" s="3516"/>
      <c r="G24" s="2996"/>
      <c r="H24" s="2996"/>
      <c r="I24" s="3498"/>
      <c r="J24" s="3518">
        <v>42</v>
      </c>
      <c r="K24" s="3479" t="s">
        <v>866</v>
      </c>
      <c r="L24" s="3479" t="s">
        <v>867</v>
      </c>
      <c r="M24" s="3059">
        <v>1</v>
      </c>
      <c r="N24" s="1986"/>
      <c r="O24" s="3060"/>
      <c r="P24" s="3480"/>
      <c r="Q24" s="3481">
        <f>(V24)/R18</f>
        <v>0.26844341444573194</v>
      </c>
      <c r="R24" s="3529"/>
      <c r="S24" s="3480"/>
      <c r="T24" s="3477"/>
      <c r="U24" s="3520" t="s">
        <v>868</v>
      </c>
      <c r="V24" s="3523">
        <v>34750000</v>
      </c>
      <c r="W24" s="3468">
        <v>20</v>
      </c>
      <c r="X24" s="3495" t="s">
        <v>846</v>
      </c>
      <c r="Y24" s="3150"/>
      <c r="Z24" s="3150"/>
      <c r="AA24" s="3150"/>
      <c r="AB24" s="3150"/>
      <c r="AC24" s="3150"/>
      <c r="AD24" s="3108"/>
      <c r="AE24" s="3527"/>
      <c r="AF24" s="2031"/>
      <c r="AG24" s="2031"/>
      <c r="AH24" s="2031"/>
      <c r="AI24" s="2031"/>
      <c r="AJ24" s="2031"/>
      <c r="AK24" s="2031"/>
      <c r="AL24" s="2031"/>
      <c r="AM24" s="482"/>
      <c r="AN24" s="3150"/>
      <c r="AO24" s="3472"/>
      <c r="AP24" s="3474"/>
      <c r="AQ24" s="3477"/>
    </row>
    <row r="25" spans="1:43" ht="42" customHeight="1" x14ac:dyDescent="0.2">
      <c r="A25" s="3541"/>
      <c r="B25" s="3542"/>
      <c r="C25" s="3494"/>
      <c r="D25" s="3515"/>
      <c r="E25" s="3515"/>
      <c r="F25" s="3516"/>
      <c r="G25" s="2996"/>
      <c r="H25" s="2996"/>
      <c r="I25" s="3498"/>
      <c r="J25" s="3519"/>
      <c r="K25" s="3480"/>
      <c r="L25" s="3480"/>
      <c r="M25" s="3060"/>
      <c r="N25" s="1986"/>
      <c r="O25" s="3060"/>
      <c r="P25" s="3480"/>
      <c r="Q25" s="3482"/>
      <c r="R25" s="3529"/>
      <c r="S25" s="3480"/>
      <c r="T25" s="3477"/>
      <c r="U25" s="3517"/>
      <c r="V25" s="3523"/>
      <c r="W25" s="3469"/>
      <c r="X25" s="3496"/>
      <c r="Y25" s="3150"/>
      <c r="Z25" s="3150"/>
      <c r="AA25" s="3150"/>
      <c r="AB25" s="3150"/>
      <c r="AC25" s="3150"/>
      <c r="AD25" s="3108"/>
      <c r="AE25" s="3527"/>
      <c r="AF25" s="2031"/>
      <c r="AG25" s="2031"/>
      <c r="AH25" s="2031"/>
      <c r="AI25" s="2031"/>
      <c r="AJ25" s="2031"/>
      <c r="AK25" s="2031"/>
      <c r="AL25" s="2031"/>
      <c r="AM25" s="482"/>
      <c r="AN25" s="3150"/>
      <c r="AO25" s="3472"/>
      <c r="AP25" s="3474"/>
      <c r="AQ25" s="3477"/>
    </row>
    <row r="26" spans="1:43" ht="33" customHeight="1" x14ac:dyDescent="0.2">
      <c r="A26" s="3541"/>
      <c r="B26" s="3542"/>
      <c r="C26" s="3494"/>
      <c r="D26" s="3515"/>
      <c r="E26" s="3515"/>
      <c r="F26" s="3516"/>
      <c r="G26" s="3544"/>
      <c r="H26" s="3544"/>
      <c r="I26" s="3545"/>
      <c r="J26" s="3519"/>
      <c r="K26" s="3480"/>
      <c r="L26" s="3480"/>
      <c r="M26" s="3060"/>
      <c r="N26" s="1986"/>
      <c r="O26" s="3060"/>
      <c r="P26" s="3480"/>
      <c r="Q26" s="3482"/>
      <c r="R26" s="3529"/>
      <c r="S26" s="3480"/>
      <c r="T26" s="3531"/>
      <c r="U26" s="3517"/>
      <c r="V26" s="3523"/>
      <c r="W26" s="3509"/>
      <c r="X26" s="3510"/>
      <c r="Y26" s="3150"/>
      <c r="Z26" s="3150"/>
      <c r="AA26" s="3150"/>
      <c r="AB26" s="3150"/>
      <c r="AC26" s="3150"/>
      <c r="AD26" s="3108"/>
      <c r="AE26" s="3528"/>
      <c r="AF26" s="2032"/>
      <c r="AG26" s="2032"/>
      <c r="AH26" s="2032"/>
      <c r="AI26" s="2032"/>
      <c r="AJ26" s="2032"/>
      <c r="AK26" s="2032"/>
      <c r="AL26" s="2032"/>
      <c r="AM26" s="1894"/>
      <c r="AN26" s="3150"/>
      <c r="AO26" s="3521"/>
      <c r="AP26" s="3522"/>
      <c r="AQ26" s="3477"/>
    </row>
    <row r="27" spans="1:43" ht="22.5" customHeight="1" x14ac:dyDescent="0.2">
      <c r="A27" s="3541"/>
      <c r="B27" s="3542"/>
      <c r="C27" s="3494"/>
      <c r="D27" s="3515"/>
      <c r="E27" s="3515"/>
      <c r="F27" s="3516"/>
      <c r="G27" s="409">
        <v>9</v>
      </c>
      <c r="H27" s="410" t="s">
        <v>869</v>
      </c>
      <c r="I27" s="410"/>
      <c r="J27" s="162"/>
      <c r="K27" s="157"/>
      <c r="L27" s="157"/>
      <c r="M27" s="162"/>
      <c r="N27" s="158"/>
      <c r="O27" s="172"/>
      <c r="P27" s="157"/>
      <c r="Q27" s="265"/>
      <c r="R27" s="265"/>
      <c r="S27" s="157"/>
      <c r="T27" s="263"/>
      <c r="U27" s="263"/>
      <c r="V27" s="2637"/>
      <c r="W27" s="263"/>
      <c r="X27" s="210"/>
      <c r="Y27" s="263"/>
      <c r="Z27" s="263"/>
      <c r="AA27" s="267"/>
      <c r="AB27" s="267"/>
      <c r="AC27" s="267"/>
      <c r="AD27" s="267"/>
      <c r="AE27" s="267"/>
      <c r="AF27" s="162"/>
      <c r="AG27" s="162"/>
      <c r="AH27" s="162"/>
      <c r="AI27" s="162"/>
      <c r="AJ27" s="162"/>
      <c r="AK27" s="162"/>
      <c r="AL27" s="162"/>
      <c r="AM27" s="162"/>
      <c r="AN27" s="162"/>
      <c r="AO27" s="413"/>
      <c r="AP27" s="413"/>
      <c r="AQ27" s="177"/>
    </row>
    <row r="28" spans="1:43" ht="30" customHeight="1" x14ac:dyDescent="0.2">
      <c r="A28" s="3541"/>
      <c r="B28" s="3542"/>
      <c r="C28" s="3494"/>
      <c r="D28" s="3515"/>
      <c r="E28" s="3515"/>
      <c r="F28" s="3516"/>
      <c r="G28" s="3511"/>
      <c r="H28" s="3512"/>
      <c r="I28" s="3513"/>
      <c r="J28" s="2774">
        <v>44</v>
      </c>
      <c r="K28" s="3052" t="s">
        <v>870</v>
      </c>
      <c r="L28" s="3052" t="s">
        <v>871</v>
      </c>
      <c r="M28" s="3049">
        <v>1</v>
      </c>
      <c r="N28" s="2039"/>
      <c r="O28" s="3060" t="s">
        <v>872</v>
      </c>
      <c r="P28" s="3517" t="s">
        <v>873</v>
      </c>
      <c r="Q28" s="3499">
        <f>SUM(V28:V30)/R28</f>
        <v>0.11753978779840848</v>
      </c>
      <c r="R28" s="3483">
        <f>SUM(V28:V35)</f>
        <v>603200000</v>
      </c>
      <c r="S28" s="3480" t="s">
        <v>874</v>
      </c>
      <c r="T28" s="3492" t="s">
        <v>875</v>
      </c>
      <c r="U28" s="2970" t="s">
        <v>876</v>
      </c>
      <c r="V28" s="2636">
        <v>16910000</v>
      </c>
      <c r="W28" s="1515">
        <v>20</v>
      </c>
      <c r="X28" s="1886" t="s">
        <v>846</v>
      </c>
      <c r="Y28" s="3150">
        <v>294321</v>
      </c>
      <c r="Z28" s="3150">
        <v>283947</v>
      </c>
      <c r="AA28" s="3150">
        <v>135754</v>
      </c>
      <c r="AB28" s="3150">
        <v>44640</v>
      </c>
      <c r="AC28" s="3150">
        <v>308178</v>
      </c>
      <c r="AD28" s="3108">
        <v>89696</v>
      </c>
      <c r="AE28" s="3508"/>
      <c r="AF28" s="2031"/>
      <c r="AG28" s="2031"/>
      <c r="AH28" s="2031"/>
      <c r="AI28" s="2031"/>
      <c r="AJ28" s="2031"/>
      <c r="AK28" s="2031"/>
      <c r="AL28" s="2031"/>
      <c r="AM28" s="482"/>
      <c r="AN28" s="3150">
        <f>+Y28+Z28</f>
        <v>578268</v>
      </c>
      <c r="AO28" s="3472">
        <v>43467</v>
      </c>
      <c r="AP28" s="3474">
        <v>43830</v>
      </c>
      <c r="AQ28" s="3476" t="s">
        <v>847</v>
      </c>
    </row>
    <row r="29" spans="1:43" ht="59.25" customHeight="1" x14ac:dyDescent="0.2">
      <c r="A29" s="3541"/>
      <c r="B29" s="3542"/>
      <c r="C29" s="3494"/>
      <c r="D29" s="3515"/>
      <c r="E29" s="3515"/>
      <c r="F29" s="3516"/>
      <c r="G29" s="3514"/>
      <c r="H29" s="3515"/>
      <c r="I29" s="3516"/>
      <c r="J29" s="2774"/>
      <c r="K29" s="3052"/>
      <c r="L29" s="3052"/>
      <c r="M29" s="3049"/>
      <c r="N29" s="2039"/>
      <c r="O29" s="3060"/>
      <c r="P29" s="3517"/>
      <c r="Q29" s="3499"/>
      <c r="R29" s="3483"/>
      <c r="S29" s="3480"/>
      <c r="T29" s="3477"/>
      <c r="U29" s="2971"/>
      <c r="V29" s="2636">
        <f>0+39400000</f>
        <v>39400000</v>
      </c>
      <c r="W29" s="1516">
        <v>88</v>
      </c>
      <c r="X29" s="1886" t="s">
        <v>848</v>
      </c>
      <c r="Y29" s="3150"/>
      <c r="Z29" s="3150"/>
      <c r="AA29" s="3150"/>
      <c r="AB29" s="3150"/>
      <c r="AC29" s="3150"/>
      <c r="AD29" s="3108"/>
      <c r="AE29" s="3508"/>
      <c r="AF29" s="2031"/>
      <c r="AG29" s="2031"/>
      <c r="AH29" s="2031"/>
      <c r="AI29" s="2031"/>
      <c r="AJ29" s="2031"/>
      <c r="AK29" s="2031"/>
      <c r="AL29" s="2031"/>
      <c r="AM29" s="482"/>
      <c r="AN29" s="3150"/>
      <c r="AO29" s="3472"/>
      <c r="AP29" s="3474"/>
      <c r="AQ29" s="3477"/>
    </row>
    <row r="30" spans="1:43" ht="79.5" customHeight="1" x14ac:dyDescent="0.2">
      <c r="A30" s="3541"/>
      <c r="B30" s="3542"/>
      <c r="C30" s="3494"/>
      <c r="D30" s="3515"/>
      <c r="E30" s="3515"/>
      <c r="F30" s="3516"/>
      <c r="G30" s="3514"/>
      <c r="H30" s="3515"/>
      <c r="I30" s="3516"/>
      <c r="J30" s="2774"/>
      <c r="K30" s="3052"/>
      <c r="L30" s="3052"/>
      <c r="M30" s="3049"/>
      <c r="N30" s="2039"/>
      <c r="O30" s="3060"/>
      <c r="P30" s="3517"/>
      <c r="Q30" s="3499"/>
      <c r="R30" s="3483"/>
      <c r="S30" s="3480"/>
      <c r="T30" s="3485"/>
      <c r="U30" s="2013" t="s">
        <v>877</v>
      </c>
      <c r="V30" s="2636">
        <v>14590000</v>
      </c>
      <c r="W30" s="1516">
        <v>20</v>
      </c>
      <c r="X30" s="1886" t="s">
        <v>846</v>
      </c>
      <c r="Y30" s="3150"/>
      <c r="Z30" s="3150"/>
      <c r="AA30" s="3150"/>
      <c r="AB30" s="3150"/>
      <c r="AC30" s="3150"/>
      <c r="AD30" s="3108"/>
      <c r="AE30" s="3508"/>
      <c r="AF30" s="2031"/>
      <c r="AG30" s="2031"/>
      <c r="AH30" s="2031"/>
      <c r="AI30" s="2031"/>
      <c r="AJ30" s="2031"/>
      <c r="AK30" s="2031"/>
      <c r="AL30" s="2031"/>
      <c r="AM30" s="482"/>
      <c r="AN30" s="3150"/>
      <c r="AO30" s="3472"/>
      <c r="AP30" s="3474"/>
      <c r="AQ30" s="3477"/>
    </row>
    <row r="31" spans="1:43" ht="62.25" customHeight="1" x14ac:dyDescent="0.2">
      <c r="A31" s="3541"/>
      <c r="B31" s="3542"/>
      <c r="C31" s="3494"/>
      <c r="D31" s="3515"/>
      <c r="E31" s="3515"/>
      <c r="F31" s="3516"/>
      <c r="G31" s="3514"/>
      <c r="H31" s="3515"/>
      <c r="I31" s="3516"/>
      <c r="J31" s="2774">
        <v>43</v>
      </c>
      <c r="K31" s="3052" t="s">
        <v>878</v>
      </c>
      <c r="L31" s="3052" t="s">
        <v>879</v>
      </c>
      <c r="M31" s="3049">
        <v>3</v>
      </c>
      <c r="N31" s="2039"/>
      <c r="O31" s="3060"/>
      <c r="P31" s="3517"/>
      <c r="Q31" s="3499">
        <f>SUM(V31:V32)/R28</f>
        <v>0.47049071618037136</v>
      </c>
      <c r="R31" s="3483"/>
      <c r="S31" s="3480"/>
      <c r="T31" s="3506" t="s">
        <v>880</v>
      </c>
      <c r="U31" s="2013" t="s">
        <v>881</v>
      </c>
      <c r="V31" s="2636">
        <v>28800000</v>
      </c>
      <c r="W31" s="1516">
        <v>20</v>
      </c>
      <c r="X31" s="1886" t="s">
        <v>846</v>
      </c>
      <c r="Y31" s="3150"/>
      <c r="Z31" s="3150"/>
      <c r="AA31" s="3150"/>
      <c r="AB31" s="3150"/>
      <c r="AC31" s="3150"/>
      <c r="AD31" s="3108"/>
      <c r="AE31" s="3508"/>
      <c r="AF31" s="2031"/>
      <c r="AG31" s="2031"/>
      <c r="AH31" s="2031"/>
      <c r="AI31" s="2031"/>
      <c r="AJ31" s="2031"/>
      <c r="AK31" s="2031"/>
      <c r="AL31" s="2031"/>
      <c r="AM31" s="482"/>
      <c r="AN31" s="3150"/>
      <c r="AO31" s="3472"/>
      <c r="AP31" s="3474"/>
      <c r="AQ31" s="3477"/>
    </row>
    <row r="32" spans="1:43" ht="92.25" customHeight="1" x14ac:dyDescent="0.2">
      <c r="A32" s="3541"/>
      <c r="B32" s="3542"/>
      <c r="C32" s="3494"/>
      <c r="D32" s="3515"/>
      <c r="E32" s="3515"/>
      <c r="F32" s="3516"/>
      <c r="G32" s="3514"/>
      <c r="H32" s="3515"/>
      <c r="I32" s="3516"/>
      <c r="J32" s="2774"/>
      <c r="K32" s="3052"/>
      <c r="L32" s="3052"/>
      <c r="M32" s="3049"/>
      <c r="N32" s="1986" t="s">
        <v>882</v>
      </c>
      <c r="O32" s="3060"/>
      <c r="P32" s="3517"/>
      <c r="Q32" s="3499"/>
      <c r="R32" s="3483"/>
      <c r="S32" s="3480"/>
      <c r="T32" s="3506"/>
      <c r="U32" s="2013" t="s">
        <v>883</v>
      </c>
      <c r="V32" s="2636">
        <v>255000000</v>
      </c>
      <c r="W32" s="1656">
        <v>88</v>
      </c>
      <c r="X32" s="1886" t="s">
        <v>848</v>
      </c>
      <c r="Y32" s="3150"/>
      <c r="Z32" s="3150"/>
      <c r="AA32" s="3150"/>
      <c r="AB32" s="3150"/>
      <c r="AC32" s="3150"/>
      <c r="AD32" s="3108"/>
      <c r="AE32" s="3508"/>
      <c r="AF32" s="2031"/>
      <c r="AG32" s="2031"/>
      <c r="AH32" s="2031"/>
      <c r="AI32" s="2031"/>
      <c r="AJ32" s="2031"/>
      <c r="AK32" s="2031"/>
      <c r="AL32" s="2031"/>
      <c r="AM32" s="482"/>
      <c r="AN32" s="3150"/>
      <c r="AO32" s="3472"/>
      <c r="AP32" s="3474"/>
      <c r="AQ32" s="3477"/>
    </row>
    <row r="33" spans="1:1376" ht="86.25" customHeight="1" x14ac:dyDescent="0.2">
      <c r="A33" s="3541"/>
      <c r="B33" s="3542"/>
      <c r="C33" s="3494"/>
      <c r="D33" s="3515"/>
      <c r="E33" s="3515"/>
      <c r="F33" s="3516"/>
      <c r="G33" s="3514"/>
      <c r="H33" s="3515"/>
      <c r="I33" s="3516"/>
      <c r="J33" s="1966">
        <v>45</v>
      </c>
      <c r="K33" s="1984" t="s">
        <v>884</v>
      </c>
      <c r="L33" s="1984" t="s">
        <v>879</v>
      </c>
      <c r="M33" s="1983">
        <v>4</v>
      </c>
      <c r="N33" s="1986" t="s">
        <v>885</v>
      </c>
      <c r="O33" s="3060"/>
      <c r="P33" s="3517"/>
      <c r="Q33" s="2023">
        <f>SUM(V33:V33)/R28</f>
        <v>0.16329575596816975</v>
      </c>
      <c r="R33" s="3483"/>
      <c r="S33" s="3480"/>
      <c r="T33" s="3507"/>
      <c r="U33" s="1517" t="s">
        <v>886</v>
      </c>
      <c r="V33" s="2636">
        <v>98500000</v>
      </c>
      <c r="W33" s="1516">
        <v>20</v>
      </c>
      <c r="X33" s="1887" t="s">
        <v>846</v>
      </c>
      <c r="Y33" s="3150"/>
      <c r="Z33" s="3150"/>
      <c r="AA33" s="3150"/>
      <c r="AB33" s="3150"/>
      <c r="AC33" s="3150"/>
      <c r="AD33" s="3108"/>
      <c r="AE33" s="3508"/>
      <c r="AF33" s="2031"/>
      <c r="AG33" s="2031"/>
      <c r="AH33" s="2031"/>
      <c r="AI33" s="2031"/>
      <c r="AJ33" s="2031"/>
      <c r="AK33" s="2031"/>
      <c r="AL33" s="2031"/>
      <c r="AM33" s="482"/>
      <c r="AN33" s="3150"/>
      <c r="AO33" s="3472"/>
      <c r="AP33" s="3474"/>
      <c r="AQ33" s="3477"/>
    </row>
    <row r="34" spans="1:1376" ht="34.5" customHeight="1" x14ac:dyDescent="0.2">
      <c r="A34" s="3541"/>
      <c r="B34" s="3542"/>
      <c r="C34" s="3494"/>
      <c r="D34" s="3515"/>
      <c r="E34" s="3515"/>
      <c r="F34" s="3516"/>
      <c r="G34" s="3514"/>
      <c r="H34" s="3515"/>
      <c r="I34" s="3516"/>
      <c r="J34" s="2795">
        <v>46</v>
      </c>
      <c r="K34" s="3479" t="s">
        <v>887</v>
      </c>
      <c r="L34" s="3479" t="s">
        <v>888</v>
      </c>
      <c r="M34" s="3059">
        <v>1</v>
      </c>
      <c r="N34" s="2039"/>
      <c r="O34" s="3060"/>
      <c r="P34" s="3517"/>
      <c r="Q34" s="3499">
        <f>SUM(V34:V35)/R28</f>
        <v>0.2486737400530504</v>
      </c>
      <c r="R34" s="3483"/>
      <c r="S34" s="3480"/>
      <c r="T34" s="3507"/>
      <c r="U34" s="2970" t="s">
        <v>889</v>
      </c>
      <c r="V34" s="2636">
        <v>99400000</v>
      </c>
      <c r="W34" s="1657">
        <v>20</v>
      </c>
      <c r="X34" s="1886" t="s">
        <v>846</v>
      </c>
      <c r="Y34" s="3150"/>
      <c r="Z34" s="3150"/>
      <c r="AA34" s="3150"/>
      <c r="AB34" s="3150"/>
      <c r="AC34" s="3150"/>
      <c r="AD34" s="3108"/>
      <c r="AE34" s="3508"/>
      <c r="AF34" s="2031"/>
      <c r="AG34" s="2031"/>
      <c r="AH34" s="2031"/>
      <c r="AI34" s="2031"/>
      <c r="AJ34" s="2031"/>
      <c r="AK34" s="2031"/>
      <c r="AL34" s="2031"/>
      <c r="AM34" s="482"/>
      <c r="AN34" s="3150"/>
      <c r="AO34" s="3472"/>
      <c r="AP34" s="3474"/>
      <c r="AQ34" s="3477"/>
    </row>
    <row r="35" spans="1:1376" ht="72" customHeight="1" x14ac:dyDescent="0.2">
      <c r="A35" s="3541"/>
      <c r="B35" s="3542"/>
      <c r="C35" s="3494"/>
      <c r="D35" s="3515"/>
      <c r="E35" s="3515"/>
      <c r="F35" s="3516"/>
      <c r="G35" s="3514"/>
      <c r="H35" s="3515"/>
      <c r="I35" s="3516"/>
      <c r="J35" s="2914"/>
      <c r="K35" s="3480"/>
      <c r="L35" s="3480"/>
      <c r="M35" s="3060"/>
      <c r="N35" s="2039"/>
      <c r="O35" s="3060"/>
      <c r="P35" s="3517"/>
      <c r="Q35" s="3499"/>
      <c r="R35" s="3483"/>
      <c r="S35" s="3480"/>
      <c r="T35" s="3507"/>
      <c r="U35" s="2971"/>
      <c r="V35" s="2636">
        <f>0+50600000</f>
        <v>50600000</v>
      </c>
      <c r="W35" s="1516">
        <v>88</v>
      </c>
      <c r="X35" s="1886" t="s">
        <v>848</v>
      </c>
      <c r="Y35" s="3150"/>
      <c r="Z35" s="3150"/>
      <c r="AA35" s="3150"/>
      <c r="AB35" s="3150"/>
      <c r="AC35" s="3150"/>
      <c r="AD35" s="3108"/>
      <c r="AE35" s="3508"/>
      <c r="AF35" s="2031"/>
      <c r="AG35" s="2031"/>
      <c r="AH35" s="2031"/>
      <c r="AI35" s="2031"/>
      <c r="AJ35" s="2031"/>
      <c r="AK35" s="2031"/>
      <c r="AL35" s="2031"/>
      <c r="AM35" s="482"/>
      <c r="AN35" s="3150"/>
      <c r="AO35" s="3472"/>
      <c r="AP35" s="3474"/>
      <c r="AQ35" s="3477"/>
    </row>
    <row r="36" spans="1:1376" ht="18.75" customHeight="1" x14ac:dyDescent="0.2">
      <c r="A36" s="3541"/>
      <c r="B36" s="3542"/>
      <c r="C36" s="3494"/>
      <c r="D36" s="3515"/>
      <c r="E36" s="3515"/>
      <c r="F36" s="3516"/>
      <c r="G36" s="409">
        <v>10</v>
      </c>
      <c r="H36" s="410" t="s">
        <v>890</v>
      </c>
      <c r="I36" s="410"/>
      <c r="J36" s="162"/>
      <c r="K36" s="157"/>
      <c r="L36" s="157"/>
      <c r="M36" s="162"/>
      <c r="N36" s="158"/>
      <c r="O36" s="172"/>
      <c r="P36" s="157"/>
      <c r="Q36" s="419"/>
      <c r="R36" s="419"/>
      <c r="S36" s="157"/>
      <c r="T36" s="157"/>
      <c r="U36" s="263"/>
      <c r="V36" s="2637"/>
      <c r="W36" s="263"/>
      <c r="X36" s="210"/>
      <c r="Y36" s="263"/>
      <c r="Z36" s="263"/>
      <c r="AA36" s="267"/>
      <c r="AB36" s="267"/>
      <c r="AC36" s="267"/>
      <c r="AD36" s="267"/>
      <c r="AE36" s="162"/>
      <c r="AF36" s="162"/>
      <c r="AG36" s="162"/>
      <c r="AH36" s="162"/>
      <c r="AI36" s="162"/>
      <c r="AJ36" s="162"/>
      <c r="AK36" s="162"/>
      <c r="AL36" s="162"/>
      <c r="AM36" s="162"/>
      <c r="AN36" s="162"/>
      <c r="AO36" s="413"/>
      <c r="AP36" s="413"/>
      <c r="AQ36" s="177"/>
    </row>
    <row r="37" spans="1:1376" ht="36" customHeight="1" x14ac:dyDescent="0.2">
      <c r="A37" s="3541"/>
      <c r="B37" s="3542"/>
      <c r="C37" s="3494"/>
      <c r="D37" s="3515"/>
      <c r="E37" s="3515"/>
      <c r="F37" s="3516"/>
      <c r="G37" s="3500"/>
      <c r="H37" s="3501"/>
      <c r="I37" s="3502"/>
      <c r="J37" s="2795">
        <v>47</v>
      </c>
      <c r="K37" s="3479" t="s">
        <v>891</v>
      </c>
      <c r="L37" s="3479" t="s">
        <v>892</v>
      </c>
      <c r="M37" s="3059">
        <v>48</v>
      </c>
      <c r="N37" s="1985"/>
      <c r="O37" s="3059" t="s">
        <v>893</v>
      </c>
      <c r="P37" s="3479" t="s">
        <v>894</v>
      </c>
      <c r="Q37" s="3481">
        <f>(V37+V38)/R37</f>
        <v>0.43158041567861627</v>
      </c>
      <c r="R37" s="3483">
        <f>SUM(V37:V40)</f>
        <v>358450000</v>
      </c>
      <c r="S37" s="3479" t="s">
        <v>895</v>
      </c>
      <c r="T37" s="3484" t="s">
        <v>896</v>
      </c>
      <c r="U37" s="3478" t="s">
        <v>897</v>
      </c>
      <c r="V37" s="2636">
        <v>54700000</v>
      </c>
      <c r="W37" s="1516">
        <v>20</v>
      </c>
      <c r="X37" s="1886" t="s">
        <v>846</v>
      </c>
      <c r="Y37" s="3150">
        <v>294321</v>
      </c>
      <c r="Z37" s="3150">
        <v>283947</v>
      </c>
      <c r="AA37" s="3150">
        <v>135754</v>
      </c>
      <c r="AB37" s="3150">
        <v>44640</v>
      </c>
      <c r="AC37" s="3150">
        <v>308178</v>
      </c>
      <c r="AD37" s="3150"/>
      <c r="AE37" s="3493"/>
      <c r="AF37" s="2030"/>
      <c r="AG37" s="2030"/>
      <c r="AH37" s="2030"/>
      <c r="AI37" s="2030"/>
      <c r="AJ37" s="2030"/>
      <c r="AK37" s="2030"/>
      <c r="AL37" s="2030"/>
      <c r="AM37" s="474"/>
      <c r="AN37" s="3150">
        <f>+Y37+Z37</f>
        <v>578268</v>
      </c>
      <c r="AO37" s="3471">
        <v>43467</v>
      </c>
      <c r="AP37" s="3473">
        <v>43830</v>
      </c>
      <c r="AQ37" s="3475" t="s">
        <v>847</v>
      </c>
    </row>
    <row r="38" spans="1:1376" ht="74.25" customHeight="1" x14ac:dyDescent="0.2">
      <c r="A38" s="3541"/>
      <c r="B38" s="3542"/>
      <c r="C38" s="3494"/>
      <c r="D38" s="3515"/>
      <c r="E38" s="3515"/>
      <c r="F38" s="3516"/>
      <c r="G38" s="3503"/>
      <c r="H38" s="3504"/>
      <c r="I38" s="3505"/>
      <c r="J38" s="2914"/>
      <c r="K38" s="3480"/>
      <c r="L38" s="3480"/>
      <c r="M38" s="3060"/>
      <c r="N38" s="1986"/>
      <c r="O38" s="3060"/>
      <c r="P38" s="3480"/>
      <c r="Q38" s="3482"/>
      <c r="R38" s="3483"/>
      <c r="S38" s="3480"/>
      <c r="T38" s="3485"/>
      <c r="U38" s="3478"/>
      <c r="V38" s="2636">
        <f>0+100000000</f>
        <v>100000000</v>
      </c>
      <c r="W38" s="1516">
        <v>88</v>
      </c>
      <c r="X38" s="1886" t="s">
        <v>848</v>
      </c>
      <c r="Y38" s="3150"/>
      <c r="Z38" s="3150"/>
      <c r="AA38" s="3150"/>
      <c r="AB38" s="3150"/>
      <c r="AC38" s="3150"/>
      <c r="AD38" s="3150"/>
      <c r="AE38" s="3494"/>
      <c r="AF38" s="2031"/>
      <c r="AG38" s="2031"/>
      <c r="AH38" s="2031"/>
      <c r="AI38" s="2031"/>
      <c r="AJ38" s="2031"/>
      <c r="AK38" s="2031"/>
      <c r="AL38" s="2031"/>
      <c r="AM38" s="482"/>
      <c r="AN38" s="3150"/>
      <c r="AO38" s="3472"/>
      <c r="AP38" s="3474"/>
      <c r="AQ38" s="3477"/>
    </row>
    <row r="39" spans="1:1376" ht="87.75" customHeight="1" x14ac:dyDescent="0.2">
      <c r="A39" s="3541"/>
      <c r="B39" s="3542"/>
      <c r="C39" s="3494"/>
      <c r="D39" s="3515"/>
      <c r="E39" s="3515"/>
      <c r="F39" s="3516"/>
      <c r="G39" s="3503"/>
      <c r="H39" s="3504"/>
      <c r="I39" s="3505"/>
      <c r="J39" s="1967">
        <v>48</v>
      </c>
      <c r="K39" s="2014" t="s">
        <v>898</v>
      </c>
      <c r="L39" s="2014" t="s">
        <v>899</v>
      </c>
      <c r="M39" s="1985">
        <v>1</v>
      </c>
      <c r="N39" s="1986" t="s">
        <v>2556</v>
      </c>
      <c r="O39" s="3060"/>
      <c r="P39" s="3480"/>
      <c r="Q39" s="2016">
        <f>(V39)/R37</f>
        <v>0.55795787418049936</v>
      </c>
      <c r="R39" s="3483"/>
      <c r="S39" s="3480"/>
      <c r="T39" s="3492" t="s">
        <v>900</v>
      </c>
      <c r="U39" s="1977" t="s">
        <v>901</v>
      </c>
      <c r="V39" s="2636">
        <f>198750000+1250000</f>
        <v>200000000</v>
      </c>
      <c r="W39" s="1518">
        <v>20</v>
      </c>
      <c r="X39" s="1888" t="s">
        <v>846</v>
      </c>
      <c r="Y39" s="3150"/>
      <c r="Z39" s="3150"/>
      <c r="AA39" s="3150"/>
      <c r="AB39" s="3150"/>
      <c r="AC39" s="3150"/>
      <c r="AD39" s="3150"/>
      <c r="AE39" s="3494"/>
      <c r="AF39" s="2031"/>
      <c r="AG39" s="2031"/>
      <c r="AH39" s="2031"/>
      <c r="AI39" s="2031"/>
      <c r="AJ39" s="2031"/>
      <c r="AK39" s="2031"/>
      <c r="AL39" s="2031"/>
      <c r="AM39" s="482"/>
      <c r="AN39" s="3150"/>
      <c r="AO39" s="3472"/>
      <c r="AP39" s="3474"/>
      <c r="AQ39" s="3477"/>
    </row>
    <row r="40" spans="1:1376" ht="134.25" customHeight="1" x14ac:dyDescent="0.2">
      <c r="A40" s="3541"/>
      <c r="B40" s="3542"/>
      <c r="C40" s="3494"/>
      <c r="D40" s="3515"/>
      <c r="E40" s="3515"/>
      <c r="F40" s="3516"/>
      <c r="G40" s="3503"/>
      <c r="H40" s="3504"/>
      <c r="I40" s="3505"/>
      <c r="J40" s="1967">
        <v>49</v>
      </c>
      <c r="K40" s="2014" t="s">
        <v>902</v>
      </c>
      <c r="L40" s="2014" t="s">
        <v>903</v>
      </c>
      <c r="M40" s="1985">
        <v>1</v>
      </c>
      <c r="N40" s="1986"/>
      <c r="O40" s="3060"/>
      <c r="P40" s="3480"/>
      <c r="Q40" s="2016">
        <f>(V40)/R37</f>
        <v>1.0461710140884364E-2</v>
      </c>
      <c r="R40" s="3483"/>
      <c r="S40" s="3480"/>
      <c r="T40" s="3477"/>
      <c r="U40" s="1976" t="s">
        <v>904</v>
      </c>
      <c r="V40" s="2636">
        <f>5000000-1250000</f>
        <v>3750000</v>
      </c>
      <c r="W40" s="1513">
        <v>20</v>
      </c>
      <c r="X40" s="2040" t="s">
        <v>846</v>
      </c>
      <c r="Y40" s="3150"/>
      <c r="Z40" s="3150"/>
      <c r="AA40" s="3150"/>
      <c r="AB40" s="3150"/>
      <c r="AC40" s="3150"/>
      <c r="AD40" s="3150"/>
      <c r="AE40" s="3494"/>
      <c r="AF40" s="2031"/>
      <c r="AG40" s="2031"/>
      <c r="AH40" s="2031"/>
      <c r="AI40" s="2031"/>
      <c r="AJ40" s="2031"/>
      <c r="AK40" s="2031"/>
      <c r="AL40" s="2031"/>
      <c r="AM40" s="482"/>
      <c r="AN40" s="3150"/>
      <c r="AO40" s="3472"/>
      <c r="AP40" s="3474"/>
      <c r="AQ40" s="3477"/>
    </row>
    <row r="41" spans="1:1376" s="1115" customFormat="1" ht="21" customHeight="1" x14ac:dyDescent="0.2">
      <c r="A41" s="3541"/>
      <c r="B41" s="3542"/>
      <c r="C41" s="3494"/>
      <c r="D41" s="1668">
        <v>3</v>
      </c>
      <c r="E41" s="1669" t="s">
        <v>905</v>
      </c>
      <c r="F41" s="1669"/>
      <c r="G41" s="1669"/>
      <c r="H41" s="1669"/>
      <c r="I41" s="1669"/>
      <c r="J41" s="1669"/>
      <c r="K41" s="1670"/>
      <c r="L41" s="1670"/>
      <c r="M41" s="1669"/>
      <c r="N41" s="1671"/>
      <c r="O41" s="1672"/>
      <c r="P41" s="1670"/>
      <c r="Q41" s="1673"/>
      <c r="R41" s="1673"/>
      <c r="S41" s="1670"/>
      <c r="T41" s="1670"/>
      <c r="U41" s="1697"/>
      <c r="V41" s="2638"/>
      <c r="W41" s="1697"/>
      <c r="X41" s="2411"/>
      <c r="Y41" s="414"/>
      <c r="Z41" s="414"/>
      <c r="AA41" s="406"/>
      <c r="AB41" s="406"/>
      <c r="AC41" s="406"/>
      <c r="AD41" s="406"/>
      <c r="AE41" s="1890"/>
      <c r="AF41" s="1669"/>
      <c r="AG41" s="1669"/>
      <c r="AH41" s="1669"/>
      <c r="AI41" s="1669"/>
      <c r="AJ41" s="1669"/>
      <c r="AK41" s="1669"/>
      <c r="AL41" s="1669"/>
      <c r="AM41" s="1895"/>
      <c r="AN41" s="1895"/>
      <c r="AO41" s="1899"/>
      <c r="AP41" s="1674"/>
      <c r="AQ41" s="2412"/>
      <c r="AR41" s="1713"/>
      <c r="AS41" s="1713"/>
      <c r="AT41" s="1713"/>
      <c r="AU41" s="1713"/>
      <c r="AV41" s="1713"/>
      <c r="AW41" s="1713"/>
      <c r="AX41" s="1713"/>
      <c r="AY41" s="1713"/>
      <c r="AZ41" s="1713"/>
      <c r="BA41" s="1713"/>
      <c r="BB41" s="1713"/>
      <c r="BC41" s="1713"/>
      <c r="BD41" s="1713"/>
      <c r="BE41" s="1713"/>
      <c r="BF41" s="1713"/>
      <c r="BG41" s="1713"/>
      <c r="BH41" s="1713"/>
      <c r="BI41" s="1713"/>
      <c r="BJ41" s="1713"/>
      <c r="BK41" s="1713"/>
      <c r="BL41" s="1713"/>
      <c r="BM41" s="1713"/>
      <c r="BN41" s="1713"/>
      <c r="BO41" s="1713"/>
      <c r="BP41" s="1713"/>
      <c r="BQ41" s="1713"/>
      <c r="BR41" s="1713"/>
      <c r="BS41" s="1713"/>
      <c r="BT41" s="1713"/>
      <c r="BU41" s="1713"/>
      <c r="BV41" s="1713"/>
      <c r="BW41" s="1713"/>
      <c r="BX41" s="1713"/>
      <c r="BY41" s="1713"/>
      <c r="BZ41" s="1713"/>
      <c r="CA41" s="1713"/>
      <c r="CB41" s="1713"/>
      <c r="CC41" s="1713"/>
      <c r="CD41" s="1713"/>
      <c r="CE41" s="1713"/>
      <c r="CF41" s="1713"/>
      <c r="CG41" s="1713"/>
      <c r="CH41" s="1713"/>
      <c r="CI41" s="1713"/>
      <c r="CJ41" s="1713"/>
      <c r="CK41" s="1713"/>
      <c r="CL41" s="1713"/>
      <c r="CM41" s="1713"/>
      <c r="CN41" s="1713"/>
      <c r="CO41" s="1713"/>
      <c r="CP41" s="1713"/>
      <c r="CQ41" s="1713"/>
      <c r="CR41" s="1713"/>
      <c r="CS41" s="1713"/>
      <c r="CT41" s="1713"/>
      <c r="CU41" s="1713"/>
      <c r="CV41" s="1713"/>
      <c r="CW41" s="1713"/>
      <c r="CX41" s="1713"/>
      <c r="CY41" s="1713"/>
      <c r="CZ41" s="1713"/>
      <c r="DA41" s="1713"/>
      <c r="DB41" s="1713"/>
      <c r="DC41" s="1713"/>
      <c r="DD41" s="1713"/>
      <c r="DE41" s="1713"/>
      <c r="DF41" s="1713"/>
      <c r="DG41" s="1713"/>
      <c r="DH41" s="1713"/>
      <c r="DI41" s="1713"/>
      <c r="DJ41" s="1713"/>
      <c r="DK41" s="1713"/>
      <c r="DL41" s="1713"/>
      <c r="DM41" s="1713"/>
      <c r="DN41" s="1713"/>
      <c r="DO41" s="1713"/>
      <c r="DP41" s="1713"/>
      <c r="DQ41" s="1713"/>
      <c r="DR41" s="1713"/>
      <c r="DS41" s="1713"/>
      <c r="DT41" s="1713"/>
      <c r="DU41" s="1713"/>
      <c r="DV41" s="1713"/>
      <c r="DW41" s="1713"/>
      <c r="DX41" s="1713"/>
      <c r="DY41" s="1713"/>
      <c r="DZ41" s="1713"/>
      <c r="EA41" s="1713"/>
      <c r="EB41" s="1713"/>
      <c r="EC41" s="1713"/>
      <c r="ED41" s="1713"/>
      <c r="EE41" s="1713"/>
      <c r="EF41" s="1713"/>
      <c r="EG41" s="1713"/>
      <c r="EH41" s="1713"/>
      <c r="EI41" s="1713"/>
      <c r="EJ41" s="1713"/>
      <c r="EK41" s="1713"/>
      <c r="EL41" s="1713"/>
      <c r="EM41" s="1713"/>
      <c r="EN41" s="1713"/>
      <c r="EO41" s="1713"/>
      <c r="EP41" s="1713"/>
      <c r="EQ41" s="1713"/>
      <c r="ER41" s="1713"/>
      <c r="ES41" s="1713"/>
      <c r="ET41" s="1713"/>
      <c r="EU41" s="1713"/>
      <c r="EV41" s="1713"/>
      <c r="EW41" s="1713"/>
      <c r="EX41" s="1713"/>
      <c r="EY41" s="1713"/>
      <c r="EZ41" s="1713"/>
      <c r="FA41" s="1713"/>
      <c r="FB41" s="1713"/>
      <c r="FC41" s="1713"/>
      <c r="FD41" s="1713"/>
      <c r="FE41" s="1713"/>
      <c r="FF41" s="1713"/>
      <c r="FG41" s="1713"/>
      <c r="FH41" s="1713"/>
      <c r="FI41" s="1713"/>
      <c r="FJ41" s="1713"/>
      <c r="FK41" s="1713"/>
      <c r="FL41" s="1713"/>
      <c r="FM41" s="1713"/>
      <c r="FN41" s="1713"/>
      <c r="FO41" s="1713"/>
      <c r="FP41" s="1713"/>
      <c r="FQ41" s="1713"/>
      <c r="FR41" s="1713"/>
      <c r="FS41" s="1713"/>
      <c r="FT41" s="1713"/>
      <c r="FU41" s="1713"/>
      <c r="FV41" s="1713"/>
      <c r="FW41" s="1713"/>
      <c r="FX41" s="1713"/>
      <c r="FY41" s="1713"/>
      <c r="FZ41" s="1713"/>
      <c r="GA41" s="1713"/>
      <c r="GB41" s="1713"/>
      <c r="GC41" s="1713"/>
      <c r="GD41" s="1713"/>
      <c r="GE41" s="1713"/>
      <c r="GF41" s="1713"/>
      <c r="GG41" s="1713"/>
      <c r="GH41" s="1713"/>
      <c r="GI41" s="1713"/>
      <c r="GJ41" s="1713"/>
      <c r="GK41" s="1713"/>
      <c r="GL41" s="1713"/>
      <c r="GM41" s="1713"/>
      <c r="GN41" s="1713"/>
      <c r="GO41" s="1713"/>
      <c r="GP41" s="1713"/>
      <c r="GQ41" s="1713"/>
      <c r="GR41" s="1713"/>
      <c r="GS41" s="1713"/>
      <c r="GT41" s="1713"/>
      <c r="GU41" s="1713"/>
      <c r="GV41" s="1713"/>
      <c r="GW41" s="1713"/>
      <c r="GX41" s="1713"/>
      <c r="GY41" s="1713"/>
      <c r="GZ41" s="1713"/>
      <c r="HA41" s="1713"/>
      <c r="HB41" s="1713"/>
      <c r="HC41" s="1713"/>
      <c r="HD41" s="1713"/>
      <c r="HE41" s="1713"/>
      <c r="HF41" s="1713"/>
      <c r="HG41" s="1713"/>
      <c r="HH41" s="1713"/>
      <c r="HI41" s="1713"/>
      <c r="HJ41" s="1713"/>
      <c r="HK41" s="1713"/>
      <c r="HL41" s="1713"/>
      <c r="HM41" s="1713"/>
      <c r="HN41" s="1713"/>
      <c r="HO41" s="1713"/>
      <c r="HP41" s="1713"/>
      <c r="HQ41" s="1713"/>
      <c r="HR41" s="1713"/>
      <c r="HS41" s="1713"/>
      <c r="HT41" s="1713"/>
      <c r="HU41" s="1713"/>
      <c r="HV41" s="1713"/>
      <c r="HW41" s="1713"/>
      <c r="HX41" s="1713"/>
      <c r="HY41" s="1713"/>
      <c r="HZ41" s="1713"/>
      <c r="IA41" s="1713"/>
      <c r="IB41" s="1713"/>
      <c r="IC41" s="1713"/>
      <c r="ID41" s="1713"/>
      <c r="IE41" s="1713"/>
      <c r="IF41" s="1713"/>
      <c r="IG41" s="1713"/>
      <c r="IH41" s="1713"/>
      <c r="II41" s="1713"/>
      <c r="IJ41" s="1713"/>
      <c r="IK41" s="1713"/>
      <c r="IL41" s="1713"/>
      <c r="IM41" s="1713"/>
      <c r="IN41" s="1713"/>
      <c r="IO41" s="1713"/>
      <c r="IP41" s="1713"/>
      <c r="IQ41" s="1713"/>
      <c r="IR41" s="1713"/>
      <c r="IS41" s="1713"/>
      <c r="IT41" s="1713"/>
      <c r="IU41" s="1713"/>
      <c r="IV41" s="1713"/>
      <c r="IW41" s="1713"/>
      <c r="IX41" s="1713"/>
      <c r="IY41" s="1713"/>
      <c r="IZ41" s="1713"/>
      <c r="JA41" s="1713"/>
      <c r="JB41" s="1713"/>
      <c r="JC41" s="1713"/>
      <c r="JD41" s="1713"/>
      <c r="JE41" s="1713"/>
      <c r="JF41" s="1713"/>
      <c r="JG41" s="1713"/>
      <c r="JH41" s="1713"/>
      <c r="JI41" s="1713"/>
      <c r="JJ41" s="1713"/>
      <c r="JK41" s="1713"/>
      <c r="JL41" s="1713"/>
      <c r="JM41" s="1713"/>
      <c r="JN41" s="1713"/>
      <c r="JO41" s="1713"/>
      <c r="JP41" s="1713"/>
      <c r="JQ41" s="1713"/>
      <c r="JR41" s="1713"/>
      <c r="JS41" s="1713"/>
      <c r="JT41" s="1713"/>
      <c r="JU41" s="1713"/>
      <c r="JV41" s="1713"/>
      <c r="JW41" s="1713"/>
      <c r="JX41" s="1713"/>
      <c r="JY41" s="1713"/>
      <c r="JZ41" s="1713"/>
      <c r="KA41" s="1713"/>
      <c r="KB41" s="1713"/>
      <c r="KC41" s="1713"/>
      <c r="KD41" s="1713"/>
      <c r="KE41" s="1713"/>
      <c r="KF41" s="1713"/>
      <c r="KG41" s="1713"/>
      <c r="KH41" s="1713"/>
      <c r="KI41" s="1713"/>
      <c r="KJ41" s="1713"/>
      <c r="KK41" s="1713"/>
      <c r="KL41" s="1713"/>
      <c r="KM41" s="1713"/>
      <c r="KN41" s="1713"/>
      <c r="KO41" s="1713"/>
      <c r="KP41" s="1713"/>
      <c r="KQ41" s="1713"/>
      <c r="KR41" s="1713"/>
      <c r="KS41" s="1713"/>
      <c r="KT41" s="1713"/>
      <c r="KU41" s="1713"/>
      <c r="KV41" s="1713"/>
      <c r="KW41" s="1713"/>
      <c r="KX41" s="1713"/>
      <c r="KY41" s="1713"/>
      <c r="KZ41" s="1713"/>
      <c r="LA41" s="1713"/>
      <c r="LB41" s="1713"/>
      <c r="LC41" s="1713"/>
      <c r="LD41" s="1713"/>
      <c r="LE41" s="1713"/>
      <c r="LF41" s="1713"/>
      <c r="LG41" s="1713"/>
      <c r="LH41" s="1713"/>
      <c r="LI41" s="1713"/>
      <c r="LJ41" s="1713"/>
      <c r="LK41" s="1713"/>
      <c r="LL41" s="1713"/>
      <c r="LM41" s="1713"/>
      <c r="LN41" s="1713"/>
      <c r="LO41" s="1713"/>
      <c r="LP41" s="1713"/>
      <c r="LQ41" s="1713"/>
      <c r="LR41" s="1713"/>
      <c r="LS41" s="1713"/>
      <c r="LT41" s="1713"/>
      <c r="LU41" s="1713"/>
      <c r="LV41" s="1713"/>
      <c r="LW41" s="1713"/>
      <c r="LX41" s="1713"/>
      <c r="LY41" s="1713"/>
      <c r="LZ41" s="1713"/>
      <c r="MA41" s="1713"/>
      <c r="MB41" s="1713"/>
      <c r="MC41" s="1713"/>
      <c r="MD41" s="1713"/>
      <c r="ME41" s="1713"/>
      <c r="MF41" s="1713"/>
      <c r="MG41" s="1713"/>
      <c r="MH41" s="1713"/>
      <c r="MI41" s="1713"/>
      <c r="MJ41" s="1713"/>
      <c r="MK41" s="1713"/>
      <c r="ML41" s="1713"/>
      <c r="MM41" s="1713"/>
      <c r="MN41" s="1713"/>
      <c r="MO41" s="1713"/>
      <c r="MP41" s="1713"/>
      <c r="MQ41" s="1713"/>
      <c r="MR41" s="1713"/>
      <c r="MS41" s="1713"/>
      <c r="MT41" s="1713"/>
      <c r="MU41" s="1713"/>
      <c r="MV41" s="1713"/>
      <c r="MW41" s="1713"/>
      <c r="MX41" s="1713"/>
      <c r="MY41" s="1713"/>
      <c r="MZ41" s="1713"/>
      <c r="NA41" s="1713"/>
      <c r="NB41" s="1713"/>
      <c r="NC41" s="1713"/>
      <c r="ND41" s="1713"/>
      <c r="NE41" s="1713"/>
      <c r="NF41" s="1713"/>
      <c r="NG41" s="1713"/>
      <c r="NH41" s="1713"/>
      <c r="NI41" s="1713"/>
      <c r="NJ41" s="1713"/>
      <c r="NK41" s="1713"/>
      <c r="NL41" s="1713"/>
      <c r="NM41" s="1713"/>
      <c r="NN41" s="1713"/>
      <c r="NO41" s="1713"/>
      <c r="NP41" s="1713"/>
      <c r="NQ41" s="1713"/>
      <c r="NR41" s="1713"/>
      <c r="NS41" s="1713"/>
      <c r="NT41" s="1713"/>
      <c r="NU41" s="1713"/>
      <c r="NV41" s="1713"/>
      <c r="NW41" s="1713"/>
      <c r="NX41" s="1713"/>
      <c r="NY41" s="1713"/>
      <c r="NZ41" s="1713"/>
      <c r="OA41" s="1713"/>
      <c r="OB41" s="1713"/>
      <c r="OC41" s="1713"/>
      <c r="OD41" s="1713"/>
      <c r="OE41" s="1713"/>
      <c r="OF41" s="1713"/>
      <c r="OG41" s="1713"/>
      <c r="OH41" s="1713"/>
      <c r="OI41" s="1713"/>
      <c r="OJ41" s="1713"/>
      <c r="OK41" s="1713"/>
      <c r="OL41" s="1713"/>
      <c r="OM41" s="1713"/>
      <c r="ON41" s="1713"/>
      <c r="OO41" s="1713"/>
      <c r="OP41" s="1713"/>
      <c r="OQ41" s="1713"/>
      <c r="OR41" s="1713"/>
      <c r="OS41" s="1713"/>
      <c r="OT41" s="1713"/>
      <c r="OU41" s="1713"/>
      <c r="OV41" s="1713"/>
      <c r="OW41" s="1713"/>
      <c r="OX41" s="1713"/>
      <c r="OY41" s="1713"/>
      <c r="OZ41" s="1713"/>
      <c r="PA41" s="1713"/>
      <c r="PB41" s="1713"/>
      <c r="PC41" s="1713"/>
      <c r="PD41" s="1713"/>
      <c r="PE41" s="1713"/>
      <c r="PF41" s="1713"/>
      <c r="PG41" s="1713"/>
      <c r="PH41" s="1713"/>
      <c r="PI41" s="1713"/>
      <c r="PJ41" s="1713"/>
      <c r="PK41" s="1713"/>
      <c r="PL41" s="1713"/>
      <c r="PM41" s="1713"/>
      <c r="PN41" s="1713"/>
      <c r="PO41" s="1713"/>
      <c r="PP41" s="1713"/>
      <c r="PQ41" s="1713"/>
      <c r="PR41" s="1713"/>
      <c r="PS41" s="1713"/>
      <c r="PT41" s="1713"/>
      <c r="PU41" s="1713"/>
      <c r="PV41" s="1713"/>
      <c r="PW41" s="1713"/>
      <c r="PX41" s="1713"/>
      <c r="PY41" s="1713"/>
      <c r="PZ41" s="1713"/>
      <c r="QA41" s="1713"/>
      <c r="QB41" s="1713"/>
      <c r="QC41" s="1713"/>
      <c r="QD41" s="1713"/>
      <c r="QE41" s="1713"/>
      <c r="QF41" s="1713"/>
      <c r="QG41" s="1713"/>
      <c r="QH41" s="1713"/>
      <c r="QI41" s="1713"/>
      <c r="QJ41" s="1713"/>
      <c r="QK41" s="1713"/>
      <c r="QL41" s="1713"/>
      <c r="QM41" s="1713"/>
      <c r="QN41" s="1713"/>
      <c r="QO41" s="1713"/>
      <c r="QP41" s="1713"/>
      <c r="QQ41" s="1713"/>
      <c r="QR41" s="1713"/>
      <c r="QS41" s="1713"/>
      <c r="QT41" s="1713"/>
      <c r="QU41" s="1713"/>
      <c r="QV41" s="1713"/>
      <c r="QW41" s="1713"/>
      <c r="QX41" s="1713"/>
      <c r="QY41" s="1713"/>
      <c r="QZ41" s="1713"/>
      <c r="RA41" s="1713"/>
      <c r="RB41" s="1713"/>
      <c r="RC41" s="1713"/>
      <c r="RD41" s="1713"/>
      <c r="RE41" s="1713"/>
      <c r="RF41" s="1713"/>
      <c r="RG41" s="1713"/>
      <c r="RH41" s="1713"/>
      <c r="RI41" s="1713"/>
      <c r="RJ41" s="1713"/>
      <c r="RK41" s="1713"/>
      <c r="RL41" s="1713"/>
      <c r="RM41" s="1713"/>
      <c r="RN41" s="1713"/>
      <c r="RO41" s="1713"/>
      <c r="RP41" s="1713"/>
      <c r="RQ41" s="1713"/>
      <c r="RR41" s="1713"/>
      <c r="RS41" s="1713"/>
      <c r="RT41" s="1713"/>
      <c r="RU41" s="1713"/>
      <c r="RV41" s="1713"/>
      <c r="RW41" s="1713"/>
      <c r="RX41" s="1713"/>
      <c r="RY41" s="1713"/>
      <c r="RZ41" s="1713"/>
      <c r="SA41" s="1713"/>
      <c r="SB41" s="1713"/>
      <c r="SC41" s="1713"/>
      <c r="SD41" s="1713"/>
      <c r="SE41" s="1713"/>
      <c r="SF41" s="1713"/>
      <c r="SG41" s="1713"/>
      <c r="SH41" s="1713"/>
      <c r="SI41" s="1713"/>
      <c r="SJ41" s="1713"/>
      <c r="SK41" s="1713"/>
      <c r="SL41" s="1713"/>
      <c r="SM41" s="1713"/>
      <c r="SN41" s="1713"/>
      <c r="SO41" s="1713"/>
      <c r="SP41" s="1713"/>
      <c r="SQ41" s="1713"/>
      <c r="SR41" s="1713"/>
      <c r="SS41" s="1713"/>
      <c r="ST41" s="1713"/>
      <c r="SU41" s="1713"/>
      <c r="SV41" s="1713"/>
      <c r="SW41" s="1713"/>
      <c r="SX41" s="1713"/>
      <c r="SY41" s="1713"/>
      <c r="SZ41" s="1713"/>
      <c r="TA41" s="1713"/>
      <c r="TB41" s="1713"/>
      <c r="TC41" s="1713"/>
      <c r="TD41" s="1713"/>
      <c r="TE41" s="1713"/>
      <c r="TF41" s="1713"/>
      <c r="TG41" s="1713"/>
      <c r="TH41" s="1713"/>
      <c r="TI41" s="1713"/>
      <c r="TJ41" s="1713"/>
      <c r="TK41" s="1713"/>
      <c r="TL41" s="1713"/>
      <c r="TM41" s="1713"/>
      <c r="TN41" s="1713"/>
      <c r="TO41" s="1713"/>
      <c r="TP41" s="1713"/>
      <c r="TQ41" s="1713"/>
      <c r="TR41" s="1713"/>
      <c r="TS41" s="1713"/>
      <c r="TT41" s="1713"/>
      <c r="TU41" s="1713"/>
      <c r="TV41" s="1713"/>
      <c r="TW41" s="1713"/>
      <c r="TX41" s="1713"/>
      <c r="TY41" s="1713"/>
      <c r="TZ41" s="1713"/>
      <c r="UA41" s="1713"/>
      <c r="UB41" s="1713"/>
      <c r="UC41" s="1713"/>
      <c r="UD41" s="1713"/>
      <c r="UE41" s="1713"/>
      <c r="UF41" s="1713"/>
      <c r="UG41" s="1713"/>
      <c r="UH41" s="1713"/>
      <c r="UI41" s="1713"/>
      <c r="UJ41" s="1713"/>
      <c r="UK41" s="1713"/>
      <c r="UL41" s="1713"/>
      <c r="UM41" s="1713"/>
      <c r="UN41" s="1713"/>
      <c r="UO41" s="1713"/>
      <c r="UP41" s="1713"/>
      <c r="UQ41" s="1713"/>
      <c r="UR41" s="1713"/>
      <c r="US41" s="1713"/>
      <c r="UT41" s="1713"/>
      <c r="UU41" s="1713"/>
      <c r="UV41" s="1713"/>
      <c r="UW41" s="1713"/>
      <c r="UX41" s="1713"/>
      <c r="UY41" s="1713"/>
      <c r="UZ41" s="1713"/>
      <c r="VA41" s="1713"/>
      <c r="VB41" s="1713"/>
      <c r="VC41" s="1713"/>
      <c r="VD41" s="1713"/>
      <c r="VE41" s="1713"/>
      <c r="VF41" s="1713"/>
      <c r="VG41" s="1713"/>
      <c r="VH41" s="1713"/>
      <c r="VI41" s="1713"/>
      <c r="VJ41" s="1713"/>
      <c r="VK41" s="1713"/>
      <c r="VL41" s="1713"/>
      <c r="VM41" s="1713"/>
      <c r="VN41" s="1713"/>
      <c r="VO41" s="1713"/>
      <c r="VP41" s="1713"/>
      <c r="VQ41" s="1713"/>
      <c r="VR41" s="1713"/>
      <c r="VS41" s="1713"/>
      <c r="VT41" s="1713"/>
      <c r="VU41" s="1713"/>
      <c r="VV41" s="1713"/>
      <c r="VW41" s="1713"/>
      <c r="VX41" s="1713"/>
      <c r="VY41" s="1713"/>
      <c r="VZ41" s="1713"/>
      <c r="WA41" s="1713"/>
      <c r="WB41" s="1713"/>
      <c r="WC41" s="1713"/>
      <c r="WD41" s="1713"/>
      <c r="WE41" s="1713"/>
      <c r="WF41" s="1713"/>
      <c r="WG41" s="1713"/>
      <c r="WH41" s="1713"/>
      <c r="WI41" s="1713"/>
      <c r="WJ41" s="1713"/>
      <c r="WK41" s="1713"/>
      <c r="WL41" s="1713"/>
      <c r="WM41" s="1713"/>
      <c r="WN41" s="1713"/>
      <c r="WO41" s="1713"/>
      <c r="WP41" s="1713"/>
      <c r="WQ41" s="1713"/>
      <c r="WR41" s="1713"/>
      <c r="WS41" s="1713"/>
      <c r="WT41" s="1713"/>
      <c r="WU41" s="1713"/>
      <c r="WV41" s="1713"/>
      <c r="WW41" s="1713"/>
      <c r="WX41" s="1713"/>
      <c r="WY41" s="1713"/>
      <c r="WZ41" s="1713"/>
      <c r="XA41" s="1713"/>
      <c r="XB41" s="1713"/>
      <c r="XC41" s="1713"/>
      <c r="XD41" s="1713"/>
      <c r="XE41" s="1713"/>
      <c r="XF41" s="1713"/>
      <c r="XG41" s="1713"/>
      <c r="XH41" s="1713"/>
      <c r="XI41" s="1713"/>
      <c r="XJ41" s="1713"/>
      <c r="XK41" s="1713"/>
      <c r="XL41" s="1713"/>
      <c r="XM41" s="1713"/>
      <c r="XN41" s="1713"/>
      <c r="XO41" s="1713"/>
      <c r="XP41" s="1713"/>
      <c r="XQ41" s="1713"/>
      <c r="XR41" s="1713"/>
      <c r="XS41" s="1713"/>
      <c r="XT41" s="1713"/>
      <c r="XU41" s="1713"/>
      <c r="XV41" s="1713"/>
      <c r="XW41" s="1713"/>
      <c r="XX41" s="1713"/>
      <c r="XY41" s="1713"/>
      <c r="XZ41" s="1713"/>
      <c r="YA41" s="1713"/>
      <c r="YB41" s="1713"/>
      <c r="YC41" s="1713"/>
      <c r="YD41" s="1713"/>
      <c r="YE41" s="1713"/>
      <c r="YF41" s="1713"/>
      <c r="YG41" s="1713"/>
      <c r="YH41" s="1713"/>
      <c r="YI41" s="1713"/>
      <c r="YJ41" s="1713"/>
      <c r="YK41" s="1713"/>
      <c r="YL41" s="1713"/>
      <c r="YM41" s="1713"/>
      <c r="YN41" s="1713"/>
      <c r="YO41" s="1713"/>
      <c r="YP41" s="1713"/>
      <c r="YQ41" s="1713"/>
      <c r="YR41" s="1713"/>
      <c r="YS41" s="1713"/>
      <c r="YT41" s="1713"/>
      <c r="YU41" s="1713"/>
      <c r="YV41" s="1713"/>
      <c r="YW41" s="1713"/>
      <c r="YX41" s="1713"/>
      <c r="YY41" s="1713"/>
      <c r="YZ41" s="1713"/>
      <c r="ZA41" s="1713"/>
      <c r="ZB41" s="1713"/>
      <c r="ZC41" s="1713"/>
      <c r="ZD41" s="1713"/>
      <c r="ZE41" s="1713"/>
      <c r="ZF41" s="1713"/>
      <c r="ZG41" s="1713"/>
      <c r="ZH41" s="1713"/>
      <c r="ZI41" s="1713"/>
      <c r="ZJ41" s="1713"/>
      <c r="ZK41" s="1713"/>
      <c r="ZL41" s="1713"/>
      <c r="ZM41" s="1713"/>
      <c r="ZN41" s="1713"/>
      <c r="ZO41" s="1713"/>
      <c r="ZP41" s="1713"/>
      <c r="ZQ41" s="1713"/>
      <c r="ZR41" s="1713"/>
      <c r="ZS41" s="1713"/>
      <c r="ZT41" s="1713"/>
      <c r="ZU41" s="1713"/>
      <c r="ZV41" s="1713"/>
      <c r="ZW41" s="1713"/>
      <c r="ZX41" s="1713"/>
      <c r="ZY41" s="1713"/>
      <c r="ZZ41" s="1713"/>
      <c r="AAA41" s="1713"/>
      <c r="AAB41" s="1713"/>
      <c r="AAC41" s="1713"/>
      <c r="AAD41" s="1713"/>
      <c r="AAE41" s="1713"/>
      <c r="AAF41" s="1713"/>
      <c r="AAG41" s="1713"/>
      <c r="AAH41" s="1713"/>
      <c r="AAI41" s="1713"/>
      <c r="AAJ41" s="1713"/>
      <c r="AAK41" s="1713"/>
      <c r="AAL41" s="1713"/>
      <c r="AAM41" s="1713"/>
      <c r="AAN41" s="1713"/>
      <c r="AAO41" s="1713"/>
      <c r="AAP41" s="1713"/>
      <c r="AAQ41" s="1713"/>
      <c r="AAR41" s="1713"/>
      <c r="AAS41" s="1713"/>
      <c r="AAT41" s="1713"/>
      <c r="AAU41" s="1713"/>
      <c r="AAV41" s="1713"/>
      <c r="AAW41" s="1713"/>
      <c r="AAX41" s="1713"/>
      <c r="AAY41" s="1713"/>
      <c r="AAZ41" s="1713"/>
      <c r="ABA41" s="1713"/>
      <c r="ABB41" s="1713"/>
      <c r="ABC41" s="1713"/>
      <c r="ABD41" s="1713"/>
      <c r="ABE41" s="1713"/>
      <c r="ABF41" s="1713"/>
      <c r="ABG41" s="1713"/>
      <c r="ABH41" s="1713"/>
      <c r="ABI41" s="1713"/>
      <c r="ABJ41" s="1713"/>
      <c r="ABK41" s="1713"/>
      <c r="ABL41" s="1713"/>
      <c r="ABM41" s="1713"/>
      <c r="ABN41" s="1713"/>
      <c r="ABO41" s="1713"/>
      <c r="ABP41" s="1713"/>
      <c r="ABQ41" s="1713"/>
      <c r="ABR41" s="1713"/>
      <c r="ABS41" s="1713"/>
      <c r="ABT41" s="1713"/>
      <c r="ABU41" s="1713"/>
      <c r="ABV41" s="1713"/>
      <c r="ABW41" s="1713"/>
      <c r="ABX41" s="1713"/>
      <c r="ABY41" s="1713"/>
      <c r="ABZ41" s="1713"/>
      <c r="ACA41" s="1713"/>
      <c r="ACB41" s="1713"/>
      <c r="ACC41" s="1713"/>
      <c r="ACD41" s="1713"/>
      <c r="ACE41" s="1713"/>
      <c r="ACF41" s="1713"/>
      <c r="ACG41" s="1713"/>
      <c r="ACH41" s="1713"/>
      <c r="ACI41" s="1713"/>
      <c r="ACJ41" s="1713"/>
      <c r="ACK41" s="1713"/>
      <c r="ACL41" s="1713"/>
      <c r="ACM41" s="1713"/>
      <c r="ACN41" s="1713"/>
      <c r="ACO41" s="1713"/>
      <c r="ACP41" s="1713"/>
      <c r="ACQ41" s="1713"/>
      <c r="ACR41" s="1713"/>
      <c r="ACS41" s="1713"/>
      <c r="ACT41" s="1713"/>
      <c r="ACU41" s="1713"/>
      <c r="ACV41" s="1713"/>
      <c r="ACW41" s="1713"/>
      <c r="ACX41" s="1713"/>
      <c r="ACY41" s="1713"/>
      <c r="ACZ41" s="1713"/>
      <c r="ADA41" s="1713"/>
      <c r="ADB41" s="1713"/>
      <c r="ADC41" s="1713"/>
      <c r="ADD41" s="1713"/>
      <c r="ADE41" s="1713"/>
      <c r="ADF41" s="1713"/>
      <c r="ADG41" s="1713"/>
      <c r="ADH41" s="1713"/>
      <c r="ADI41" s="1713"/>
      <c r="ADJ41" s="1713"/>
      <c r="ADK41" s="1713"/>
      <c r="ADL41" s="1713"/>
      <c r="ADM41" s="1713"/>
      <c r="ADN41" s="1713"/>
      <c r="ADO41" s="1713"/>
      <c r="ADP41" s="1713"/>
      <c r="ADQ41" s="1713"/>
      <c r="ADR41" s="1713"/>
      <c r="ADS41" s="1713"/>
      <c r="ADT41" s="1713"/>
      <c r="ADU41" s="1713"/>
      <c r="ADV41" s="1713"/>
      <c r="ADW41" s="1713"/>
      <c r="ADX41" s="1713"/>
      <c r="ADY41" s="1713"/>
      <c r="ADZ41" s="1713"/>
      <c r="AEA41" s="1713"/>
      <c r="AEB41" s="1713"/>
      <c r="AEC41" s="1713"/>
      <c r="AED41" s="1713"/>
      <c r="AEE41" s="1713"/>
      <c r="AEF41" s="1713"/>
      <c r="AEG41" s="1713"/>
      <c r="AEH41" s="1713"/>
      <c r="AEI41" s="1713"/>
      <c r="AEJ41" s="1713"/>
      <c r="AEK41" s="1713"/>
      <c r="AEL41" s="1713"/>
      <c r="AEM41" s="1713"/>
      <c r="AEN41" s="1713"/>
      <c r="AEO41" s="1713"/>
      <c r="AEP41" s="1713"/>
      <c r="AEQ41" s="1713"/>
      <c r="AER41" s="1713"/>
      <c r="AES41" s="1713"/>
      <c r="AET41" s="1713"/>
      <c r="AEU41" s="1713"/>
      <c r="AEV41" s="1713"/>
      <c r="AEW41" s="1713"/>
      <c r="AEX41" s="1713"/>
      <c r="AEY41" s="1713"/>
      <c r="AEZ41" s="1713"/>
      <c r="AFA41" s="1713"/>
      <c r="AFB41" s="1713"/>
      <c r="AFC41" s="1713"/>
      <c r="AFD41" s="1713"/>
      <c r="AFE41" s="1713"/>
      <c r="AFF41" s="1713"/>
      <c r="AFG41" s="1713"/>
      <c r="AFH41" s="1713"/>
      <c r="AFI41" s="1713"/>
      <c r="AFJ41" s="1713"/>
      <c r="AFK41" s="1713"/>
      <c r="AFL41" s="1713"/>
      <c r="AFM41" s="1713"/>
      <c r="AFN41" s="1713"/>
      <c r="AFO41" s="1713"/>
      <c r="AFP41" s="1713"/>
      <c r="AFQ41" s="1713"/>
      <c r="AFR41" s="1713"/>
      <c r="AFS41" s="1713"/>
      <c r="AFT41" s="1713"/>
      <c r="AFU41" s="1713"/>
      <c r="AFV41" s="1713"/>
      <c r="AFW41" s="1713"/>
      <c r="AFX41" s="1713"/>
      <c r="AFY41" s="1713"/>
      <c r="AFZ41" s="1713"/>
      <c r="AGA41" s="1713"/>
      <c r="AGB41" s="1713"/>
      <c r="AGC41" s="1713"/>
      <c r="AGD41" s="1713"/>
      <c r="AGE41" s="1713"/>
      <c r="AGF41" s="1713"/>
      <c r="AGG41" s="1713"/>
      <c r="AGH41" s="1713"/>
      <c r="AGI41" s="1713"/>
      <c r="AGJ41" s="1713"/>
      <c r="AGK41" s="1713"/>
      <c r="AGL41" s="1713"/>
      <c r="AGM41" s="1713"/>
      <c r="AGN41" s="1713"/>
      <c r="AGO41" s="1713"/>
      <c r="AGP41" s="1713"/>
      <c r="AGQ41" s="1713"/>
      <c r="AGR41" s="1713"/>
      <c r="AGS41" s="1713"/>
      <c r="AGT41" s="1713"/>
      <c r="AGU41" s="1713"/>
      <c r="AGV41" s="1713"/>
      <c r="AGW41" s="1713"/>
      <c r="AGX41" s="1713"/>
      <c r="AGY41" s="1713"/>
      <c r="AGZ41" s="1713"/>
      <c r="AHA41" s="1713"/>
      <c r="AHB41" s="1713"/>
      <c r="AHC41" s="1713"/>
      <c r="AHD41" s="1713"/>
      <c r="AHE41" s="1713"/>
      <c r="AHF41" s="1713"/>
      <c r="AHG41" s="1713"/>
      <c r="AHH41" s="1713"/>
      <c r="AHI41" s="1713"/>
      <c r="AHJ41" s="1713"/>
      <c r="AHK41" s="1713"/>
      <c r="AHL41" s="1713"/>
      <c r="AHM41" s="1713"/>
      <c r="AHN41" s="1713"/>
      <c r="AHO41" s="1713"/>
      <c r="AHP41" s="1713"/>
      <c r="AHQ41" s="1713"/>
      <c r="AHR41" s="1713"/>
      <c r="AHS41" s="1713"/>
      <c r="AHT41" s="1713"/>
      <c r="AHU41" s="1713"/>
      <c r="AHV41" s="1713"/>
      <c r="AHW41" s="1713"/>
      <c r="AHX41" s="1713"/>
      <c r="AHY41" s="1713"/>
      <c r="AHZ41" s="1713"/>
      <c r="AIA41" s="1713"/>
      <c r="AIB41" s="1713"/>
      <c r="AIC41" s="1713"/>
      <c r="AID41" s="1713"/>
      <c r="AIE41" s="1713"/>
      <c r="AIF41" s="1713"/>
      <c r="AIG41" s="1713"/>
      <c r="AIH41" s="1713"/>
      <c r="AII41" s="1713"/>
      <c r="AIJ41" s="1713"/>
      <c r="AIK41" s="1713"/>
      <c r="AIL41" s="1713"/>
      <c r="AIM41" s="1713"/>
      <c r="AIN41" s="1713"/>
      <c r="AIO41" s="1713"/>
      <c r="AIP41" s="1713"/>
      <c r="AIQ41" s="1713"/>
      <c r="AIR41" s="1713"/>
      <c r="AIS41" s="1713"/>
      <c r="AIT41" s="1713"/>
      <c r="AIU41" s="1713"/>
      <c r="AIV41" s="1713"/>
      <c r="AIW41" s="1713"/>
      <c r="AIX41" s="1713"/>
      <c r="AIY41" s="1713"/>
      <c r="AIZ41" s="1713"/>
      <c r="AJA41" s="1713"/>
      <c r="AJB41" s="1713"/>
      <c r="AJC41" s="1713"/>
      <c r="AJD41" s="1713"/>
      <c r="AJE41" s="1713"/>
      <c r="AJF41" s="1713"/>
      <c r="AJG41" s="1713"/>
      <c r="AJH41" s="1713"/>
      <c r="AJI41" s="1713"/>
      <c r="AJJ41" s="1713"/>
      <c r="AJK41" s="1713"/>
      <c r="AJL41" s="1713"/>
      <c r="AJM41" s="1713"/>
      <c r="AJN41" s="1713"/>
      <c r="AJO41" s="1713"/>
      <c r="AJP41" s="1713"/>
      <c r="AJQ41" s="1713"/>
      <c r="AJR41" s="1713"/>
      <c r="AJS41" s="1713"/>
      <c r="AJT41" s="1713"/>
      <c r="AJU41" s="1713"/>
      <c r="AJV41" s="1713"/>
      <c r="AJW41" s="1713"/>
      <c r="AJX41" s="1713"/>
      <c r="AJY41" s="1713"/>
      <c r="AJZ41" s="1713"/>
      <c r="AKA41" s="1713"/>
      <c r="AKB41" s="1713"/>
      <c r="AKC41" s="1713"/>
      <c r="AKD41" s="1713"/>
      <c r="AKE41" s="1713"/>
      <c r="AKF41" s="1713"/>
      <c r="AKG41" s="1713"/>
      <c r="AKH41" s="1713"/>
      <c r="AKI41" s="1713"/>
      <c r="AKJ41" s="1713"/>
      <c r="AKK41" s="1713"/>
      <c r="AKL41" s="1713"/>
      <c r="AKM41" s="1713"/>
      <c r="AKN41" s="1713"/>
      <c r="AKO41" s="1713"/>
      <c r="AKP41" s="1713"/>
      <c r="AKQ41" s="1713"/>
      <c r="AKR41" s="1713"/>
      <c r="AKS41" s="1713"/>
      <c r="AKT41" s="1713"/>
      <c r="AKU41" s="1713"/>
      <c r="AKV41" s="1713"/>
      <c r="AKW41" s="1713"/>
      <c r="AKX41" s="1713"/>
      <c r="AKY41" s="1713"/>
      <c r="AKZ41" s="1713"/>
      <c r="ALA41" s="1713"/>
      <c r="ALB41" s="1713"/>
      <c r="ALC41" s="1713"/>
      <c r="ALD41" s="1713"/>
      <c r="ALE41" s="1713"/>
      <c r="ALF41" s="1713"/>
      <c r="ALG41" s="1713"/>
      <c r="ALH41" s="1713"/>
      <c r="ALI41" s="1713"/>
      <c r="ALJ41" s="1713"/>
      <c r="ALK41" s="1713"/>
      <c r="ALL41" s="1713"/>
      <c r="ALM41" s="1713"/>
      <c r="ALN41" s="1713"/>
      <c r="ALO41" s="1713"/>
      <c r="ALP41" s="1713"/>
      <c r="ALQ41" s="1713"/>
      <c r="ALR41" s="1713"/>
      <c r="ALS41" s="1713"/>
      <c r="ALT41" s="1713"/>
      <c r="ALU41" s="1713"/>
      <c r="ALV41" s="1713"/>
      <c r="ALW41" s="1713"/>
      <c r="ALX41" s="1713"/>
      <c r="ALY41" s="1713"/>
      <c r="ALZ41" s="1713"/>
      <c r="AMA41" s="1713"/>
      <c r="AMB41" s="1713"/>
      <c r="AMC41" s="1713"/>
      <c r="AMD41" s="1713"/>
      <c r="AME41" s="1713"/>
      <c r="AMF41" s="1713"/>
      <c r="AMG41" s="1713"/>
      <c r="AMH41" s="1713"/>
      <c r="AMI41" s="1713"/>
      <c r="AMJ41" s="1713"/>
      <c r="AMK41" s="1713"/>
      <c r="AML41" s="1713"/>
      <c r="AMM41" s="1713"/>
      <c r="AMN41" s="1713"/>
      <c r="AMO41" s="1713"/>
      <c r="AMP41" s="1713"/>
      <c r="AMQ41" s="1713"/>
      <c r="AMR41" s="1713"/>
      <c r="AMS41" s="1713"/>
      <c r="AMT41" s="1713"/>
      <c r="AMU41" s="1713"/>
      <c r="AMV41" s="1713"/>
      <c r="AMW41" s="1713"/>
      <c r="AMX41" s="1713"/>
      <c r="AMY41" s="1713"/>
      <c r="AMZ41" s="1713"/>
      <c r="ANA41" s="1713"/>
      <c r="ANB41" s="1713"/>
      <c r="ANC41" s="1713"/>
      <c r="AND41" s="1713"/>
      <c r="ANE41" s="1713"/>
      <c r="ANF41" s="1713"/>
      <c r="ANG41" s="1713"/>
      <c r="ANH41" s="1713"/>
      <c r="ANI41" s="1713"/>
      <c r="ANJ41" s="1713"/>
      <c r="ANK41" s="1713"/>
      <c r="ANL41" s="1713"/>
      <c r="ANM41" s="1713"/>
      <c r="ANN41" s="1713"/>
      <c r="ANO41" s="1713"/>
      <c r="ANP41" s="1713"/>
      <c r="ANQ41" s="1713"/>
      <c r="ANR41" s="1713"/>
      <c r="ANS41" s="1713"/>
      <c r="ANT41" s="1713"/>
      <c r="ANU41" s="1713"/>
      <c r="ANV41" s="1713"/>
      <c r="ANW41" s="1713"/>
      <c r="ANX41" s="1713"/>
      <c r="ANY41" s="1713"/>
      <c r="ANZ41" s="1713"/>
      <c r="AOA41" s="1713"/>
      <c r="AOB41" s="1713"/>
      <c r="AOC41" s="1713"/>
      <c r="AOD41" s="1713"/>
      <c r="AOE41" s="1713"/>
      <c r="AOF41" s="1713"/>
      <c r="AOG41" s="1713"/>
      <c r="AOH41" s="1713"/>
      <c r="AOI41" s="1713"/>
      <c r="AOJ41" s="1713"/>
      <c r="AOK41" s="1713"/>
      <c r="AOL41" s="1713"/>
      <c r="AOM41" s="1713"/>
      <c r="AON41" s="1713"/>
      <c r="AOO41" s="1713"/>
      <c r="AOP41" s="1713"/>
      <c r="AOQ41" s="1713"/>
      <c r="AOR41" s="1713"/>
      <c r="AOS41" s="1713"/>
      <c r="AOT41" s="1713"/>
      <c r="AOU41" s="1713"/>
      <c r="AOV41" s="1713"/>
      <c r="AOW41" s="1713"/>
      <c r="AOX41" s="1713"/>
      <c r="AOY41" s="1713"/>
      <c r="AOZ41" s="1713"/>
      <c r="APA41" s="1713"/>
      <c r="APB41" s="1713"/>
      <c r="APC41" s="1713"/>
      <c r="APD41" s="1713"/>
      <c r="APE41" s="1713"/>
      <c r="APF41" s="1713"/>
      <c r="APG41" s="1713"/>
      <c r="APH41" s="1713"/>
      <c r="API41" s="1713"/>
      <c r="APJ41" s="1713"/>
      <c r="APK41" s="1713"/>
      <c r="APL41" s="1713"/>
      <c r="APM41" s="1713"/>
      <c r="APN41" s="1713"/>
      <c r="APO41" s="1713"/>
      <c r="APP41" s="1713"/>
      <c r="APQ41" s="1713"/>
      <c r="APR41" s="1713"/>
      <c r="APS41" s="1713"/>
      <c r="APT41" s="1713"/>
      <c r="APU41" s="1713"/>
      <c r="APV41" s="1713"/>
      <c r="APW41" s="1713"/>
      <c r="APX41" s="1713"/>
      <c r="APY41" s="1713"/>
      <c r="APZ41" s="1713"/>
      <c r="AQA41" s="1713"/>
      <c r="AQB41" s="1713"/>
      <c r="AQC41" s="1713"/>
      <c r="AQD41" s="1713"/>
      <c r="AQE41" s="1713"/>
      <c r="AQF41" s="1713"/>
      <c r="AQG41" s="1713"/>
      <c r="AQH41" s="1713"/>
      <c r="AQI41" s="1713"/>
      <c r="AQJ41" s="1713"/>
      <c r="AQK41" s="1713"/>
      <c r="AQL41" s="1713"/>
      <c r="AQM41" s="1713"/>
      <c r="AQN41" s="1713"/>
      <c r="AQO41" s="1713"/>
      <c r="AQP41" s="1713"/>
      <c r="AQQ41" s="1713"/>
      <c r="AQR41" s="1713"/>
      <c r="AQS41" s="1713"/>
      <c r="AQT41" s="1713"/>
      <c r="AQU41" s="1713"/>
      <c r="AQV41" s="1713"/>
      <c r="AQW41" s="1713"/>
      <c r="AQX41" s="1713"/>
      <c r="AQY41" s="1713"/>
      <c r="AQZ41" s="1713"/>
      <c r="ARA41" s="1713"/>
      <c r="ARB41" s="1713"/>
      <c r="ARC41" s="1713"/>
      <c r="ARD41" s="1713"/>
      <c r="ARE41" s="1713"/>
      <c r="ARF41" s="1713"/>
      <c r="ARG41" s="1713"/>
      <c r="ARH41" s="1713"/>
      <c r="ARI41" s="1713"/>
      <c r="ARJ41" s="1713"/>
      <c r="ARK41" s="1713"/>
      <c r="ARL41" s="1713"/>
      <c r="ARM41" s="1713"/>
      <c r="ARN41" s="1713"/>
      <c r="ARO41" s="1713"/>
      <c r="ARP41" s="1713"/>
      <c r="ARQ41" s="1713"/>
      <c r="ARR41" s="1713"/>
      <c r="ARS41" s="1713"/>
      <c r="ART41" s="1713"/>
      <c r="ARU41" s="1713"/>
      <c r="ARV41" s="1713"/>
      <c r="ARW41" s="1713"/>
      <c r="ARX41" s="1713"/>
      <c r="ARY41" s="1713"/>
      <c r="ARZ41" s="1713"/>
      <c r="ASA41" s="1713"/>
      <c r="ASB41" s="1713"/>
      <c r="ASC41" s="1713"/>
      <c r="ASD41" s="1713"/>
      <c r="ASE41" s="1713"/>
      <c r="ASF41" s="1713"/>
      <c r="ASG41" s="1713"/>
      <c r="ASH41" s="1713"/>
      <c r="ASI41" s="1713"/>
      <c r="ASJ41" s="1713"/>
      <c r="ASK41" s="1713"/>
      <c r="ASL41" s="1713"/>
      <c r="ASM41" s="1713"/>
      <c r="ASN41" s="1713"/>
      <c r="ASO41" s="1713"/>
      <c r="ASP41" s="1713"/>
      <c r="ASQ41" s="1713"/>
      <c r="ASR41" s="1713"/>
      <c r="ASS41" s="1713"/>
      <c r="AST41" s="1713"/>
      <c r="ASU41" s="1713"/>
      <c r="ASV41" s="1713"/>
      <c r="ASW41" s="1713"/>
      <c r="ASX41" s="1713"/>
      <c r="ASY41" s="1713"/>
      <c r="ASZ41" s="1713"/>
      <c r="ATA41" s="1713"/>
      <c r="ATB41" s="1713"/>
      <c r="ATC41" s="1713"/>
      <c r="ATD41" s="1713"/>
      <c r="ATE41" s="1713"/>
      <c r="ATF41" s="1713"/>
      <c r="ATG41" s="1713"/>
      <c r="ATH41" s="1713"/>
      <c r="ATI41" s="1713"/>
      <c r="ATJ41" s="1713"/>
      <c r="ATK41" s="1713"/>
      <c r="ATL41" s="1713"/>
      <c r="ATM41" s="1713"/>
      <c r="ATN41" s="1713"/>
      <c r="ATO41" s="1713"/>
      <c r="ATP41" s="1713"/>
      <c r="ATQ41" s="1713"/>
      <c r="ATR41" s="1713"/>
      <c r="ATS41" s="1713"/>
      <c r="ATT41" s="1713"/>
      <c r="ATU41" s="1713"/>
      <c r="ATV41" s="1713"/>
      <c r="ATW41" s="1713"/>
      <c r="ATX41" s="1713"/>
      <c r="ATY41" s="1713"/>
      <c r="ATZ41" s="1713"/>
      <c r="AUA41" s="1713"/>
      <c r="AUB41" s="1713"/>
      <c r="AUC41" s="1713"/>
      <c r="AUD41" s="1713"/>
      <c r="AUE41" s="1713"/>
      <c r="AUF41" s="1713"/>
      <c r="AUG41" s="1713"/>
      <c r="AUH41" s="1713"/>
      <c r="AUI41" s="1713"/>
      <c r="AUJ41" s="1713"/>
      <c r="AUK41" s="1713"/>
      <c r="AUL41" s="1713"/>
      <c r="AUM41" s="1713"/>
      <c r="AUN41" s="1713"/>
      <c r="AUO41" s="1713"/>
      <c r="AUP41" s="1713"/>
      <c r="AUQ41" s="1713"/>
      <c r="AUR41" s="1713"/>
      <c r="AUS41" s="1713"/>
      <c r="AUT41" s="1713"/>
      <c r="AUU41" s="1713"/>
      <c r="AUV41" s="1713"/>
      <c r="AUW41" s="1713"/>
      <c r="AUX41" s="1713"/>
      <c r="AUY41" s="1713"/>
      <c r="AUZ41" s="1713"/>
      <c r="AVA41" s="1713"/>
      <c r="AVB41" s="1713"/>
      <c r="AVC41" s="1713"/>
      <c r="AVD41" s="1713"/>
      <c r="AVE41" s="1713"/>
      <c r="AVF41" s="1713"/>
      <c r="AVG41" s="1713"/>
      <c r="AVH41" s="1713"/>
      <c r="AVI41" s="1713"/>
      <c r="AVJ41" s="1713"/>
      <c r="AVK41" s="1713"/>
      <c r="AVL41" s="1713"/>
      <c r="AVM41" s="1713"/>
      <c r="AVN41" s="1713"/>
      <c r="AVO41" s="1713"/>
      <c r="AVP41" s="1713"/>
      <c r="AVQ41" s="1713"/>
      <c r="AVR41" s="1713"/>
      <c r="AVS41" s="1713"/>
      <c r="AVT41" s="1713"/>
      <c r="AVU41" s="1713"/>
      <c r="AVV41" s="1713"/>
      <c r="AVW41" s="1713"/>
      <c r="AVX41" s="1713"/>
      <c r="AVY41" s="1713"/>
      <c r="AVZ41" s="1713"/>
      <c r="AWA41" s="1713"/>
      <c r="AWB41" s="1713"/>
      <c r="AWC41" s="1713"/>
      <c r="AWD41" s="1713"/>
      <c r="AWE41" s="1713"/>
      <c r="AWF41" s="1713"/>
      <c r="AWG41" s="1713"/>
      <c r="AWH41" s="1713"/>
      <c r="AWI41" s="1713"/>
      <c r="AWJ41" s="1713"/>
      <c r="AWK41" s="1713"/>
      <c r="AWL41" s="1713"/>
      <c r="AWM41" s="1713"/>
      <c r="AWN41" s="1713"/>
      <c r="AWO41" s="1713"/>
      <c r="AWP41" s="1713"/>
      <c r="AWQ41" s="1713"/>
      <c r="AWR41" s="1713"/>
      <c r="AWS41" s="1713"/>
      <c r="AWT41" s="1713"/>
      <c r="AWU41" s="1713"/>
      <c r="AWV41" s="1713"/>
      <c r="AWW41" s="1713"/>
      <c r="AWX41" s="1713"/>
      <c r="AWY41" s="1713"/>
      <c r="AWZ41" s="1713"/>
      <c r="AXA41" s="1713"/>
      <c r="AXB41" s="1713"/>
      <c r="AXC41" s="1713"/>
      <c r="AXD41" s="1713"/>
      <c r="AXE41" s="1713"/>
      <c r="AXF41" s="1713"/>
      <c r="AXG41" s="1713"/>
      <c r="AXH41" s="1713"/>
      <c r="AXI41" s="1713"/>
      <c r="AXJ41" s="1713"/>
      <c r="AXK41" s="1713"/>
      <c r="AXL41" s="1713"/>
      <c r="AXM41" s="1713"/>
      <c r="AXN41" s="1713"/>
      <c r="AXO41" s="1713"/>
      <c r="AXP41" s="1713"/>
      <c r="AXQ41" s="1713"/>
      <c r="AXR41" s="1713"/>
      <c r="AXS41" s="1713"/>
      <c r="AXT41" s="1713"/>
      <c r="AXU41" s="1713"/>
      <c r="AXV41" s="1713"/>
      <c r="AXW41" s="1713"/>
      <c r="AXX41" s="1713"/>
      <c r="AXY41" s="1713"/>
      <c r="AXZ41" s="1713"/>
      <c r="AYA41" s="1713"/>
      <c r="AYB41" s="1713"/>
      <c r="AYC41" s="1713"/>
      <c r="AYD41" s="1713"/>
      <c r="AYE41" s="1713"/>
      <c r="AYF41" s="1713"/>
      <c r="AYG41" s="1713"/>
      <c r="AYH41" s="1713"/>
      <c r="AYI41" s="1713"/>
      <c r="AYJ41" s="1713"/>
      <c r="AYK41" s="1713"/>
      <c r="AYL41" s="1713"/>
      <c r="AYM41" s="1713"/>
      <c r="AYN41" s="1713"/>
      <c r="AYO41" s="1713"/>
      <c r="AYP41" s="1713"/>
      <c r="AYQ41" s="1713"/>
      <c r="AYR41" s="1713"/>
      <c r="AYS41" s="1713"/>
      <c r="AYT41" s="1713"/>
      <c r="AYU41" s="1713"/>
      <c r="AYV41" s="1713"/>
      <c r="AYW41" s="1713"/>
      <c r="AYX41" s="1713"/>
      <c r="AYY41" s="1713"/>
      <c r="AYZ41" s="1713"/>
      <c r="AZA41" s="1713"/>
      <c r="AZB41" s="1713"/>
      <c r="AZC41" s="1713"/>
      <c r="AZD41" s="1713"/>
      <c r="AZE41" s="1713"/>
      <c r="AZF41" s="1713"/>
      <c r="AZG41" s="1713"/>
      <c r="AZH41" s="1713"/>
      <c r="AZI41" s="1713"/>
      <c r="AZJ41" s="1713"/>
      <c r="AZK41" s="1713"/>
      <c r="AZL41" s="1713"/>
      <c r="AZM41" s="1713"/>
      <c r="AZN41" s="1713"/>
      <c r="AZO41" s="1713"/>
      <c r="AZP41" s="1713"/>
      <c r="AZQ41" s="1713"/>
      <c r="AZR41" s="1713"/>
      <c r="AZS41" s="1713"/>
      <c r="AZT41" s="1713"/>
      <c r="AZU41" s="1713"/>
      <c r="AZV41" s="1713"/>
      <c r="AZW41" s="1713"/>
      <c r="AZX41" s="1713"/>
    </row>
    <row r="42" spans="1:1376" s="1115" customFormat="1" ht="24.75" customHeight="1" x14ac:dyDescent="0.2">
      <c r="A42" s="3541"/>
      <c r="B42" s="3542"/>
      <c r="C42" s="3494"/>
      <c r="D42" s="3486"/>
      <c r="E42" s="3487"/>
      <c r="F42" s="3488"/>
      <c r="G42" s="1675">
        <v>11</v>
      </c>
      <c r="H42" s="1676" t="s">
        <v>906</v>
      </c>
      <c r="I42" s="1676"/>
      <c r="J42" s="1676"/>
      <c r="K42" s="1127"/>
      <c r="L42" s="1127"/>
      <c r="M42" s="1676"/>
      <c r="N42" s="1390"/>
      <c r="O42" s="1677"/>
      <c r="P42" s="1127"/>
      <c r="Q42" s="1678"/>
      <c r="R42" s="1678"/>
      <c r="S42" s="1127"/>
      <c r="T42" s="1127"/>
      <c r="U42" s="1698"/>
      <c r="V42" s="2639"/>
      <c r="W42" s="1698"/>
      <c r="X42" s="2413"/>
      <c r="Y42" s="447"/>
      <c r="Z42" s="447"/>
      <c r="AA42" s="410"/>
      <c r="AB42" s="410"/>
      <c r="AC42" s="410"/>
      <c r="AD42" s="410"/>
      <c r="AE42" s="1891"/>
      <c r="AF42" s="1676"/>
      <c r="AG42" s="1676"/>
      <c r="AH42" s="1676"/>
      <c r="AI42" s="1676"/>
      <c r="AJ42" s="1676"/>
      <c r="AK42" s="1676"/>
      <c r="AL42" s="1676"/>
      <c r="AM42" s="1896"/>
      <c r="AN42" s="1896"/>
      <c r="AO42" s="1900"/>
      <c r="AP42" s="1679"/>
      <c r="AQ42" s="2414"/>
      <c r="AR42" s="1713"/>
      <c r="AS42" s="1713"/>
      <c r="AT42" s="1713"/>
      <c r="AU42" s="1713"/>
      <c r="AV42" s="1713"/>
      <c r="AW42" s="1713"/>
      <c r="AX42" s="1713"/>
      <c r="AY42" s="1713"/>
      <c r="AZ42" s="1713"/>
      <c r="BA42" s="1713"/>
      <c r="BB42" s="1713"/>
      <c r="BC42" s="1713"/>
      <c r="BD42" s="1713"/>
      <c r="BE42" s="1713"/>
      <c r="BF42" s="1713"/>
      <c r="BG42" s="1713"/>
      <c r="BH42" s="1713"/>
      <c r="BI42" s="1713"/>
      <c r="BJ42" s="1713"/>
      <c r="BK42" s="1713"/>
      <c r="BL42" s="1713"/>
      <c r="BM42" s="1713"/>
      <c r="BN42" s="1713"/>
      <c r="BO42" s="1713"/>
      <c r="BP42" s="1713"/>
      <c r="BQ42" s="1713"/>
      <c r="BR42" s="1713"/>
      <c r="BS42" s="1713"/>
      <c r="BT42" s="1713"/>
      <c r="BU42" s="1713"/>
      <c r="BV42" s="1713"/>
      <c r="BW42" s="1713"/>
      <c r="BX42" s="1713"/>
      <c r="BY42" s="1713"/>
      <c r="BZ42" s="1713"/>
      <c r="CA42" s="1713"/>
      <c r="CB42" s="1713"/>
      <c r="CC42" s="1713"/>
      <c r="CD42" s="1713"/>
      <c r="CE42" s="1713"/>
      <c r="CF42" s="1713"/>
      <c r="CG42" s="1713"/>
      <c r="CH42" s="1713"/>
      <c r="CI42" s="1713"/>
      <c r="CJ42" s="1713"/>
      <c r="CK42" s="1713"/>
      <c r="CL42" s="1713"/>
      <c r="CM42" s="1713"/>
      <c r="CN42" s="1713"/>
      <c r="CO42" s="1713"/>
      <c r="CP42" s="1713"/>
      <c r="CQ42" s="1713"/>
      <c r="CR42" s="1713"/>
      <c r="CS42" s="1713"/>
      <c r="CT42" s="1713"/>
      <c r="CU42" s="1713"/>
      <c r="CV42" s="1713"/>
      <c r="CW42" s="1713"/>
      <c r="CX42" s="1713"/>
      <c r="CY42" s="1713"/>
      <c r="CZ42" s="1713"/>
      <c r="DA42" s="1713"/>
      <c r="DB42" s="1713"/>
      <c r="DC42" s="1713"/>
      <c r="DD42" s="1713"/>
      <c r="DE42" s="1713"/>
      <c r="DF42" s="1713"/>
      <c r="DG42" s="1713"/>
      <c r="DH42" s="1713"/>
      <c r="DI42" s="1713"/>
      <c r="DJ42" s="1713"/>
      <c r="DK42" s="1713"/>
      <c r="DL42" s="1713"/>
      <c r="DM42" s="1713"/>
      <c r="DN42" s="1713"/>
      <c r="DO42" s="1713"/>
      <c r="DP42" s="1713"/>
      <c r="DQ42" s="1713"/>
      <c r="DR42" s="1713"/>
      <c r="DS42" s="1713"/>
      <c r="DT42" s="1713"/>
      <c r="DU42" s="1713"/>
      <c r="DV42" s="1713"/>
      <c r="DW42" s="1713"/>
      <c r="DX42" s="1713"/>
      <c r="DY42" s="1713"/>
      <c r="DZ42" s="1713"/>
      <c r="EA42" s="1713"/>
      <c r="EB42" s="1713"/>
      <c r="EC42" s="1713"/>
      <c r="ED42" s="1713"/>
      <c r="EE42" s="1713"/>
      <c r="EF42" s="1713"/>
      <c r="EG42" s="1713"/>
      <c r="EH42" s="1713"/>
      <c r="EI42" s="1713"/>
      <c r="EJ42" s="1713"/>
      <c r="EK42" s="1713"/>
      <c r="EL42" s="1713"/>
      <c r="EM42" s="1713"/>
      <c r="EN42" s="1713"/>
      <c r="EO42" s="1713"/>
      <c r="EP42" s="1713"/>
      <c r="EQ42" s="1713"/>
      <c r="ER42" s="1713"/>
      <c r="ES42" s="1713"/>
      <c r="ET42" s="1713"/>
      <c r="EU42" s="1713"/>
      <c r="EV42" s="1713"/>
      <c r="EW42" s="1713"/>
      <c r="EX42" s="1713"/>
      <c r="EY42" s="1713"/>
      <c r="EZ42" s="1713"/>
      <c r="FA42" s="1713"/>
      <c r="FB42" s="1713"/>
      <c r="FC42" s="1713"/>
      <c r="FD42" s="1713"/>
      <c r="FE42" s="1713"/>
      <c r="FF42" s="1713"/>
      <c r="FG42" s="1713"/>
      <c r="FH42" s="1713"/>
      <c r="FI42" s="1713"/>
      <c r="FJ42" s="1713"/>
      <c r="FK42" s="1713"/>
      <c r="FL42" s="1713"/>
      <c r="FM42" s="1713"/>
      <c r="FN42" s="1713"/>
      <c r="FO42" s="1713"/>
      <c r="FP42" s="1713"/>
      <c r="FQ42" s="1713"/>
      <c r="FR42" s="1713"/>
      <c r="FS42" s="1713"/>
      <c r="FT42" s="1713"/>
      <c r="FU42" s="1713"/>
      <c r="FV42" s="1713"/>
      <c r="FW42" s="1713"/>
      <c r="FX42" s="1713"/>
      <c r="FY42" s="1713"/>
      <c r="FZ42" s="1713"/>
      <c r="GA42" s="1713"/>
      <c r="GB42" s="1713"/>
      <c r="GC42" s="1713"/>
      <c r="GD42" s="1713"/>
      <c r="GE42" s="1713"/>
      <c r="GF42" s="1713"/>
      <c r="GG42" s="1713"/>
      <c r="GH42" s="1713"/>
      <c r="GI42" s="1713"/>
      <c r="GJ42" s="1713"/>
      <c r="GK42" s="1713"/>
      <c r="GL42" s="1713"/>
      <c r="GM42" s="1713"/>
      <c r="GN42" s="1713"/>
      <c r="GO42" s="1713"/>
      <c r="GP42" s="1713"/>
      <c r="GQ42" s="1713"/>
      <c r="GR42" s="1713"/>
      <c r="GS42" s="1713"/>
      <c r="GT42" s="1713"/>
      <c r="GU42" s="1713"/>
      <c r="GV42" s="1713"/>
      <c r="GW42" s="1713"/>
      <c r="GX42" s="1713"/>
      <c r="GY42" s="1713"/>
      <c r="GZ42" s="1713"/>
      <c r="HA42" s="1713"/>
      <c r="HB42" s="1713"/>
      <c r="HC42" s="1713"/>
      <c r="HD42" s="1713"/>
      <c r="HE42" s="1713"/>
      <c r="HF42" s="1713"/>
      <c r="HG42" s="1713"/>
      <c r="HH42" s="1713"/>
      <c r="HI42" s="1713"/>
      <c r="HJ42" s="1713"/>
      <c r="HK42" s="1713"/>
      <c r="HL42" s="1713"/>
      <c r="HM42" s="1713"/>
      <c r="HN42" s="1713"/>
      <c r="HO42" s="1713"/>
      <c r="HP42" s="1713"/>
      <c r="HQ42" s="1713"/>
      <c r="HR42" s="1713"/>
      <c r="HS42" s="1713"/>
      <c r="HT42" s="1713"/>
      <c r="HU42" s="1713"/>
      <c r="HV42" s="1713"/>
      <c r="HW42" s="1713"/>
      <c r="HX42" s="1713"/>
      <c r="HY42" s="1713"/>
      <c r="HZ42" s="1713"/>
      <c r="IA42" s="1713"/>
      <c r="IB42" s="1713"/>
      <c r="IC42" s="1713"/>
      <c r="ID42" s="1713"/>
      <c r="IE42" s="1713"/>
      <c r="IF42" s="1713"/>
      <c r="IG42" s="1713"/>
      <c r="IH42" s="1713"/>
      <c r="II42" s="1713"/>
      <c r="IJ42" s="1713"/>
      <c r="IK42" s="1713"/>
      <c r="IL42" s="1713"/>
      <c r="IM42" s="1713"/>
      <c r="IN42" s="1713"/>
      <c r="IO42" s="1713"/>
      <c r="IP42" s="1713"/>
      <c r="IQ42" s="1713"/>
      <c r="IR42" s="1713"/>
      <c r="IS42" s="1713"/>
      <c r="IT42" s="1713"/>
      <c r="IU42" s="1713"/>
      <c r="IV42" s="1713"/>
      <c r="IW42" s="1713"/>
      <c r="IX42" s="1713"/>
      <c r="IY42" s="1713"/>
      <c r="IZ42" s="1713"/>
      <c r="JA42" s="1713"/>
      <c r="JB42" s="1713"/>
      <c r="JC42" s="1713"/>
      <c r="JD42" s="1713"/>
      <c r="JE42" s="1713"/>
      <c r="JF42" s="1713"/>
      <c r="JG42" s="1713"/>
      <c r="JH42" s="1713"/>
      <c r="JI42" s="1713"/>
      <c r="JJ42" s="1713"/>
      <c r="JK42" s="1713"/>
      <c r="JL42" s="1713"/>
      <c r="JM42" s="1713"/>
      <c r="JN42" s="1713"/>
      <c r="JO42" s="1713"/>
      <c r="JP42" s="1713"/>
      <c r="JQ42" s="1713"/>
      <c r="JR42" s="1713"/>
      <c r="JS42" s="1713"/>
      <c r="JT42" s="1713"/>
      <c r="JU42" s="1713"/>
      <c r="JV42" s="1713"/>
      <c r="JW42" s="1713"/>
      <c r="JX42" s="1713"/>
      <c r="JY42" s="1713"/>
      <c r="JZ42" s="1713"/>
      <c r="KA42" s="1713"/>
      <c r="KB42" s="1713"/>
      <c r="KC42" s="1713"/>
      <c r="KD42" s="1713"/>
      <c r="KE42" s="1713"/>
      <c r="KF42" s="1713"/>
      <c r="KG42" s="1713"/>
      <c r="KH42" s="1713"/>
      <c r="KI42" s="1713"/>
      <c r="KJ42" s="1713"/>
      <c r="KK42" s="1713"/>
      <c r="KL42" s="1713"/>
      <c r="KM42" s="1713"/>
      <c r="KN42" s="1713"/>
      <c r="KO42" s="1713"/>
      <c r="KP42" s="1713"/>
      <c r="KQ42" s="1713"/>
      <c r="KR42" s="1713"/>
      <c r="KS42" s="1713"/>
      <c r="KT42" s="1713"/>
      <c r="KU42" s="1713"/>
      <c r="KV42" s="1713"/>
      <c r="KW42" s="1713"/>
      <c r="KX42" s="1713"/>
      <c r="KY42" s="1713"/>
      <c r="KZ42" s="1713"/>
      <c r="LA42" s="1713"/>
      <c r="LB42" s="1713"/>
      <c r="LC42" s="1713"/>
      <c r="LD42" s="1713"/>
      <c r="LE42" s="1713"/>
      <c r="LF42" s="1713"/>
      <c r="LG42" s="1713"/>
      <c r="LH42" s="1713"/>
      <c r="LI42" s="1713"/>
      <c r="LJ42" s="1713"/>
      <c r="LK42" s="1713"/>
      <c r="LL42" s="1713"/>
      <c r="LM42" s="1713"/>
      <c r="LN42" s="1713"/>
      <c r="LO42" s="1713"/>
      <c r="LP42" s="1713"/>
      <c r="LQ42" s="1713"/>
      <c r="LR42" s="1713"/>
      <c r="LS42" s="1713"/>
      <c r="LT42" s="1713"/>
      <c r="LU42" s="1713"/>
      <c r="LV42" s="1713"/>
      <c r="LW42" s="1713"/>
      <c r="LX42" s="1713"/>
      <c r="LY42" s="1713"/>
      <c r="LZ42" s="1713"/>
      <c r="MA42" s="1713"/>
      <c r="MB42" s="1713"/>
      <c r="MC42" s="1713"/>
      <c r="MD42" s="1713"/>
      <c r="ME42" s="1713"/>
      <c r="MF42" s="1713"/>
      <c r="MG42" s="1713"/>
      <c r="MH42" s="1713"/>
      <c r="MI42" s="1713"/>
      <c r="MJ42" s="1713"/>
      <c r="MK42" s="1713"/>
      <c r="ML42" s="1713"/>
      <c r="MM42" s="1713"/>
      <c r="MN42" s="1713"/>
      <c r="MO42" s="1713"/>
      <c r="MP42" s="1713"/>
      <c r="MQ42" s="1713"/>
      <c r="MR42" s="1713"/>
      <c r="MS42" s="1713"/>
      <c r="MT42" s="1713"/>
      <c r="MU42" s="1713"/>
      <c r="MV42" s="1713"/>
      <c r="MW42" s="1713"/>
      <c r="MX42" s="1713"/>
      <c r="MY42" s="1713"/>
      <c r="MZ42" s="1713"/>
      <c r="NA42" s="1713"/>
      <c r="NB42" s="1713"/>
      <c r="NC42" s="1713"/>
      <c r="ND42" s="1713"/>
      <c r="NE42" s="1713"/>
      <c r="NF42" s="1713"/>
      <c r="NG42" s="1713"/>
      <c r="NH42" s="1713"/>
      <c r="NI42" s="1713"/>
      <c r="NJ42" s="1713"/>
      <c r="NK42" s="1713"/>
      <c r="NL42" s="1713"/>
      <c r="NM42" s="1713"/>
      <c r="NN42" s="1713"/>
      <c r="NO42" s="1713"/>
      <c r="NP42" s="1713"/>
      <c r="NQ42" s="1713"/>
      <c r="NR42" s="1713"/>
      <c r="NS42" s="1713"/>
      <c r="NT42" s="1713"/>
      <c r="NU42" s="1713"/>
      <c r="NV42" s="1713"/>
      <c r="NW42" s="1713"/>
      <c r="NX42" s="1713"/>
      <c r="NY42" s="1713"/>
      <c r="NZ42" s="1713"/>
      <c r="OA42" s="1713"/>
      <c r="OB42" s="1713"/>
      <c r="OC42" s="1713"/>
      <c r="OD42" s="1713"/>
      <c r="OE42" s="1713"/>
      <c r="OF42" s="1713"/>
      <c r="OG42" s="1713"/>
      <c r="OH42" s="1713"/>
      <c r="OI42" s="1713"/>
      <c r="OJ42" s="1713"/>
      <c r="OK42" s="1713"/>
      <c r="OL42" s="1713"/>
      <c r="OM42" s="1713"/>
      <c r="ON42" s="1713"/>
      <c r="OO42" s="1713"/>
      <c r="OP42" s="1713"/>
      <c r="OQ42" s="1713"/>
      <c r="OR42" s="1713"/>
      <c r="OS42" s="1713"/>
      <c r="OT42" s="1713"/>
      <c r="OU42" s="1713"/>
      <c r="OV42" s="1713"/>
      <c r="OW42" s="1713"/>
      <c r="OX42" s="1713"/>
      <c r="OY42" s="1713"/>
      <c r="OZ42" s="1713"/>
      <c r="PA42" s="1713"/>
      <c r="PB42" s="1713"/>
      <c r="PC42" s="1713"/>
      <c r="PD42" s="1713"/>
      <c r="PE42" s="1713"/>
      <c r="PF42" s="1713"/>
      <c r="PG42" s="1713"/>
      <c r="PH42" s="1713"/>
      <c r="PI42" s="1713"/>
      <c r="PJ42" s="1713"/>
      <c r="PK42" s="1713"/>
      <c r="PL42" s="1713"/>
      <c r="PM42" s="1713"/>
      <c r="PN42" s="1713"/>
      <c r="PO42" s="1713"/>
      <c r="PP42" s="1713"/>
      <c r="PQ42" s="1713"/>
      <c r="PR42" s="1713"/>
      <c r="PS42" s="1713"/>
      <c r="PT42" s="1713"/>
      <c r="PU42" s="1713"/>
      <c r="PV42" s="1713"/>
      <c r="PW42" s="1713"/>
      <c r="PX42" s="1713"/>
      <c r="PY42" s="1713"/>
      <c r="PZ42" s="1713"/>
      <c r="QA42" s="1713"/>
      <c r="QB42" s="1713"/>
      <c r="QC42" s="1713"/>
      <c r="QD42" s="1713"/>
      <c r="QE42" s="1713"/>
      <c r="QF42" s="1713"/>
      <c r="QG42" s="1713"/>
      <c r="QH42" s="1713"/>
      <c r="QI42" s="1713"/>
      <c r="QJ42" s="1713"/>
      <c r="QK42" s="1713"/>
      <c r="QL42" s="1713"/>
      <c r="QM42" s="1713"/>
      <c r="QN42" s="1713"/>
      <c r="QO42" s="1713"/>
      <c r="QP42" s="1713"/>
      <c r="QQ42" s="1713"/>
      <c r="QR42" s="1713"/>
      <c r="QS42" s="1713"/>
      <c r="QT42" s="1713"/>
      <c r="QU42" s="1713"/>
      <c r="QV42" s="1713"/>
      <c r="QW42" s="1713"/>
      <c r="QX42" s="1713"/>
      <c r="QY42" s="1713"/>
      <c r="QZ42" s="1713"/>
      <c r="RA42" s="1713"/>
      <c r="RB42" s="1713"/>
      <c r="RC42" s="1713"/>
      <c r="RD42" s="1713"/>
      <c r="RE42" s="1713"/>
      <c r="RF42" s="1713"/>
      <c r="RG42" s="1713"/>
      <c r="RH42" s="1713"/>
      <c r="RI42" s="1713"/>
      <c r="RJ42" s="1713"/>
      <c r="RK42" s="1713"/>
      <c r="RL42" s="1713"/>
      <c r="RM42" s="1713"/>
      <c r="RN42" s="1713"/>
      <c r="RO42" s="1713"/>
      <c r="RP42" s="1713"/>
      <c r="RQ42" s="1713"/>
      <c r="RR42" s="1713"/>
      <c r="RS42" s="1713"/>
      <c r="RT42" s="1713"/>
      <c r="RU42" s="1713"/>
      <c r="RV42" s="1713"/>
      <c r="RW42" s="1713"/>
      <c r="RX42" s="1713"/>
      <c r="RY42" s="1713"/>
      <c r="RZ42" s="1713"/>
      <c r="SA42" s="1713"/>
      <c r="SB42" s="1713"/>
      <c r="SC42" s="1713"/>
      <c r="SD42" s="1713"/>
      <c r="SE42" s="1713"/>
      <c r="SF42" s="1713"/>
      <c r="SG42" s="1713"/>
      <c r="SH42" s="1713"/>
      <c r="SI42" s="1713"/>
      <c r="SJ42" s="1713"/>
      <c r="SK42" s="1713"/>
      <c r="SL42" s="1713"/>
      <c r="SM42" s="1713"/>
      <c r="SN42" s="1713"/>
      <c r="SO42" s="1713"/>
      <c r="SP42" s="1713"/>
      <c r="SQ42" s="1713"/>
      <c r="SR42" s="1713"/>
      <c r="SS42" s="1713"/>
      <c r="ST42" s="1713"/>
      <c r="SU42" s="1713"/>
      <c r="SV42" s="1713"/>
      <c r="SW42" s="1713"/>
      <c r="SX42" s="1713"/>
      <c r="SY42" s="1713"/>
      <c r="SZ42" s="1713"/>
      <c r="TA42" s="1713"/>
      <c r="TB42" s="1713"/>
      <c r="TC42" s="1713"/>
      <c r="TD42" s="1713"/>
      <c r="TE42" s="1713"/>
      <c r="TF42" s="1713"/>
      <c r="TG42" s="1713"/>
      <c r="TH42" s="1713"/>
      <c r="TI42" s="1713"/>
      <c r="TJ42" s="1713"/>
      <c r="TK42" s="1713"/>
      <c r="TL42" s="1713"/>
      <c r="TM42" s="1713"/>
      <c r="TN42" s="1713"/>
      <c r="TO42" s="1713"/>
      <c r="TP42" s="1713"/>
      <c r="TQ42" s="1713"/>
      <c r="TR42" s="1713"/>
      <c r="TS42" s="1713"/>
      <c r="TT42" s="1713"/>
      <c r="TU42" s="1713"/>
      <c r="TV42" s="1713"/>
      <c r="TW42" s="1713"/>
      <c r="TX42" s="1713"/>
      <c r="TY42" s="1713"/>
      <c r="TZ42" s="1713"/>
      <c r="UA42" s="1713"/>
      <c r="UB42" s="1713"/>
      <c r="UC42" s="1713"/>
      <c r="UD42" s="1713"/>
      <c r="UE42" s="1713"/>
      <c r="UF42" s="1713"/>
      <c r="UG42" s="1713"/>
      <c r="UH42" s="1713"/>
      <c r="UI42" s="1713"/>
      <c r="UJ42" s="1713"/>
      <c r="UK42" s="1713"/>
      <c r="UL42" s="1713"/>
      <c r="UM42" s="1713"/>
      <c r="UN42" s="1713"/>
      <c r="UO42" s="1713"/>
      <c r="UP42" s="1713"/>
      <c r="UQ42" s="1713"/>
      <c r="UR42" s="1713"/>
      <c r="US42" s="1713"/>
      <c r="UT42" s="1713"/>
      <c r="UU42" s="1713"/>
      <c r="UV42" s="1713"/>
      <c r="UW42" s="1713"/>
      <c r="UX42" s="1713"/>
      <c r="UY42" s="1713"/>
      <c r="UZ42" s="1713"/>
      <c r="VA42" s="1713"/>
      <c r="VB42" s="1713"/>
      <c r="VC42" s="1713"/>
      <c r="VD42" s="1713"/>
      <c r="VE42" s="1713"/>
      <c r="VF42" s="1713"/>
      <c r="VG42" s="1713"/>
      <c r="VH42" s="1713"/>
      <c r="VI42" s="1713"/>
      <c r="VJ42" s="1713"/>
      <c r="VK42" s="1713"/>
      <c r="VL42" s="1713"/>
      <c r="VM42" s="1713"/>
      <c r="VN42" s="1713"/>
      <c r="VO42" s="1713"/>
      <c r="VP42" s="1713"/>
      <c r="VQ42" s="1713"/>
      <c r="VR42" s="1713"/>
      <c r="VS42" s="1713"/>
      <c r="VT42" s="1713"/>
      <c r="VU42" s="1713"/>
      <c r="VV42" s="1713"/>
      <c r="VW42" s="1713"/>
      <c r="VX42" s="1713"/>
      <c r="VY42" s="1713"/>
      <c r="VZ42" s="1713"/>
      <c r="WA42" s="1713"/>
      <c r="WB42" s="1713"/>
      <c r="WC42" s="1713"/>
      <c r="WD42" s="1713"/>
      <c r="WE42" s="1713"/>
      <c r="WF42" s="1713"/>
      <c r="WG42" s="1713"/>
      <c r="WH42" s="1713"/>
      <c r="WI42" s="1713"/>
      <c r="WJ42" s="1713"/>
      <c r="WK42" s="1713"/>
      <c r="WL42" s="1713"/>
      <c r="WM42" s="1713"/>
      <c r="WN42" s="1713"/>
      <c r="WO42" s="1713"/>
      <c r="WP42" s="1713"/>
      <c r="WQ42" s="1713"/>
      <c r="WR42" s="1713"/>
      <c r="WS42" s="1713"/>
      <c r="WT42" s="1713"/>
      <c r="WU42" s="1713"/>
      <c r="WV42" s="1713"/>
      <c r="WW42" s="1713"/>
      <c r="WX42" s="1713"/>
      <c r="WY42" s="1713"/>
      <c r="WZ42" s="1713"/>
      <c r="XA42" s="1713"/>
      <c r="XB42" s="1713"/>
      <c r="XC42" s="1713"/>
      <c r="XD42" s="1713"/>
      <c r="XE42" s="1713"/>
      <c r="XF42" s="1713"/>
      <c r="XG42" s="1713"/>
      <c r="XH42" s="1713"/>
      <c r="XI42" s="1713"/>
      <c r="XJ42" s="1713"/>
      <c r="XK42" s="1713"/>
      <c r="XL42" s="1713"/>
      <c r="XM42" s="1713"/>
      <c r="XN42" s="1713"/>
      <c r="XO42" s="1713"/>
      <c r="XP42" s="1713"/>
      <c r="XQ42" s="1713"/>
      <c r="XR42" s="1713"/>
      <c r="XS42" s="1713"/>
      <c r="XT42" s="1713"/>
      <c r="XU42" s="1713"/>
      <c r="XV42" s="1713"/>
      <c r="XW42" s="1713"/>
      <c r="XX42" s="1713"/>
      <c r="XY42" s="1713"/>
      <c r="XZ42" s="1713"/>
      <c r="YA42" s="1713"/>
      <c r="YB42" s="1713"/>
      <c r="YC42" s="1713"/>
      <c r="YD42" s="1713"/>
      <c r="YE42" s="1713"/>
      <c r="YF42" s="1713"/>
      <c r="YG42" s="1713"/>
      <c r="YH42" s="1713"/>
      <c r="YI42" s="1713"/>
      <c r="YJ42" s="1713"/>
      <c r="YK42" s="1713"/>
      <c r="YL42" s="1713"/>
      <c r="YM42" s="1713"/>
      <c r="YN42" s="1713"/>
      <c r="YO42" s="1713"/>
      <c r="YP42" s="1713"/>
      <c r="YQ42" s="1713"/>
      <c r="YR42" s="1713"/>
      <c r="YS42" s="1713"/>
      <c r="YT42" s="1713"/>
      <c r="YU42" s="1713"/>
      <c r="YV42" s="1713"/>
      <c r="YW42" s="1713"/>
      <c r="YX42" s="1713"/>
      <c r="YY42" s="1713"/>
      <c r="YZ42" s="1713"/>
      <c r="ZA42" s="1713"/>
      <c r="ZB42" s="1713"/>
      <c r="ZC42" s="1713"/>
      <c r="ZD42" s="1713"/>
      <c r="ZE42" s="1713"/>
      <c r="ZF42" s="1713"/>
      <c r="ZG42" s="1713"/>
      <c r="ZH42" s="1713"/>
      <c r="ZI42" s="1713"/>
      <c r="ZJ42" s="1713"/>
      <c r="ZK42" s="1713"/>
      <c r="ZL42" s="1713"/>
      <c r="ZM42" s="1713"/>
      <c r="ZN42" s="1713"/>
      <c r="ZO42" s="1713"/>
      <c r="ZP42" s="1713"/>
      <c r="ZQ42" s="1713"/>
      <c r="ZR42" s="1713"/>
      <c r="ZS42" s="1713"/>
      <c r="ZT42" s="1713"/>
      <c r="ZU42" s="1713"/>
      <c r="ZV42" s="1713"/>
      <c r="ZW42" s="1713"/>
      <c r="ZX42" s="1713"/>
      <c r="ZY42" s="1713"/>
      <c r="ZZ42" s="1713"/>
      <c r="AAA42" s="1713"/>
      <c r="AAB42" s="1713"/>
      <c r="AAC42" s="1713"/>
      <c r="AAD42" s="1713"/>
      <c r="AAE42" s="1713"/>
      <c r="AAF42" s="1713"/>
      <c r="AAG42" s="1713"/>
      <c r="AAH42" s="1713"/>
      <c r="AAI42" s="1713"/>
      <c r="AAJ42" s="1713"/>
      <c r="AAK42" s="1713"/>
      <c r="AAL42" s="1713"/>
      <c r="AAM42" s="1713"/>
      <c r="AAN42" s="1713"/>
      <c r="AAO42" s="1713"/>
      <c r="AAP42" s="1713"/>
      <c r="AAQ42" s="1713"/>
      <c r="AAR42" s="1713"/>
      <c r="AAS42" s="1713"/>
      <c r="AAT42" s="1713"/>
      <c r="AAU42" s="1713"/>
      <c r="AAV42" s="1713"/>
      <c r="AAW42" s="1713"/>
      <c r="AAX42" s="1713"/>
      <c r="AAY42" s="1713"/>
      <c r="AAZ42" s="1713"/>
      <c r="ABA42" s="1713"/>
      <c r="ABB42" s="1713"/>
      <c r="ABC42" s="1713"/>
      <c r="ABD42" s="1713"/>
      <c r="ABE42" s="1713"/>
      <c r="ABF42" s="1713"/>
      <c r="ABG42" s="1713"/>
      <c r="ABH42" s="1713"/>
      <c r="ABI42" s="1713"/>
      <c r="ABJ42" s="1713"/>
      <c r="ABK42" s="1713"/>
      <c r="ABL42" s="1713"/>
      <c r="ABM42" s="1713"/>
      <c r="ABN42" s="1713"/>
      <c r="ABO42" s="1713"/>
      <c r="ABP42" s="1713"/>
      <c r="ABQ42" s="1713"/>
      <c r="ABR42" s="1713"/>
      <c r="ABS42" s="1713"/>
      <c r="ABT42" s="1713"/>
      <c r="ABU42" s="1713"/>
      <c r="ABV42" s="1713"/>
      <c r="ABW42" s="1713"/>
      <c r="ABX42" s="1713"/>
      <c r="ABY42" s="1713"/>
      <c r="ABZ42" s="1713"/>
      <c r="ACA42" s="1713"/>
      <c r="ACB42" s="1713"/>
      <c r="ACC42" s="1713"/>
      <c r="ACD42" s="1713"/>
      <c r="ACE42" s="1713"/>
      <c r="ACF42" s="1713"/>
      <c r="ACG42" s="1713"/>
      <c r="ACH42" s="1713"/>
      <c r="ACI42" s="1713"/>
      <c r="ACJ42" s="1713"/>
      <c r="ACK42" s="1713"/>
      <c r="ACL42" s="1713"/>
      <c r="ACM42" s="1713"/>
      <c r="ACN42" s="1713"/>
      <c r="ACO42" s="1713"/>
      <c r="ACP42" s="1713"/>
      <c r="ACQ42" s="1713"/>
      <c r="ACR42" s="1713"/>
      <c r="ACS42" s="1713"/>
      <c r="ACT42" s="1713"/>
      <c r="ACU42" s="1713"/>
      <c r="ACV42" s="1713"/>
      <c r="ACW42" s="1713"/>
      <c r="ACX42" s="1713"/>
      <c r="ACY42" s="1713"/>
      <c r="ACZ42" s="1713"/>
      <c r="ADA42" s="1713"/>
      <c r="ADB42" s="1713"/>
      <c r="ADC42" s="1713"/>
      <c r="ADD42" s="1713"/>
      <c r="ADE42" s="1713"/>
      <c r="ADF42" s="1713"/>
      <c r="ADG42" s="1713"/>
      <c r="ADH42" s="1713"/>
      <c r="ADI42" s="1713"/>
      <c r="ADJ42" s="1713"/>
      <c r="ADK42" s="1713"/>
      <c r="ADL42" s="1713"/>
      <c r="ADM42" s="1713"/>
      <c r="ADN42" s="1713"/>
      <c r="ADO42" s="1713"/>
      <c r="ADP42" s="1713"/>
      <c r="ADQ42" s="1713"/>
      <c r="ADR42" s="1713"/>
      <c r="ADS42" s="1713"/>
      <c r="ADT42" s="1713"/>
      <c r="ADU42" s="1713"/>
      <c r="ADV42" s="1713"/>
      <c r="ADW42" s="1713"/>
      <c r="ADX42" s="1713"/>
      <c r="ADY42" s="1713"/>
      <c r="ADZ42" s="1713"/>
      <c r="AEA42" s="1713"/>
      <c r="AEB42" s="1713"/>
      <c r="AEC42" s="1713"/>
      <c r="AED42" s="1713"/>
      <c r="AEE42" s="1713"/>
      <c r="AEF42" s="1713"/>
      <c r="AEG42" s="1713"/>
      <c r="AEH42" s="1713"/>
      <c r="AEI42" s="1713"/>
      <c r="AEJ42" s="1713"/>
      <c r="AEK42" s="1713"/>
      <c r="AEL42" s="1713"/>
      <c r="AEM42" s="1713"/>
      <c r="AEN42" s="1713"/>
      <c r="AEO42" s="1713"/>
      <c r="AEP42" s="1713"/>
      <c r="AEQ42" s="1713"/>
      <c r="AER42" s="1713"/>
      <c r="AES42" s="1713"/>
      <c r="AET42" s="1713"/>
      <c r="AEU42" s="1713"/>
      <c r="AEV42" s="1713"/>
      <c r="AEW42" s="1713"/>
      <c r="AEX42" s="1713"/>
      <c r="AEY42" s="1713"/>
      <c r="AEZ42" s="1713"/>
      <c r="AFA42" s="1713"/>
      <c r="AFB42" s="1713"/>
      <c r="AFC42" s="1713"/>
      <c r="AFD42" s="1713"/>
      <c r="AFE42" s="1713"/>
      <c r="AFF42" s="1713"/>
      <c r="AFG42" s="1713"/>
      <c r="AFH42" s="1713"/>
      <c r="AFI42" s="1713"/>
      <c r="AFJ42" s="1713"/>
      <c r="AFK42" s="1713"/>
      <c r="AFL42" s="1713"/>
      <c r="AFM42" s="1713"/>
      <c r="AFN42" s="1713"/>
      <c r="AFO42" s="1713"/>
      <c r="AFP42" s="1713"/>
      <c r="AFQ42" s="1713"/>
      <c r="AFR42" s="1713"/>
      <c r="AFS42" s="1713"/>
      <c r="AFT42" s="1713"/>
      <c r="AFU42" s="1713"/>
      <c r="AFV42" s="1713"/>
      <c r="AFW42" s="1713"/>
      <c r="AFX42" s="1713"/>
      <c r="AFY42" s="1713"/>
      <c r="AFZ42" s="1713"/>
      <c r="AGA42" s="1713"/>
      <c r="AGB42" s="1713"/>
      <c r="AGC42" s="1713"/>
      <c r="AGD42" s="1713"/>
      <c r="AGE42" s="1713"/>
      <c r="AGF42" s="1713"/>
      <c r="AGG42" s="1713"/>
      <c r="AGH42" s="1713"/>
      <c r="AGI42" s="1713"/>
      <c r="AGJ42" s="1713"/>
      <c r="AGK42" s="1713"/>
      <c r="AGL42" s="1713"/>
      <c r="AGM42" s="1713"/>
      <c r="AGN42" s="1713"/>
      <c r="AGO42" s="1713"/>
      <c r="AGP42" s="1713"/>
      <c r="AGQ42" s="1713"/>
      <c r="AGR42" s="1713"/>
      <c r="AGS42" s="1713"/>
      <c r="AGT42" s="1713"/>
      <c r="AGU42" s="1713"/>
      <c r="AGV42" s="1713"/>
      <c r="AGW42" s="1713"/>
      <c r="AGX42" s="1713"/>
      <c r="AGY42" s="1713"/>
      <c r="AGZ42" s="1713"/>
      <c r="AHA42" s="1713"/>
      <c r="AHB42" s="1713"/>
      <c r="AHC42" s="1713"/>
      <c r="AHD42" s="1713"/>
      <c r="AHE42" s="1713"/>
      <c r="AHF42" s="1713"/>
      <c r="AHG42" s="1713"/>
      <c r="AHH42" s="1713"/>
      <c r="AHI42" s="1713"/>
      <c r="AHJ42" s="1713"/>
      <c r="AHK42" s="1713"/>
      <c r="AHL42" s="1713"/>
      <c r="AHM42" s="1713"/>
      <c r="AHN42" s="1713"/>
      <c r="AHO42" s="1713"/>
      <c r="AHP42" s="1713"/>
      <c r="AHQ42" s="1713"/>
      <c r="AHR42" s="1713"/>
      <c r="AHS42" s="1713"/>
      <c r="AHT42" s="1713"/>
      <c r="AHU42" s="1713"/>
      <c r="AHV42" s="1713"/>
      <c r="AHW42" s="1713"/>
      <c r="AHX42" s="1713"/>
      <c r="AHY42" s="1713"/>
      <c r="AHZ42" s="1713"/>
      <c r="AIA42" s="1713"/>
      <c r="AIB42" s="1713"/>
      <c r="AIC42" s="1713"/>
      <c r="AID42" s="1713"/>
      <c r="AIE42" s="1713"/>
      <c r="AIF42" s="1713"/>
      <c r="AIG42" s="1713"/>
      <c r="AIH42" s="1713"/>
      <c r="AII42" s="1713"/>
      <c r="AIJ42" s="1713"/>
      <c r="AIK42" s="1713"/>
      <c r="AIL42" s="1713"/>
      <c r="AIM42" s="1713"/>
      <c r="AIN42" s="1713"/>
      <c r="AIO42" s="1713"/>
      <c r="AIP42" s="1713"/>
      <c r="AIQ42" s="1713"/>
      <c r="AIR42" s="1713"/>
      <c r="AIS42" s="1713"/>
      <c r="AIT42" s="1713"/>
      <c r="AIU42" s="1713"/>
      <c r="AIV42" s="1713"/>
      <c r="AIW42" s="1713"/>
      <c r="AIX42" s="1713"/>
      <c r="AIY42" s="1713"/>
      <c r="AIZ42" s="1713"/>
      <c r="AJA42" s="1713"/>
      <c r="AJB42" s="1713"/>
      <c r="AJC42" s="1713"/>
      <c r="AJD42" s="1713"/>
      <c r="AJE42" s="1713"/>
      <c r="AJF42" s="1713"/>
      <c r="AJG42" s="1713"/>
      <c r="AJH42" s="1713"/>
      <c r="AJI42" s="1713"/>
      <c r="AJJ42" s="1713"/>
      <c r="AJK42" s="1713"/>
      <c r="AJL42" s="1713"/>
      <c r="AJM42" s="1713"/>
      <c r="AJN42" s="1713"/>
      <c r="AJO42" s="1713"/>
      <c r="AJP42" s="1713"/>
      <c r="AJQ42" s="1713"/>
      <c r="AJR42" s="1713"/>
      <c r="AJS42" s="1713"/>
      <c r="AJT42" s="1713"/>
      <c r="AJU42" s="1713"/>
      <c r="AJV42" s="1713"/>
      <c r="AJW42" s="1713"/>
      <c r="AJX42" s="1713"/>
      <c r="AJY42" s="1713"/>
      <c r="AJZ42" s="1713"/>
      <c r="AKA42" s="1713"/>
      <c r="AKB42" s="1713"/>
      <c r="AKC42" s="1713"/>
      <c r="AKD42" s="1713"/>
      <c r="AKE42" s="1713"/>
      <c r="AKF42" s="1713"/>
      <c r="AKG42" s="1713"/>
      <c r="AKH42" s="1713"/>
      <c r="AKI42" s="1713"/>
      <c r="AKJ42" s="1713"/>
      <c r="AKK42" s="1713"/>
      <c r="AKL42" s="1713"/>
      <c r="AKM42" s="1713"/>
      <c r="AKN42" s="1713"/>
      <c r="AKO42" s="1713"/>
      <c r="AKP42" s="1713"/>
      <c r="AKQ42" s="1713"/>
      <c r="AKR42" s="1713"/>
      <c r="AKS42" s="1713"/>
      <c r="AKT42" s="1713"/>
      <c r="AKU42" s="1713"/>
      <c r="AKV42" s="1713"/>
      <c r="AKW42" s="1713"/>
      <c r="AKX42" s="1713"/>
      <c r="AKY42" s="1713"/>
      <c r="AKZ42" s="1713"/>
      <c r="ALA42" s="1713"/>
      <c r="ALB42" s="1713"/>
      <c r="ALC42" s="1713"/>
      <c r="ALD42" s="1713"/>
      <c r="ALE42" s="1713"/>
      <c r="ALF42" s="1713"/>
      <c r="ALG42" s="1713"/>
      <c r="ALH42" s="1713"/>
      <c r="ALI42" s="1713"/>
      <c r="ALJ42" s="1713"/>
      <c r="ALK42" s="1713"/>
      <c r="ALL42" s="1713"/>
      <c r="ALM42" s="1713"/>
      <c r="ALN42" s="1713"/>
      <c r="ALO42" s="1713"/>
      <c r="ALP42" s="1713"/>
      <c r="ALQ42" s="1713"/>
      <c r="ALR42" s="1713"/>
      <c r="ALS42" s="1713"/>
      <c r="ALT42" s="1713"/>
      <c r="ALU42" s="1713"/>
      <c r="ALV42" s="1713"/>
      <c r="ALW42" s="1713"/>
      <c r="ALX42" s="1713"/>
      <c r="ALY42" s="1713"/>
      <c r="ALZ42" s="1713"/>
      <c r="AMA42" s="1713"/>
      <c r="AMB42" s="1713"/>
      <c r="AMC42" s="1713"/>
      <c r="AMD42" s="1713"/>
      <c r="AME42" s="1713"/>
      <c r="AMF42" s="1713"/>
      <c r="AMG42" s="1713"/>
      <c r="AMH42" s="1713"/>
      <c r="AMI42" s="1713"/>
      <c r="AMJ42" s="1713"/>
      <c r="AMK42" s="1713"/>
      <c r="AML42" s="1713"/>
      <c r="AMM42" s="1713"/>
      <c r="AMN42" s="1713"/>
      <c r="AMO42" s="1713"/>
      <c r="AMP42" s="1713"/>
      <c r="AMQ42" s="1713"/>
      <c r="AMR42" s="1713"/>
      <c r="AMS42" s="1713"/>
      <c r="AMT42" s="1713"/>
      <c r="AMU42" s="1713"/>
      <c r="AMV42" s="1713"/>
      <c r="AMW42" s="1713"/>
      <c r="AMX42" s="1713"/>
      <c r="AMY42" s="1713"/>
      <c r="AMZ42" s="1713"/>
      <c r="ANA42" s="1713"/>
      <c r="ANB42" s="1713"/>
      <c r="ANC42" s="1713"/>
      <c r="AND42" s="1713"/>
      <c r="ANE42" s="1713"/>
      <c r="ANF42" s="1713"/>
      <c r="ANG42" s="1713"/>
      <c r="ANH42" s="1713"/>
      <c r="ANI42" s="1713"/>
      <c r="ANJ42" s="1713"/>
      <c r="ANK42" s="1713"/>
      <c r="ANL42" s="1713"/>
      <c r="ANM42" s="1713"/>
      <c r="ANN42" s="1713"/>
      <c r="ANO42" s="1713"/>
      <c r="ANP42" s="1713"/>
      <c r="ANQ42" s="1713"/>
      <c r="ANR42" s="1713"/>
      <c r="ANS42" s="1713"/>
      <c r="ANT42" s="1713"/>
      <c r="ANU42" s="1713"/>
      <c r="ANV42" s="1713"/>
      <c r="ANW42" s="1713"/>
      <c r="ANX42" s="1713"/>
      <c r="ANY42" s="1713"/>
      <c r="ANZ42" s="1713"/>
      <c r="AOA42" s="1713"/>
      <c r="AOB42" s="1713"/>
      <c r="AOC42" s="1713"/>
      <c r="AOD42" s="1713"/>
      <c r="AOE42" s="1713"/>
      <c r="AOF42" s="1713"/>
      <c r="AOG42" s="1713"/>
      <c r="AOH42" s="1713"/>
      <c r="AOI42" s="1713"/>
      <c r="AOJ42" s="1713"/>
      <c r="AOK42" s="1713"/>
      <c r="AOL42" s="1713"/>
      <c r="AOM42" s="1713"/>
      <c r="AON42" s="1713"/>
      <c r="AOO42" s="1713"/>
      <c r="AOP42" s="1713"/>
      <c r="AOQ42" s="1713"/>
      <c r="AOR42" s="1713"/>
      <c r="AOS42" s="1713"/>
      <c r="AOT42" s="1713"/>
      <c r="AOU42" s="1713"/>
      <c r="AOV42" s="1713"/>
      <c r="AOW42" s="1713"/>
      <c r="AOX42" s="1713"/>
      <c r="AOY42" s="1713"/>
      <c r="AOZ42" s="1713"/>
      <c r="APA42" s="1713"/>
      <c r="APB42" s="1713"/>
      <c r="APC42" s="1713"/>
      <c r="APD42" s="1713"/>
      <c r="APE42" s="1713"/>
      <c r="APF42" s="1713"/>
      <c r="APG42" s="1713"/>
      <c r="APH42" s="1713"/>
      <c r="API42" s="1713"/>
      <c r="APJ42" s="1713"/>
      <c r="APK42" s="1713"/>
      <c r="APL42" s="1713"/>
      <c r="APM42" s="1713"/>
      <c r="APN42" s="1713"/>
      <c r="APO42" s="1713"/>
      <c r="APP42" s="1713"/>
      <c r="APQ42" s="1713"/>
      <c r="APR42" s="1713"/>
      <c r="APS42" s="1713"/>
      <c r="APT42" s="1713"/>
      <c r="APU42" s="1713"/>
      <c r="APV42" s="1713"/>
      <c r="APW42" s="1713"/>
      <c r="APX42" s="1713"/>
      <c r="APY42" s="1713"/>
      <c r="APZ42" s="1713"/>
      <c r="AQA42" s="1713"/>
      <c r="AQB42" s="1713"/>
      <c r="AQC42" s="1713"/>
      <c r="AQD42" s="1713"/>
      <c r="AQE42" s="1713"/>
      <c r="AQF42" s="1713"/>
      <c r="AQG42" s="1713"/>
      <c r="AQH42" s="1713"/>
      <c r="AQI42" s="1713"/>
      <c r="AQJ42" s="1713"/>
      <c r="AQK42" s="1713"/>
      <c r="AQL42" s="1713"/>
      <c r="AQM42" s="1713"/>
      <c r="AQN42" s="1713"/>
      <c r="AQO42" s="1713"/>
      <c r="AQP42" s="1713"/>
      <c r="AQQ42" s="1713"/>
      <c r="AQR42" s="1713"/>
      <c r="AQS42" s="1713"/>
      <c r="AQT42" s="1713"/>
      <c r="AQU42" s="1713"/>
      <c r="AQV42" s="1713"/>
      <c r="AQW42" s="1713"/>
      <c r="AQX42" s="1713"/>
      <c r="AQY42" s="1713"/>
      <c r="AQZ42" s="1713"/>
      <c r="ARA42" s="1713"/>
      <c r="ARB42" s="1713"/>
      <c r="ARC42" s="1713"/>
      <c r="ARD42" s="1713"/>
      <c r="ARE42" s="1713"/>
      <c r="ARF42" s="1713"/>
      <c r="ARG42" s="1713"/>
      <c r="ARH42" s="1713"/>
      <c r="ARI42" s="1713"/>
      <c r="ARJ42" s="1713"/>
      <c r="ARK42" s="1713"/>
      <c r="ARL42" s="1713"/>
      <c r="ARM42" s="1713"/>
      <c r="ARN42" s="1713"/>
      <c r="ARO42" s="1713"/>
      <c r="ARP42" s="1713"/>
      <c r="ARQ42" s="1713"/>
      <c r="ARR42" s="1713"/>
      <c r="ARS42" s="1713"/>
      <c r="ART42" s="1713"/>
      <c r="ARU42" s="1713"/>
      <c r="ARV42" s="1713"/>
      <c r="ARW42" s="1713"/>
      <c r="ARX42" s="1713"/>
      <c r="ARY42" s="1713"/>
      <c r="ARZ42" s="1713"/>
      <c r="ASA42" s="1713"/>
      <c r="ASB42" s="1713"/>
      <c r="ASC42" s="1713"/>
      <c r="ASD42" s="1713"/>
      <c r="ASE42" s="1713"/>
      <c r="ASF42" s="1713"/>
      <c r="ASG42" s="1713"/>
      <c r="ASH42" s="1713"/>
      <c r="ASI42" s="1713"/>
      <c r="ASJ42" s="1713"/>
      <c r="ASK42" s="1713"/>
      <c r="ASL42" s="1713"/>
      <c r="ASM42" s="1713"/>
      <c r="ASN42" s="1713"/>
      <c r="ASO42" s="1713"/>
      <c r="ASP42" s="1713"/>
      <c r="ASQ42" s="1713"/>
      <c r="ASR42" s="1713"/>
      <c r="ASS42" s="1713"/>
      <c r="AST42" s="1713"/>
      <c r="ASU42" s="1713"/>
      <c r="ASV42" s="1713"/>
      <c r="ASW42" s="1713"/>
      <c r="ASX42" s="1713"/>
      <c r="ASY42" s="1713"/>
      <c r="ASZ42" s="1713"/>
      <c r="ATA42" s="1713"/>
      <c r="ATB42" s="1713"/>
      <c r="ATC42" s="1713"/>
      <c r="ATD42" s="1713"/>
      <c r="ATE42" s="1713"/>
      <c r="ATF42" s="1713"/>
      <c r="ATG42" s="1713"/>
      <c r="ATH42" s="1713"/>
      <c r="ATI42" s="1713"/>
      <c r="ATJ42" s="1713"/>
      <c r="ATK42" s="1713"/>
      <c r="ATL42" s="1713"/>
      <c r="ATM42" s="1713"/>
      <c r="ATN42" s="1713"/>
      <c r="ATO42" s="1713"/>
      <c r="ATP42" s="1713"/>
      <c r="ATQ42" s="1713"/>
      <c r="ATR42" s="1713"/>
      <c r="ATS42" s="1713"/>
      <c r="ATT42" s="1713"/>
      <c r="ATU42" s="1713"/>
      <c r="ATV42" s="1713"/>
      <c r="ATW42" s="1713"/>
      <c r="ATX42" s="1713"/>
      <c r="ATY42" s="1713"/>
      <c r="ATZ42" s="1713"/>
      <c r="AUA42" s="1713"/>
      <c r="AUB42" s="1713"/>
      <c r="AUC42" s="1713"/>
      <c r="AUD42" s="1713"/>
      <c r="AUE42" s="1713"/>
      <c r="AUF42" s="1713"/>
      <c r="AUG42" s="1713"/>
      <c r="AUH42" s="1713"/>
      <c r="AUI42" s="1713"/>
      <c r="AUJ42" s="1713"/>
      <c r="AUK42" s="1713"/>
      <c r="AUL42" s="1713"/>
      <c r="AUM42" s="1713"/>
      <c r="AUN42" s="1713"/>
      <c r="AUO42" s="1713"/>
      <c r="AUP42" s="1713"/>
      <c r="AUQ42" s="1713"/>
      <c r="AUR42" s="1713"/>
      <c r="AUS42" s="1713"/>
      <c r="AUT42" s="1713"/>
      <c r="AUU42" s="1713"/>
      <c r="AUV42" s="1713"/>
      <c r="AUW42" s="1713"/>
      <c r="AUX42" s="1713"/>
      <c r="AUY42" s="1713"/>
      <c r="AUZ42" s="1713"/>
      <c r="AVA42" s="1713"/>
      <c r="AVB42" s="1713"/>
      <c r="AVC42" s="1713"/>
      <c r="AVD42" s="1713"/>
      <c r="AVE42" s="1713"/>
      <c r="AVF42" s="1713"/>
      <c r="AVG42" s="1713"/>
      <c r="AVH42" s="1713"/>
      <c r="AVI42" s="1713"/>
      <c r="AVJ42" s="1713"/>
      <c r="AVK42" s="1713"/>
      <c r="AVL42" s="1713"/>
      <c r="AVM42" s="1713"/>
      <c r="AVN42" s="1713"/>
      <c r="AVO42" s="1713"/>
      <c r="AVP42" s="1713"/>
      <c r="AVQ42" s="1713"/>
      <c r="AVR42" s="1713"/>
      <c r="AVS42" s="1713"/>
      <c r="AVT42" s="1713"/>
      <c r="AVU42" s="1713"/>
      <c r="AVV42" s="1713"/>
      <c r="AVW42" s="1713"/>
      <c r="AVX42" s="1713"/>
      <c r="AVY42" s="1713"/>
      <c r="AVZ42" s="1713"/>
      <c r="AWA42" s="1713"/>
      <c r="AWB42" s="1713"/>
      <c r="AWC42" s="1713"/>
      <c r="AWD42" s="1713"/>
      <c r="AWE42" s="1713"/>
      <c r="AWF42" s="1713"/>
      <c r="AWG42" s="1713"/>
      <c r="AWH42" s="1713"/>
      <c r="AWI42" s="1713"/>
      <c r="AWJ42" s="1713"/>
      <c r="AWK42" s="1713"/>
      <c r="AWL42" s="1713"/>
      <c r="AWM42" s="1713"/>
      <c r="AWN42" s="1713"/>
      <c r="AWO42" s="1713"/>
      <c r="AWP42" s="1713"/>
      <c r="AWQ42" s="1713"/>
      <c r="AWR42" s="1713"/>
      <c r="AWS42" s="1713"/>
      <c r="AWT42" s="1713"/>
      <c r="AWU42" s="1713"/>
      <c r="AWV42" s="1713"/>
      <c r="AWW42" s="1713"/>
      <c r="AWX42" s="1713"/>
      <c r="AWY42" s="1713"/>
      <c r="AWZ42" s="1713"/>
      <c r="AXA42" s="1713"/>
      <c r="AXB42" s="1713"/>
      <c r="AXC42" s="1713"/>
      <c r="AXD42" s="1713"/>
      <c r="AXE42" s="1713"/>
      <c r="AXF42" s="1713"/>
      <c r="AXG42" s="1713"/>
      <c r="AXH42" s="1713"/>
      <c r="AXI42" s="1713"/>
      <c r="AXJ42" s="1713"/>
      <c r="AXK42" s="1713"/>
      <c r="AXL42" s="1713"/>
      <c r="AXM42" s="1713"/>
      <c r="AXN42" s="1713"/>
      <c r="AXO42" s="1713"/>
      <c r="AXP42" s="1713"/>
      <c r="AXQ42" s="1713"/>
      <c r="AXR42" s="1713"/>
      <c r="AXS42" s="1713"/>
      <c r="AXT42" s="1713"/>
      <c r="AXU42" s="1713"/>
      <c r="AXV42" s="1713"/>
      <c r="AXW42" s="1713"/>
      <c r="AXX42" s="1713"/>
      <c r="AXY42" s="1713"/>
      <c r="AXZ42" s="1713"/>
      <c r="AYA42" s="1713"/>
      <c r="AYB42" s="1713"/>
      <c r="AYC42" s="1713"/>
      <c r="AYD42" s="1713"/>
      <c r="AYE42" s="1713"/>
      <c r="AYF42" s="1713"/>
      <c r="AYG42" s="1713"/>
      <c r="AYH42" s="1713"/>
      <c r="AYI42" s="1713"/>
      <c r="AYJ42" s="1713"/>
      <c r="AYK42" s="1713"/>
      <c r="AYL42" s="1713"/>
      <c r="AYM42" s="1713"/>
      <c r="AYN42" s="1713"/>
      <c r="AYO42" s="1713"/>
      <c r="AYP42" s="1713"/>
      <c r="AYQ42" s="1713"/>
      <c r="AYR42" s="1713"/>
      <c r="AYS42" s="1713"/>
      <c r="AYT42" s="1713"/>
      <c r="AYU42" s="1713"/>
      <c r="AYV42" s="1713"/>
      <c r="AYW42" s="1713"/>
      <c r="AYX42" s="1713"/>
      <c r="AYY42" s="1713"/>
      <c r="AYZ42" s="1713"/>
      <c r="AZA42" s="1713"/>
      <c r="AZB42" s="1713"/>
      <c r="AZC42" s="1713"/>
      <c r="AZD42" s="1713"/>
      <c r="AZE42" s="1713"/>
      <c r="AZF42" s="1713"/>
      <c r="AZG42" s="1713"/>
      <c r="AZH42" s="1713"/>
      <c r="AZI42" s="1713"/>
      <c r="AZJ42" s="1713"/>
      <c r="AZK42" s="1713"/>
      <c r="AZL42" s="1713"/>
      <c r="AZM42" s="1713"/>
      <c r="AZN42" s="1713"/>
      <c r="AZO42" s="1713"/>
      <c r="AZP42" s="1713"/>
      <c r="AZQ42" s="1713"/>
      <c r="AZR42" s="1713"/>
      <c r="AZS42" s="1713"/>
      <c r="AZT42" s="1713"/>
      <c r="AZU42" s="1713"/>
      <c r="AZV42" s="1713"/>
      <c r="AZW42" s="1713"/>
      <c r="AZX42" s="1713"/>
    </row>
    <row r="43" spans="1:1376" ht="99.75" customHeight="1" x14ac:dyDescent="0.2">
      <c r="A43" s="3541"/>
      <c r="B43" s="3542"/>
      <c r="C43" s="3494"/>
      <c r="D43" s="3489"/>
      <c r="E43" s="3490"/>
      <c r="F43" s="3491"/>
      <c r="G43" s="124"/>
      <c r="H43" s="124"/>
      <c r="I43" s="124"/>
      <c r="J43" s="1969">
        <v>50</v>
      </c>
      <c r="K43" s="2015" t="s">
        <v>907</v>
      </c>
      <c r="L43" s="2015" t="s">
        <v>908</v>
      </c>
      <c r="M43" s="1986">
        <v>3</v>
      </c>
      <c r="N43" s="3059" t="s">
        <v>909</v>
      </c>
      <c r="O43" s="3059" t="s">
        <v>910</v>
      </c>
      <c r="P43" s="3479" t="s">
        <v>911</v>
      </c>
      <c r="Q43" s="2017">
        <f>(V43)/R43</f>
        <v>0.80006709158000666</v>
      </c>
      <c r="R43" s="3483">
        <f>SUM(V43:V44)</f>
        <v>149050000</v>
      </c>
      <c r="S43" s="3479" t="s">
        <v>912</v>
      </c>
      <c r="T43" s="3492" t="s">
        <v>913</v>
      </c>
      <c r="U43" s="2024" t="s">
        <v>914</v>
      </c>
      <c r="V43" s="2640">
        <v>119250000</v>
      </c>
      <c r="W43" s="2012">
        <v>20</v>
      </c>
      <c r="X43" s="2028" t="s">
        <v>846</v>
      </c>
      <c r="Y43" s="3150">
        <v>294321</v>
      </c>
      <c r="Z43" s="3150">
        <v>283947</v>
      </c>
      <c r="AA43" s="3150">
        <v>135754</v>
      </c>
      <c r="AB43" s="3150">
        <v>44640</v>
      </c>
      <c r="AC43" s="3150">
        <v>308178</v>
      </c>
      <c r="AD43" s="3108">
        <v>89696</v>
      </c>
      <c r="AE43" s="3493"/>
      <c r="AF43" s="2031"/>
      <c r="AG43" s="2031"/>
      <c r="AH43" s="2031"/>
      <c r="AI43" s="2031"/>
      <c r="AJ43" s="2031"/>
      <c r="AK43" s="2031"/>
      <c r="AL43" s="2031"/>
      <c r="AM43" s="482"/>
      <c r="AN43" s="3150">
        <f>+Y43+Z43</f>
        <v>578268</v>
      </c>
      <c r="AO43" s="3471">
        <v>43467</v>
      </c>
      <c r="AP43" s="3473">
        <v>43830</v>
      </c>
      <c r="AQ43" s="3475" t="s">
        <v>847</v>
      </c>
    </row>
    <row r="44" spans="1:1376" ht="58.5" customHeight="1" x14ac:dyDescent="0.2">
      <c r="A44" s="3541"/>
      <c r="B44" s="3542"/>
      <c r="C44" s="3494"/>
      <c r="D44" s="3489"/>
      <c r="E44" s="3490"/>
      <c r="F44" s="3491"/>
      <c r="G44" s="124"/>
      <c r="H44" s="124"/>
      <c r="I44" s="124"/>
      <c r="J44" s="1967">
        <v>51</v>
      </c>
      <c r="K44" s="2014" t="s">
        <v>915</v>
      </c>
      <c r="L44" s="2014" t="s">
        <v>916</v>
      </c>
      <c r="M44" s="1985">
        <v>1</v>
      </c>
      <c r="N44" s="3060"/>
      <c r="O44" s="3060"/>
      <c r="P44" s="3480"/>
      <c r="Q44" s="2016">
        <f>(V44)/R43</f>
        <v>0.19993290841999328</v>
      </c>
      <c r="R44" s="3483"/>
      <c r="S44" s="3480"/>
      <c r="T44" s="3477"/>
      <c r="U44" s="2027" t="s">
        <v>917</v>
      </c>
      <c r="V44" s="2640">
        <v>29800000</v>
      </c>
      <c r="W44" s="2011">
        <v>20</v>
      </c>
      <c r="X44" s="1889" t="s">
        <v>846</v>
      </c>
      <c r="Y44" s="3150"/>
      <c r="Z44" s="3150"/>
      <c r="AA44" s="3150"/>
      <c r="AB44" s="3150"/>
      <c r="AC44" s="3150"/>
      <c r="AD44" s="3108"/>
      <c r="AE44" s="3494"/>
      <c r="AF44" s="2031"/>
      <c r="AG44" s="2031"/>
      <c r="AH44" s="2031"/>
      <c r="AI44" s="2031"/>
      <c r="AJ44" s="2031"/>
      <c r="AK44" s="2031"/>
      <c r="AL44" s="2031"/>
      <c r="AM44" s="482"/>
      <c r="AN44" s="3150"/>
      <c r="AO44" s="3472"/>
      <c r="AP44" s="3474"/>
      <c r="AQ44" s="3477"/>
    </row>
    <row r="45" spans="1:1376" ht="23.25" customHeight="1" x14ac:dyDescent="0.2">
      <c r="A45" s="3541"/>
      <c r="B45" s="3542"/>
      <c r="C45" s="3494"/>
      <c r="D45" s="3489"/>
      <c r="E45" s="3490"/>
      <c r="F45" s="3491"/>
      <c r="G45" s="409">
        <v>12</v>
      </c>
      <c r="H45" s="410" t="s">
        <v>918</v>
      </c>
      <c r="I45" s="410"/>
      <c r="J45" s="162"/>
      <c r="K45" s="157"/>
      <c r="L45" s="157"/>
      <c r="M45" s="162"/>
      <c r="N45" s="210"/>
      <c r="O45" s="172"/>
      <c r="P45" s="157"/>
      <c r="Q45" s="411"/>
      <c r="R45" s="411"/>
      <c r="S45" s="157"/>
      <c r="T45" s="157"/>
      <c r="U45" s="157"/>
      <c r="V45" s="2641"/>
      <c r="W45" s="157"/>
      <c r="X45" s="158"/>
      <c r="Y45" s="447"/>
      <c r="Z45" s="447"/>
      <c r="AA45" s="447"/>
      <c r="AB45" s="410"/>
      <c r="AC45" s="410"/>
      <c r="AD45" s="410"/>
      <c r="AE45" s="162"/>
      <c r="AF45" s="162"/>
      <c r="AG45" s="162"/>
      <c r="AH45" s="162"/>
      <c r="AI45" s="162"/>
      <c r="AJ45" s="162"/>
      <c r="AK45" s="162"/>
      <c r="AL45" s="162"/>
      <c r="AM45" s="162"/>
      <c r="AN45" s="162"/>
      <c r="AO45" s="413"/>
      <c r="AP45" s="413"/>
      <c r="AQ45" s="177"/>
    </row>
    <row r="46" spans="1:1376" ht="57" customHeight="1" x14ac:dyDescent="0.2">
      <c r="A46" s="3541"/>
      <c r="B46" s="3542"/>
      <c r="C46" s="3494"/>
      <c r="D46" s="3489"/>
      <c r="E46" s="3490"/>
      <c r="F46" s="3491"/>
      <c r="G46" s="3487"/>
      <c r="H46" s="3487"/>
      <c r="I46" s="3488"/>
      <c r="J46" s="2795">
        <v>52</v>
      </c>
      <c r="K46" s="3479" t="s">
        <v>919</v>
      </c>
      <c r="L46" s="3479" t="s">
        <v>920</v>
      </c>
      <c r="M46" s="3495">
        <v>3</v>
      </c>
      <c r="N46" s="415"/>
      <c r="O46" s="3497" t="s">
        <v>921</v>
      </c>
      <c r="P46" s="3479" t="s">
        <v>922</v>
      </c>
      <c r="Q46" s="3481">
        <f>(V46+V47+V48+V49+V50+V51)/R46</f>
        <v>1</v>
      </c>
      <c r="R46" s="3483">
        <f>SUM(V46:V51)</f>
        <v>119240000</v>
      </c>
      <c r="S46" s="3479" t="s">
        <v>923</v>
      </c>
      <c r="T46" s="3492" t="s">
        <v>924</v>
      </c>
      <c r="U46" s="2027" t="s">
        <v>925</v>
      </c>
      <c r="V46" s="2640">
        <f>25000000+21050000</f>
        <v>46050000</v>
      </c>
      <c r="W46" s="1699">
        <v>20</v>
      </c>
      <c r="X46" s="2026" t="s">
        <v>846</v>
      </c>
      <c r="Y46" s="3150">
        <v>294321</v>
      </c>
      <c r="Z46" s="3150">
        <v>283947</v>
      </c>
      <c r="AA46" s="3150">
        <v>135754</v>
      </c>
      <c r="AB46" s="3150">
        <v>44640</v>
      </c>
      <c r="AC46" s="3150">
        <v>308178</v>
      </c>
      <c r="AD46" s="3108">
        <v>89696</v>
      </c>
      <c r="AE46" s="3468"/>
      <c r="AF46" s="2048"/>
      <c r="AG46" s="2048"/>
      <c r="AH46" s="2048"/>
      <c r="AI46" s="2048"/>
      <c r="AJ46" s="2048"/>
      <c r="AK46" s="2048"/>
      <c r="AL46" s="2048"/>
      <c r="AM46" s="1897"/>
      <c r="AN46" s="3150">
        <f>+Y46+Z46</f>
        <v>578268</v>
      </c>
      <c r="AO46" s="3471">
        <v>43467</v>
      </c>
      <c r="AP46" s="3473">
        <v>43830</v>
      </c>
      <c r="AQ46" s="3475" t="s">
        <v>847</v>
      </c>
    </row>
    <row r="47" spans="1:1376" ht="57" customHeight="1" x14ac:dyDescent="0.2">
      <c r="A47" s="3541"/>
      <c r="B47" s="3542"/>
      <c r="C47" s="3494"/>
      <c r="D47" s="3489"/>
      <c r="E47" s="3490"/>
      <c r="F47" s="3491"/>
      <c r="G47" s="3490"/>
      <c r="H47" s="3490"/>
      <c r="I47" s="3491"/>
      <c r="J47" s="2914"/>
      <c r="K47" s="3480"/>
      <c r="L47" s="3480"/>
      <c r="M47" s="3496"/>
      <c r="N47" s="1986"/>
      <c r="O47" s="3498"/>
      <c r="P47" s="3480"/>
      <c r="Q47" s="3482"/>
      <c r="R47" s="3483"/>
      <c r="S47" s="3480"/>
      <c r="T47" s="3477"/>
      <c r="U47" s="2027" t="s">
        <v>926</v>
      </c>
      <c r="V47" s="2640">
        <f>25000000-11855000</f>
        <v>13145000</v>
      </c>
      <c r="W47" s="1699">
        <v>20</v>
      </c>
      <c r="X47" s="2026" t="s">
        <v>846</v>
      </c>
      <c r="Y47" s="3150"/>
      <c r="Z47" s="3150"/>
      <c r="AA47" s="3150"/>
      <c r="AB47" s="3150"/>
      <c r="AC47" s="3150"/>
      <c r="AD47" s="3108"/>
      <c r="AE47" s="3469"/>
      <c r="AF47" s="2049"/>
      <c r="AG47" s="2049"/>
      <c r="AH47" s="2049"/>
      <c r="AI47" s="2049"/>
      <c r="AJ47" s="2049"/>
      <c r="AK47" s="2049"/>
      <c r="AL47" s="2049"/>
      <c r="AM47" s="1898"/>
      <c r="AN47" s="3150"/>
      <c r="AO47" s="3472"/>
      <c r="AP47" s="3474"/>
      <c r="AQ47" s="3477"/>
    </row>
    <row r="48" spans="1:1376" ht="57" customHeight="1" x14ac:dyDescent="0.2">
      <c r="A48" s="3541"/>
      <c r="B48" s="3542"/>
      <c r="C48" s="3494"/>
      <c r="D48" s="3489"/>
      <c r="E48" s="3490"/>
      <c r="F48" s="3491"/>
      <c r="G48" s="3490"/>
      <c r="H48" s="3490"/>
      <c r="I48" s="3491"/>
      <c r="J48" s="2914"/>
      <c r="K48" s="3480"/>
      <c r="L48" s="3480"/>
      <c r="M48" s="3496"/>
      <c r="N48" s="1986" t="s">
        <v>927</v>
      </c>
      <c r="O48" s="3498"/>
      <c r="P48" s="3480"/>
      <c r="Q48" s="3482"/>
      <c r="R48" s="3483"/>
      <c r="S48" s="3480"/>
      <c r="T48" s="3477"/>
      <c r="U48" s="2027" t="s">
        <v>928</v>
      </c>
      <c r="V48" s="2640">
        <v>30000000</v>
      </c>
      <c r="W48" s="1699">
        <v>20</v>
      </c>
      <c r="X48" s="2026" t="s">
        <v>846</v>
      </c>
      <c r="Y48" s="3150"/>
      <c r="Z48" s="3150"/>
      <c r="AA48" s="3150"/>
      <c r="AB48" s="3150"/>
      <c r="AC48" s="3150"/>
      <c r="AD48" s="3108"/>
      <c r="AE48" s="3469"/>
      <c r="AF48" s="2049"/>
      <c r="AG48" s="2049"/>
      <c r="AH48" s="2049"/>
      <c r="AI48" s="2049"/>
      <c r="AJ48" s="2049"/>
      <c r="AK48" s="2049"/>
      <c r="AL48" s="2049"/>
      <c r="AM48" s="1898"/>
      <c r="AN48" s="3150"/>
      <c r="AO48" s="3472"/>
      <c r="AP48" s="3474"/>
      <c r="AQ48" s="3477"/>
    </row>
    <row r="49" spans="1:1376" ht="57" customHeight="1" x14ac:dyDescent="0.2">
      <c r="A49" s="3541"/>
      <c r="B49" s="3542"/>
      <c r="C49" s="3494"/>
      <c r="D49" s="3489"/>
      <c r="E49" s="3490"/>
      <c r="F49" s="3491"/>
      <c r="G49" s="3490"/>
      <c r="H49" s="3490"/>
      <c r="I49" s="3491"/>
      <c r="J49" s="2914"/>
      <c r="K49" s="3480"/>
      <c r="L49" s="3480"/>
      <c r="M49" s="3496"/>
      <c r="N49" s="1986"/>
      <c r="O49" s="3498"/>
      <c r="P49" s="3480"/>
      <c r="Q49" s="3482"/>
      <c r="R49" s="3483"/>
      <c r="S49" s="3480"/>
      <c r="T49" s="3477"/>
      <c r="U49" s="2027" t="s">
        <v>929</v>
      </c>
      <c r="V49" s="2640">
        <f>12000000-5500000</f>
        <v>6500000</v>
      </c>
      <c r="W49" s="1699">
        <v>20</v>
      </c>
      <c r="X49" s="2026" t="s">
        <v>846</v>
      </c>
      <c r="Y49" s="3150"/>
      <c r="Z49" s="3150"/>
      <c r="AA49" s="3150"/>
      <c r="AB49" s="3150"/>
      <c r="AC49" s="3150"/>
      <c r="AD49" s="3108"/>
      <c r="AE49" s="3469"/>
      <c r="AF49" s="2049"/>
      <c r="AG49" s="2049"/>
      <c r="AH49" s="2049"/>
      <c r="AI49" s="2049"/>
      <c r="AJ49" s="2049"/>
      <c r="AK49" s="2049"/>
      <c r="AL49" s="2049"/>
      <c r="AM49" s="1898"/>
      <c r="AN49" s="3150"/>
      <c r="AO49" s="3472"/>
      <c r="AP49" s="3474"/>
      <c r="AQ49" s="3477"/>
    </row>
    <row r="50" spans="1:1376" ht="57" customHeight="1" x14ac:dyDescent="0.2">
      <c r="A50" s="3541"/>
      <c r="B50" s="3542"/>
      <c r="C50" s="3494"/>
      <c r="D50" s="3489"/>
      <c r="E50" s="3490"/>
      <c r="F50" s="3491"/>
      <c r="G50" s="3490"/>
      <c r="H50" s="3490"/>
      <c r="I50" s="3491"/>
      <c r="J50" s="2914"/>
      <c r="K50" s="3480"/>
      <c r="L50" s="3480"/>
      <c r="M50" s="3496"/>
      <c r="N50" s="1986"/>
      <c r="O50" s="3498"/>
      <c r="P50" s="3480"/>
      <c r="Q50" s="3482"/>
      <c r="R50" s="3483"/>
      <c r="S50" s="3480"/>
      <c r="T50" s="3477"/>
      <c r="U50" s="2027" t="s">
        <v>930</v>
      </c>
      <c r="V50" s="2640">
        <v>4740000</v>
      </c>
      <c r="W50" s="1699">
        <v>20</v>
      </c>
      <c r="X50" s="2026" t="s">
        <v>846</v>
      </c>
      <c r="Y50" s="3150"/>
      <c r="Z50" s="3150"/>
      <c r="AA50" s="3150"/>
      <c r="AB50" s="3150"/>
      <c r="AC50" s="3150"/>
      <c r="AD50" s="3108"/>
      <c r="AE50" s="3469"/>
      <c r="AF50" s="2049"/>
      <c r="AG50" s="2049"/>
      <c r="AH50" s="2049"/>
      <c r="AI50" s="2049"/>
      <c r="AJ50" s="2049"/>
      <c r="AK50" s="2049"/>
      <c r="AL50" s="2049"/>
      <c r="AM50" s="1898"/>
      <c r="AN50" s="3150"/>
      <c r="AO50" s="3472"/>
      <c r="AP50" s="3474"/>
      <c r="AQ50" s="3477"/>
    </row>
    <row r="51" spans="1:1376" ht="57" customHeight="1" x14ac:dyDescent="0.2">
      <c r="A51" s="3541"/>
      <c r="B51" s="3542"/>
      <c r="C51" s="3494"/>
      <c r="D51" s="3489"/>
      <c r="E51" s="3490"/>
      <c r="F51" s="3491"/>
      <c r="G51" s="3490"/>
      <c r="H51" s="3490"/>
      <c r="I51" s="3491"/>
      <c r="J51" s="2914"/>
      <c r="K51" s="3480"/>
      <c r="L51" s="3480"/>
      <c r="M51" s="3496"/>
      <c r="N51" s="1986"/>
      <c r="O51" s="3498"/>
      <c r="P51" s="3480"/>
      <c r="Q51" s="3482"/>
      <c r="R51" s="3483"/>
      <c r="S51" s="3480"/>
      <c r="T51" s="3477"/>
      <c r="U51" s="2027" t="s">
        <v>931</v>
      </c>
      <c r="V51" s="2640">
        <f>22500000-3695000</f>
        <v>18805000</v>
      </c>
      <c r="W51" s="1700">
        <v>20</v>
      </c>
      <c r="X51" s="2415" t="s">
        <v>846</v>
      </c>
      <c r="Y51" s="3150"/>
      <c r="Z51" s="3150"/>
      <c r="AA51" s="3150"/>
      <c r="AB51" s="3150"/>
      <c r="AC51" s="3150"/>
      <c r="AD51" s="3108"/>
      <c r="AE51" s="3469"/>
      <c r="AF51" s="2049"/>
      <c r="AG51" s="2049"/>
      <c r="AH51" s="2049"/>
      <c r="AI51" s="2049"/>
      <c r="AJ51" s="2049"/>
      <c r="AK51" s="2049"/>
      <c r="AL51" s="2049"/>
      <c r="AM51" s="1898"/>
      <c r="AN51" s="3150"/>
      <c r="AO51" s="3472"/>
      <c r="AP51" s="3474"/>
      <c r="AQ51" s="3477"/>
    </row>
    <row r="52" spans="1:1376" s="1115" customFormat="1" ht="18" customHeight="1" x14ac:dyDescent="0.2">
      <c r="A52" s="3541"/>
      <c r="B52" s="3542"/>
      <c r="C52" s="3494"/>
      <c r="D52" s="3489"/>
      <c r="E52" s="3490"/>
      <c r="F52" s="3491"/>
      <c r="G52" s="1675">
        <v>13</v>
      </c>
      <c r="H52" s="1676" t="s">
        <v>932</v>
      </c>
      <c r="I52" s="1676"/>
      <c r="J52" s="1676"/>
      <c r="K52" s="1127"/>
      <c r="L52" s="1127"/>
      <c r="M52" s="1676"/>
      <c r="N52" s="1390"/>
      <c r="O52" s="1677"/>
      <c r="P52" s="1127"/>
      <c r="Q52" s="1678"/>
      <c r="R52" s="1678"/>
      <c r="S52" s="1127"/>
      <c r="T52" s="1127"/>
      <c r="U52" s="1698"/>
      <c r="V52" s="2639"/>
      <c r="W52" s="1698"/>
      <c r="X52" s="2413"/>
      <c r="Y52" s="447"/>
      <c r="Z52" s="447"/>
      <c r="AA52" s="410"/>
      <c r="AB52" s="410"/>
      <c r="AC52" s="410"/>
      <c r="AD52" s="410"/>
      <c r="AE52" s="1891"/>
      <c r="AF52" s="1676"/>
      <c r="AG52" s="1676"/>
      <c r="AH52" s="1676"/>
      <c r="AI52" s="1676"/>
      <c r="AJ52" s="1676"/>
      <c r="AK52" s="1676"/>
      <c r="AL52" s="1676"/>
      <c r="AM52" s="1896"/>
      <c r="AN52" s="1896"/>
      <c r="AO52" s="1900"/>
      <c r="AP52" s="1679"/>
      <c r="AQ52" s="2414"/>
      <c r="AR52" s="1713"/>
      <c r="AS52" s="1713"/>
      <c r="AT52" s="1713"/>
      <c r="AU52" s="1713"/>
      <c r="AV52" s="1713"/>
      <c r="AW52" s="1713"/>
      <c r="AX52" s="1713"/>
      <c r="AY52" s="1713"/>
      <c r="AZ52" s="1713"/>
      <c r="BA52" s="1713"/>
      <c r="BB52" s="1713"/>
      <c r="BC52" s="1713"/>
      <c r="BD52" s="1713"/>
      <c r="BE52" s="1713"/>
      <c r="BF52" s="1713"/>
      <c r="BG52" s="1713"/>
      <c r="BH52" s="1713"/>
      <c r="BI52" s="1713"/>
      <c r="BJ52" s="1713"/>
      <c r="BK52" s="1713"/>
      <c r="BL52" s="1713"/>
      <c r="BM52" s="1713"/>
      <c r="BN52" s="1713"/>
      <c r="BO52" s="1713"/>
      <c r="BP52" s="1713"/>
      <c r="BQ52" s="1713"/>
      <c r="BR52" s="1713"/>
      <c r="BS52" s="1713"/>
      <c r="BT52" s="1713"/>
      <c r="BU52" s="1713"/>
      <c r="BV52" s="1713"/>
      <c r="BW52" s="1713"/>
      <c r="BX52" s="1713"/>
      <c r="BY52" s="1713"/>
      <c r="BZ52" s="1713"/>
      <c r="CA52" s="1713"/>
      <c r="CB52" s="1713"/>
      <c r="CC52" s="1713"/>
      <c r="CD52" s="1713"/>
      <c r="CE52" s="1713"/>
      <c r="CF52" s="1713"/>
      <c r="CG52" s="1713"/>
      <c r="CH52" s="1713"/>
      <c r="CI52" s="1713"/>
      <c r="CJ52" s="1713"/>
      <c r="CK52" s="1713"/>
      <c r="CL52" s="1713"/>
      <c r="CM52" s="1713"/>
      <c r="CN52" s="1713"/>
      <c r="CO52" s="1713"/>
      <c r="CP52" s="1713"/>
      <c r="CQ52" s="1713"/>
      <c r="CR52" s="1713"/>
      <c r="CS52" s="1713"/>
      <c r="CT52" s="1713"/>
      <c r="CU52" s="1713"/>
      <c r="CV52" s="1713"/>
      <c r="CW52" s="1713"/>
      <c r="CX52" s="1713"/>
      <c r="CY52" s="1713"/>
      <c r="CZ52" s="1713"/>
      <c r="DA52" s="1713"/>
      <c r="DB52" s="1713"/>
      <c r="DC52" s="1713"/>
      <c r="DD52" s="1713"/>
      <c r="DE52" s="1713"/>
      <c r="DF52" s="1713"/>
      <c r="DG52" s="1713"/>
      <c r="DH52" s="1713"/>
      <c r="DI52" s="1713"/>
      <c r="DJ52" s="1713"/>
      <c r="DK52" s="1713"/>
      <c r="DL52" s="1713"/>
      <c r="DM52" s="1713"/>
      <c r="DN52" s="1713"/>
      <c r="DO52" s="1713"/>
      <c r="DP52" s="1713"/>
      <c r="DQ52" s="1713"/>
      <c r="DR52" s="1713"/>
      <c r="DS52" s="1713"/>
      <c r="DT52" s="1713"/>
      <c r="DU52" s="1713"/>
      <c r="DV52" s="1713"/>
      <c r="DW52" s="1713"/>
      <c r="DX52" s="1713"/>
      <c r="DY52" s="1713"/>
      <c r="DZ52" s="1713"/>
      <c r="EA52" s="1713"/>
      <c r="EB52" s="1713"/>
      <c r="EC52" s="1713"/>
      <c r="ED52" s="1713"/>
      <c r="EE52" s="1713"/>
      <c r="EF52" s="1713"/>
      <c r="EG52" s="1713"/>
      <c r="EH52" s="1713"/>
      <c r="EI52" s="1713"/>
      <c r="EJ52" s="1713"/>
      <c r="EK52" s="1713"/>
      <c r="EL52" s="1713"/>
      <c r="EM52" s="1713"/>
      <c r="EN52" s="1713"/>
      <c r="EO52" s="1713"/>
      <c r="EP52" s="1713"/>
      <c r="EQ52" s="1713"/>
      <c r="ER52" s="1713"/>
      <c r="ES52" s="1713"/>
      <c r="ET52" s="1713"/>
      <c r="EU52" s="1713"/>
      <c r="EV52" s="1713"/>
      <c r="EW52" s="1713"/>
      <c r="EX52" s="1713"/>
      <c r="EY52" s="1713"/>
      <c r="EZ52" s="1713"/>
      <c r="FA52" s="1713"/>
      <c r="FB52" s="1713"/>
      <c r="FC52" s="1713"/>
      <c r="FD52" s="1713"/>
      <c r="FE52" s="1713"/>
      <c r="FF52" s="1713"/>
      <c r="FG52" s="1713"/>
      <c r="FH52" s="1713"/>
      <c r="FI52" s="1713"/>
      <c r="FJ52" s="1713"/>
      <c r="FK52" s="1713"/>
      <c r="FL52" s="1713"/>
      <c r="FM52" s="1713"/>
      <c r="FN52" s="1713"/>
      <c r="FO52" s="1713"/>
      <c r="FP52" s="1713"/>
      <c r="FQ52" s="1713"/>
      <c r="FR52" s="1713"/>
      <c r="FS52" s="1713"/>
      <c r="FT52" s="1713"/>
      <c r="FU52" s="1713"/>
      <c r="FV52" s="1713"/>
      <c r="FW52" s="1713"/>
      <c r="FX52" s="1713"/>
      <c r="FY52" s="1713"/>
      <c r="FZ52" s="1713"/>
      <c r="GA52" s="1713"/>
      <c r="GB52" s="1713"/>
      <c r="GC52" s="1713"/>
      <c r="GD52" s="1713"/>
      <c r="GE52" s="1713"/>
      <c r="GF52" s="1713"/>
      <c r="GG52" s="1713"/>
      <c r="GH52" s="1713"/>
      <c r="GI52" s="1713"/>
      <c r="GJ52" s="1713"/>
      <c r="GK52" s="1713"/>
      <c r="GL52" s="1713"/>
      <c r="GM52" s="1713"/>
      <c r="GN52" s="1713"/>
      <c r="GO52" s="1713"/>
      <c r="GP52" s="1713"/>
      <c r="GQ52" s="1713"/>
      <c r="GR52" s="1713"/>
      <c r="GS52" s="1713"/>
      <c r="GT52" s="1713"/>
      <c r="GU52" s="1713"/>
      <c r="GV52" s="1713"/>
      <c r="GW52" s="1713"/>
      <c r="GX52" s="1713"/>
      <c r="GY52" s="1713"/>
      <c r="GZ52" s="1713"/>
      <c r="HA52" s="1713"/>
      <c r="HB52" s="1713"/>
      <c r="HC52" s="1713"/>
      <c r="HD52" s="1713"/>
      <c r="HE52" s="1713"/>
      <c r="HF52" s="1713"/>
      <c r="HG52" s="1713"/>
      <c r="HH52" s="1713"/>
      <c r="HI52" s="1713"/>
      <c r="HJ52" s="1713"/>
      <c r="HK52" s="1713"/>
      <c r="HL52" s="1713"/>
      <c r="HM52" s="1713"/>
      <c r="HN52" s="1713"/>
      <c r="HO52" s="1713"/>
      <c r="HP52" s="1713"/>
      <c r="HQ52" s="1713"/>
      <c r="HR52" s="1713"/>
      <c r="HS52" s="1713"/>
      <c r="HT52" s="1713"/>
      <c r="HU52" s="1713"/>
      <c r="HV52" s="1713"/>
      <c r="HW52" s="1713"/>
      <c r="HX52" s="1713"/>
      <c r="HY52" s="1713"/>
      <c r="HZ52" s="1713"/>
      <c r="IA52" s="1713"/>
      <c r="IB52" s="1713"/>
      <c r="IC52" s="1713"/>
      <c r="ID52" s="1713"/>
      <c r="IE52" s="1713"/>
      <c r="IF52" s="1713"/>
      <c r="IG52" s="1713"/>
      <c r="IH52" s="1713"/>
      <c r="II52" s="1713"/>
      <c r="IJ52" s="1713"/>
      <c r="IK52" s="1713"/>
      <c r="IL52" s="1713"/>
      <c r="IM52" s="1713"/>
      <c r="IN52" s="1713"/>
      <c r="IO52" s="1713"/>
      <c r="IP52" s="1713"/>
      <c r="IQ52" s="1713"/>
      <c r="IR52" s="1713"/>
      <c r="IS52" s="1713"/>
      <c r="IT52" s="1713"/>
      <c r="IU52" s="1713"/>
      <c r="IV52" s="1713"/>
      <c r="IW52" s="1713"/>
      <c r="IX52" s="1713"/>
      <c r="IY52" s="1713"/>
      <c r="IZ52" s="1713"/>
      <c r="JA52" s="1713"/>
      <c r="JB52" s="1713"/>
      <c r="JC52" s="1713"/>
      <c r="JD52" s="1713"/>
      <c r="JE52" s="1713"/>
      <c r="JF52" s="1713"/>
      <c r="JG52" s="1713"/>
      <c r="JH52" s="1713"/>
      <c r="JI52" s="1713"/>
      <c r="JJ52" s="1713"/>
      <c r="JK52" s="1713"/>
      <c r="JL52" s="1713"/>
      <c r="JM52" s="1713"/>
      <c r="JN52" s="1713"/>
      <c r="JO52" s="1713"/>
      <c r="JP52" s="1713"/>
      <c r="JQ52" s="1713"/>
      <c r="JR52" s="1713"/>
      <c r="JS52" s="1713"/>
      <c r="JT52" s="1713"/>
      <c r="JU52" s="1713"/>
      <c r="JV52" s="1713"/>
      <c r="JW52" s="1713"/>
      <c r="JX52" s="1713"/>
      <c r="JY52" s="1713"/>
      <c r="JZ52" s="1713"/>
      <c r="KA52" s="1713"/>
      <c r="KB52" s="1713"/>
      <c r="KC52" s="1713"/>
      <c r="KD52" s="1713"/>
      <c r="KE52" s="1713"/>
      <c r="KF52" s="1713"/>
      <c r="KG52" s="1713"/>
      <c r="KH52" s="1713"/>
      <c r="KI52" s="1713"/>
      <c r="KJ52" s="1713"/>
      <c r="KK52" s="1713"/>
      <c r="KL52" s="1713"/>
      <c r="KM52" s="1713"/>
      <c r="KN52" s="1713"/>
      <c r="KO52" s="1713"/>
      <c r="KP52" s="1713"/>
      <c r="KQ52" s="1713"/>
      <c r="KR52" s="1713"/>
      <c r="KS52" s="1713"/>
      <c r="KT52" s="1713"/>
      <c r="KU52" s="1713"/>
      <c r="KV52" s="1713"/>
      <c r="KW52" s="1713"/>
      <c r="KX52" s="1713"/>
      <c r="KY52" s="1713"/>
      <c r="KZ52" s="1713"/>
      <c r="LA52" s="1713"/>
      <c r="LB52" s="1713"/>
      <c r="LC52" s="1713"/>
      <c r="LD52" s="1713"/>
      <c r="LE52" s="1713"/>
      <c r="LF52" s="1713"/>
      <c r="LG52" s="1713"/>
      <c r="LH52" s="1713"/>
      <c r="LI52" s="1713"/>
      <c r="LJ52" s="1713"/>
      <c r="LK52" s="1713"/>
      <c r="LL52" s="1713"/>
      <c r="LM52" s="1713"/>
      <c r="LN52" s="1713"/>
      <c r="LO52" s="1713"/>
      <c r="LP52" s="1713"/>
      <c r="LQ52" s="1713"/>
      <c r="LR52" s="1713"/>
      <c r="LS52" s="1713"/>
      <c r="LT52" s="1713"/>
      <c r="LU52" s="1713"/>
      <c r="LV52" s="1713"/>
      <c r="LW52" s="1713"/>
      <c r="LX52" s="1713"/>
      <c r="LY52" s="1713"/>
      <c r="LZ52" s="1713"/>
      <c r="MA52" s="1713"/>
      <c r="MB52" s="1713"/>
      <c r="MC52" s="1713"/>
      <c r="MD52" s="1713"/>
      <c r="ME52" s="1713"/>
      <c r="MF52" s="1713"/>
      <c r="MG52" s="1713"/>
      <c r="MH52" s="1713"/>
      <c r="MI52" s="1713"/>
      <c r="MJ52" s="1713"/>
      <c r="MK52" s="1713"/>
      <c r="ML52" s="1713"/>
      <c r="MM52" s="1713"/>
      <c r="MN52" s="1713"/>
      <c r="MO52" s="1713"/>
      <c r="MP52" s="1713"/>
      <c r="MQ52" s="1713"/>
      <c r="MR52" s="1713"/>
      <c r="MS52" s="1713"/>
      <c r="MT52" s="1713"/>
      <c r="MU52" s="1713"/>
      <c r="MV52" s="1713"/>
      <c r="MW52" s="1713"/>
      <c r="MX52" s="1713"/>
      <c r="MY52" s="1713"/>
      <c r="MZ52" s="1713"/>
      <c r="NA52" s="1713"/>
      <c r="NB52" s="1713"/>
      <c r="NC52" s="1713"/>
      <c r="ND52" s="1713"/>
      <c r="NE52" s="1713"/>
      <c r="NF52" s="1713"/>
      <c r="NG52" s="1713"/>
      <c r="NH52" s="1713"/>
      <c r="NI52" s="1713"/>
      <c r="NJ52" s="1713"/>
      <c r="NK52" s="1713"/>
      <c r="NL52" s="1713"/>
      <c r="NM52" s="1713"/>
      <c r="NN52" s="1713"/>
      <c r="NO52" s="1713"/>
      <c r="NP52" s="1713"/>
      <c r="NQ52" s="1713"/>
      <c r="NR52" s="1713"/>
      <c r="NS52" s="1713"/>
      <c r="NT52" s="1713"/>
      <c r="NU52" s="1713"/>
      <c r="NV52" s="1713"/>
      <c r="NW52" s="1713"/>
      <c r="NX52" s="1713"/>
      <c r="NY52" s="1713"/>
      <c r="NZ52" s="1713"/>
      <c r="OA52" s="1713"/>
      <c r="OB52" s="1713"/>
      <c r="OC52" s="1713"/>
      <c r="OD52" s="1713"/>
      <c r="OE52" s="1713"/>
      <c r="OF52" s="1713"/>
      <c r="OG52" s="1713"/>
      <c r="OH52" s="1713"/>
      <c r="OI52" s="1713"/>
      <c r="OJ52" s="1713"/>
      <c r="OK52" s="1713"/>
      <c r="OL52" s="1713"/>
      <c r="OM52" s="1713"/>
      <c r="ON52" s="1713"/>
      <c r="OO52" s="1713"/>
      <c r="OP52" s="1713"/>
      <c r="OQ52" s="1713"/>
      <c r="OR52" s="1713"/>
      <c r="OS52" s="1713"/>
      <c r="OT52" s="1713"/>
      <c r="OU52" s="1713"/>
      <c r="OV52" s="1713"/>
      <c r="OW52" s="1713"/>
      <c r="OX52" s="1713"/>
      <c r="OY52" s="1713"/>
      <c r="OZ52" s="1713"/>
      <c r="PA52" s="1713"/>
      <c r="PB52" s="1713"/>
      <c r="PC52" s="1713"/>
      <c r="PD52" s="1713"/>
      <c r="PE52" s="1713"/>
      <c r="PF52" s="1713"/>
      <c r="PG52" s="1713"/>
      <c r="PH52" s="1713"/>
      <c r="PI52" s="1713"/>
      <c r="PJ52" s="1713"/>
      <c r="PK52" s="1713"/>
      <c r="PL52" s="1713"/>
      <c r="PM52" s="1713"/>
      <c r="PN52" s="1713"/>
      <c r="PO52" s="1713"/>
      <c r="PP52" s="1713"/>
      <c r="PQ52" s="1713"/>
      <c r="PR52" s="1713"/>
      <c r="PS52" s="1713"/>
      <c r="PT52" s="1713"/>
      <c r="PU52" s="1713"/>
      <c r="PV52" s="1713"/>
      <c r="PW52" s="1713"/>
      <c r="PX52" s="1713"/>
      <c r="PY52" s="1713"/>
      <c r="PZ52" s="1713"/>
      <c r="QA52" s="1713"/>
      <c r="QB52" s="1713"/>
      <c r="QC52" s="1713"/>
      <c r="QD52" s="1713"/>
      <c r="QE52" s="1713"/>
      <c r="QF52" s="1713"/>
      <c r="QG52" s="1713"/>
      <c r="QH52" s="1713"/>
      <c r="QI52" s="1713"/>
      <c r="QJ52" s="1713"/>
      <c r="QK52" s="1713"/>
      <c r="QL52" s="1713"/>
      <c r="QM52" s="1713"/>
      <c r="QN52" s="1713"/>
      <c r="QO52" s="1713"/>
      <c r="QP52" s="1713"/>
      <c r="QQ52" s="1713"/>
      <c r="QR52" s="1713"/>
      <c r="QS52" s="1713"/>
      <c r="QT52" s="1713"/>
      <c r="QU52" s="1713"/>
      <c r="QV52" s="1713"/>
      <c r="QW52" s="1713"/>
      <c r="QX52" s="1713"/>
      <c r="QY52" s="1713"/>
      <c r="QZ52" s="1713"/>
      <c r="RA52" s="1713"/>
      <c r="RB52" s="1713"/>
      <c r="RC52" s="1713"/>
      <c r="RD52" s="1713"/>
      <c r="RE52" s="1713"/>
      <c r="RF52" s="1713"/>
      <c r="RG52" s="1713"/>
      <c r="RH52" s="1713"/>
      <c r="RI52" s="1713"/>
      <c r="RJ52" s="1713"/>
      <c r="RK52" s="1713"/>
      <c r="RL52" s="1713"/>
      <c r="RM52" s="1713"/>
      <c r="RN52" s="1713"/>
      <c r="RO52" s="1713"/>
      <c r="RP52" s="1713"/>
      <c r="RQ52" s="1713"/>
      <c r="RR52" s="1713"/>
      <c r="RS52" s="1713"/>
      <c r="RT52" s="1713"/>
      <c r="RU52" s="1713"/>
      <c r="RV52" s="1713"/>
      <c r="RW52" s="1713"/>
      <c r="RX52" s="1713"/>
      <c r="RY52" s="1713"/>
      <c r="RZ52" s="1713"/>
      <c r="SA52" s="1713"/>
      <c r="SB52" s="1713"/>
      <c r="SC52" s="1713"/>
      <c r="SD52" s="1713"/>
      <c r="SE52" s="1713"/>
      <c r="SF52" s="1713"/>
      <c r="SG52" s="1713"/>
      <c r="SH52" s="1713"/>
      <c r="SI52" s="1713"/>
      <c r="SJ52" s="1713"/>
      <c r="SK52" s="1713"/>
      <c r="SL52" s="1713"/>
      <c r="SM52" s="1713"/>
      <c r="SN52" s="1713"/>
      <c r="SO52" s="1713"/>
      <c r="SP52" s="1713"/>
      <c r="SQ52" s="1713"/>
      <c r="SR52" s="1713"/>
      <c r="SS52" s="1713"/>
      <c r="ST52" s="1713"/>
      <c r="SU52" s="1713"/>
      <c r="SV52" s="1713"/>
      <c r="SW52" s="1713"/>
      <c r="SX52" s="1713"/>
      <c r="SY52" s="1713"/>
      <c r="SZ52" s="1713"/>
      <c r="TA52" s="1713"/>
      <c r="TB52" s="1713"/>
      <c r="TC52" s="1713"/>
      <c r="TD52" s="1713"/>
      <c r="TE52" s="1713"/>
      <c r="TF52" s="1713"/>
      <c r="TG52" s="1713"/>
      <c r="TH52" s="1713"/>
      <c r="TI52" s="1713"/>
      <c r="TJ52" s="1713"/>
      <c r="TK52" s="1713"/>
      <c r="TL52" s="1713"/>
      <c r="TM52" s="1713"/>
      <c r="TN52" s="1713"/>
      <c r="TO52" s="1713"/>
      <c r="TP52" s="1713"/>
      <c r="TQ52" s="1713"/>
      <c r="TR52" s="1713"/>
      <c r="TS52" s="1713"/>
      <c r="TT52" s="1713"/>
      <c r="TU52" s="1713"/>
      <c r="TV52" s="1713"/>
      <c r="TW52" s="1713"/>
      <c r="TX52" s="1713"/>
      <c r="TY52" s="1713"/>
      <c r="TZ52" s="1713"/>
      <c r="UA52" s="1713"/>
      <c r="UB52" s="1713"/>
      <c r="UC52" s="1713"/>
      <c r="UD52" s="1713"/>
      <c r="UE52" s="1713"/>
      <c r="UF52" s="1713"/>
      <c r="UG52" s="1713"/>
      <c r="UH52" s="1713"/>
      <c r="UI52" s="1713"/>
      <c r="UJ52" s="1713"/>
      <c r="UK52" s="1713"/>
      <c r="UL52" s="1713"/>
      <c r="UM52" s="1713"/>
      <c r="UN52" s="1713"/>
      <c r="UO52" s="1713"/>
      <c r="UP52" s="1713"/>
      <c r="UQ52" s="1713"/>
      <c r="UR52" s="1713"/>
      <c r="US52" s="1713"/>
      <c r="UT52" s="1713"/>
      <c r="UU52" s="1713"/>
      <c r="UV52" s="1713"/>
      <c r="UW52" s="1713"/>
      <c r="UX52" s="1713"/>
      <c r="UY52" s="1713"/>
      <c r="UZ52" s="1713"/>
      <c r="VA52" s="1713"/>
      <c r="VB52" s="1713"/>
      <c r="VC52" s="1713"/>
      <c r="VD52" s="1713"/>
      <c r="VE52" s="1713"/>
      <c r="VF52" s="1713"/>
      <c r="VG52" s="1713"/>
      <c r="VH52" s="1713"/>
      <c r="VI52" s="1713"/>
      <c r="VJ52" s="1713"/>
      <c r="VK52" s="1713"/>
      <c r="VL52" s="1713"/>
      <c r="VM52" s="1713"/>
      <c r="VN52" s="1713"/>
      <c r="VO52" s="1713"/>
      <c r="VP52" s="1713"/>
      <c r="VQ52" s="1713"/>
      <c r="VR52" s="1713"/>
      <c r="VS52" s="1713"/>
      <c r="VT52" s="1713"/>
      <c r="VU52" s="1713"/>
      <c r="VV52" s="1713"/>
      <c r="VW52" s="1713"/>
      <c r="VX52" s="1713"/>
      <c r="VY52" s="1713"/>
      <c r="VZ52" s="1713"/>
      <c r="WA52" s="1713"/>
      <c r="WB52" s="1713"/>
      <c r="WC52" s="1713"/>
      <c r="WD52" s="1713"/>
      <c r="WE52" s="1713"/>
      <c r="WF52" s="1713"/>
      <c r="WG52" s="1713"/>
      <c r="WH52" s="1713"/>
      <c r="WI52" s="1713"/>
      <c r="WJ52" s="1713"/>
      <c r="WK52" s="1713"/>
      <c r="WL52" s="1713"/>
      <c r="WM52" s="1713"/>
      <c r="WN52" s="1713"/>
      <c r="WO52" s="1713"/>
      <c r="WP52" s="1713"/>
      <c r="WQ52" s="1713"/>
      <c r="WR52" s="1713"/>
      <c r="WS52" s="1713"/>
      <c r="WT52" s="1713"/>
      <c r="WU52" s="1713"/>
      <c r="WV52" s="1713"/>
      <c r="WW52" s="1713"/>
      <c r="WX52" s="1713"/>
      <c r="WY52" s="1713"/>
      <c r="WZ52" s="1713"/>
      <c r="XA52" s="1713"/>
      <c r="XB52" s="1713"/>
      <c r="XC52" s="1713"/>
      <c r="XD52" s="1713"/>
      <c r="XE52" s="1713"/>
      <c r="XF52" s="1713"/>
      <c r="XG52" s="1713"/>
      <c r="XH52" s="1713"/>
      <c r="XI52" s="1713"/>
      <c r="XJ52" s="1713"/>
      <c r="XK52" s="1713"/>
      <c r="XL52" s="1713"/>
      <c r="XM52" s="1713"/>
      <c r="XN52" s="1713"/>
      <c r="XO52" s="1713"/>
      <c r="XP52" s="1713"/>
      <c r="XQ52" s="1713"/>
      <c r="XR52" s="1713"/>
      <c r="XS52" s="1713"/>
      <c r="XT52" s="1713"/>
      <c r="XU52" s="1713"/>
      <c r="XV52" s="1713"/>
      <c r="XW52" s="1713"/>
      <c r="XX52" s="1713"/>
      <c r="XY52" s="1713"/>
      <c r="XZ52" s="1713"/>
      <c r="YA52" s="1713"/>
      <c r="YB52" s="1713"/>
      <c r="YC52" s="1713"/>
      <c r="YD52" s="1713"/>
      <c r="YE52" s="1713"/>
      <c r="YF52" s="1713"/>
      <c r="YG52" s="1713"/>
      <c r="YH52" s="1713"/>
      <c r="YI52" s="1713"/>
      <c r="YJ52" s="1713"/>
      <c r="YK52" s="1713"/>
      <c r="YL52" s="1713"/>
      <c r="YM52" s="1713"/>
      <c r="YN52" s="1713"/>
      <c r="YO52" s="1713"/>
      <c r="YP52" s="1713"/>
      <c r="YQ52" s="1713"/>
      <c r="YR52" s="1713"/>
      <c r="YS52" s="1713"/>
      <c r="YT52" s="1713"/>
      <c r="YU52" s="1713"/>
      <c r="YV52" s="1713"/>
      <c r="YW52" s="1713"/>
      <c r="YX52" s="1713"/>
      <c r="YY52" s="1713"/>
      <c r="YZ52" s="1713"/>
      <c r="ZA52" s="1713"/>
      <c r="ZB52" s="1713"/>
      <c r="ZC52" s="1713"/>
      <c r="ZD52" s="1713"/>
      <c r="ZE52" s="1713"/>
      <c r="ZF52" s="1713"/>
      <c r="ZG52" s="1713"/>
      <c r="ZH52" s="1713"/>
      <c r="ZI52" s="1713"/>
      <c r="ZJ52" s="1713"/>
      <c r="ZK52" s="1713"/>
      <c r="ZL52" s="1713"/>
      <c r="ZM52" s="1713"/>
      <c r="ZN52" s="1713"/>
      <c r="ZO52" s="1713"/>
      <c r="ZP52" s="1713"/>
      <c r="ZQ52" s="1713"/>
      <c r="ZR52" s="1713"/>
      <c r="ZS52" s="1713"/>
      <c r="ZT52" s="1713"/>
      <c r="ZU52" s="1713"/>
      <c r="ZV52" s="1713"/>
      <c r="ZW52" s="1713"/>
      <c r="ZX52" s="1713"/>
      <c r="ZY52" s="1713"/>
      <c r="ZZ52" s="1713"/>
      <c r="AAA52" s="1713"/>
      <c r="AAB52" s="1713"/>
      <c r="AAC52" s="1713"/>
      <c r="AAD52" s="1713"/>
      <c r="AAE52" s="1713"/>
      <c r="AAF52" s="1713"/>
      <c r="AAG52" s="1713"/>
      <c r="AAH52" s="1713"/>
      <c r="AAI52" s="1713"/>
      <c r="AAJ52" s="1713"/>
      <c r="AAK52" s="1713"/>
      <c r="AAL52" s="1713"/>
      <c r="AAM52" s="1713"/>
      <c r="AAN52" s="1713"/>
      <c r="AAO52" s="1713"/>
      <c r="AAP52" s="1713"/>
      <c r="AAQ52" s="1713"/>
      <c r="AAR52" s="1713"/>
      <c r="AAS52" s="1713"/>
      <c r="AAT52" s="1713"/>
      <c r="AAU52" s="1713"/>
      <c r="AAV52" s="1713"/>
      <c r="AAW52" s="1713"/>
      <c r="AAX52" s="1713"/>
      <c r="AAY52" s="1713"/>
      <c r="AAZ52" s="1713"/>
      <c r="ABA52" s="1713"/>
      <c r="ABB52" s="1713"/>
      <c r="ABC52" s="1713"/>
      <c r="ABD52" s="1713"/>
      <c r="ABE52" s="1713"/>
      <c r="ABF52" s="1713"/>
      <c r="ABG52" s="1713"/>
      <c r="ABH52" s="1713"/>
      <c r="ABI52" s="1713"/>
      <c r="ABJ52" s="1713"/>
      <c r="ABK52" s="1713"/>
      <c r="ABL52" s="1713"/>
      <c r="ABM52" s="1713"/>
      <c r="ABN52" s="1713"/>
      <c r="ABO52" s="1713"/>
      <c r="ABP52" s="1713"/>
      <c r="ABQ52" s="1713"/>
      <c r="ABR52" s="1713"/>
      <c r="ABS52" s="1713"/>
      <c r="ABT52" s="1713"/>
      <c r="ABU52" s="1713"/>
      <c r="ABV52" s="1713"/>
      <c r="ABW52" s="1713"/>
      <c r="ABX52" s="1713"/>
      <c r="ABY52" s="1713"/>
      <c r="ABZ52" s="1713"/>
      <c r="ACA52" s="1713"/>
      <c r="ACB52" s="1713"/>
      <c r="ACC52" s="1713"/>
      <c r="ACD52" s="1713"/>
      <c r="ACE52" s="1713"/>
      <c r="ACF52" s="1713"/>
      <c r="ACG52" s="1713"/>
      <c r="ACH52" s="1713"/>
      <c r="ACI52" s="1713"/>
      <c r="ACJ52" s="1713"/>
      <c r="ACK52" s="1713"/>
      <c r="ACL52" s="1713"/>
      <c r="ACM52" s="1713"/>
      <c r="ACN52" s="1713"/>
      <c r="ACO52" s="1713"/>
      <c r="ACP52" s="1713"/>
      <c r="ACQ52" s="1713"/>
      <c r="ACR52" s="1713"/>
      <c r="ACS52" s="1713"/>
      <c r="ACT52" s="1713"/>
      <c r="ACU52" s="1713"/>
      <c r="ACV52" s="1713"/>
      <c r="ACW52" s="1713"/>
      <c r="ACX52" s="1713"/>
      <c r="ACY52" s="1713"/>
      <c r="ACZ52" s="1713"/>
      <c r="ADA52" s="1713"/>
      <c r="ADB52" s="1713"/>
      <c r="ADC52" s="1713"/>
      <c r="ADD52" s="1713"/>
      <c r="ADE52" s="1713"/>
      <c r="ADF52" s="1713"/>
      <c r="ADG52" s="1713"/>
      <c r="ADH52" s="1713"/>
      <c r="ADI52" s="1713"/>
      <c r="ADJ52" s="1713"/>
      <c r="ADK52" s="1713"/>
      <c r="ADL52" s="1713"/>
      <c r="ADM52" s="1713"/>
      <c r="ADN52" s="1713"/>
      <c r="ADO52" s="1713"/>
      <c r="ADP52" s="1713"/>
      <c r="ADQ52" s="1713"/>
      <c r="ADR52" s="1713"/>
      <c r="ADS52" s="1713"/>
      <c r="ADT52" s="1713"/>
      <c r="ADU52" s="1713"/>
      <c r="ADV52" s="1713"/>
      <c r="ADW52" s="1713"/>
      <c r="ADX52" s="1713"/>
      <c r="ADY52" s="1713"/>
      <c r="ADZ52" s="1713"/>
      <c r="AEA52" s="1713"/>
      <c r="AEB52" s="1713"/>
      <c r="AEC52" s="1713"/>
      <c r="AED52" s="1713"/>
      <c r="AEE52" s="1713"/>
      <c r="AEF52" s="1713"/>
      <c r="AEG52" s="1713"/>
      <c r="AEH52" s="1713"/>
      <c r="AEI52" s="1713"/>
      <c r="AEJ52" s="1713"/>
      <c r="AEK52" s="1713"/>
      <c r="AEL52" s="1713"/>
      <c r="AEM52" s="1713"/>
      <c r="AEN52" s="1713"/>
      <c r="AEO52" s="1713"/>
      <c r="AEP52" s="1713"/>
      <c r="AEQ52" s="1713"/>
      <c r="AER52" s="1713"/>
      <c r="AES52" s="1713"/>
      <c r="AET52" s="1713"/>
      <c r="AEU52" s="1713"/>
      <c r="AEV52" s="1713"/>
      <c r="AEW52" s="1713"/>
      <c r="AEX52" s="1713"/>
      <c r="AEY52" s="1713"/>
      <c r="AEZ52" s="1713"/>
      <c r="AFA52" s="1713"/>
      <c r="AFB52" s="1713"/>
      <c r="AFC52" s="1713"/>
      <c r="AFD52" s="1713"/>
      <c r="AFE52" s="1713"/>
      <c r="AFF52" s="1713"/>
      <c r="AFG52" s="1713"/>
      <c r="AFH52" s="1713"/>
      <c r="AFI52" s="1713"/>
      <c r="AFJ52" s="1713"/>
      <c r="AFK52" s="1713"/>
      <c r="AFL52" s="1713"/>
      <c r="AFM52" s="1713"/>
      <c r="AFN52" s="1713"/>
      <c r="AFO52" s="1713"/>
      <c r="AFP52" s="1713"/>
      <c r="AFQ52" s="1713"/>
      <c r="AFR52" s="1713"/>
      <c r="AFS52" s="1713"/>
      <c r="AFT52" s="1713"/>
      <c r="AFU52" s="1713"/>
      <c r="AFV52" s="1713"/>
      <c r="AFW52" s="1713"/>
      <c r="AFX52" s="1713"/>
      <c r="AFY52" s="1713"/>
      <c r="AFZ52" s="1713"/>
      <c r="AGA52" s="1713"/>
      <c r="AGB52" s="1713"/>
      <c r="AGC52" s="1713"/>
      <c r="AGD52" s="1713"/>
      <c r="AGE52" s="1713"/>
      <c r="AGF52" s="1713"/>
      <c r="AGG52" s="1713"/>
      <c r="AGH52" s="1713"/>
      <c r="AGI52" s="1713"/>
      <c r="AGJ52" s="1713"/>
      <c r="AGK52" s="1713"/>
      <c r="AGL52" s="1713"/>
      <c r="AGM52" s="1713"/>
      <c r="AGN52" s="1713"/>
      <c r="AGO52" s="1713"/>
      <c r="AGP52" s="1713"/>
      <c r="AGQ52" s="1713"/>
      <c r="AGR52" s="1713"/>
      <c r="AGS52" s="1713"/>
      <c r="AGT52" s="1713"/>
      <c r="AGU52" s="1713"/>
      <c r="AGV52" s="1713"/>
      <c r="AGW52" s="1713"/>
      <c r="AGX52" s="1713"/>
      <c r="AGY52" s="1713"/>
      <c r="AGZ52" s="1713"/>
      <c r="AHA52" s="1713"/>
      <c r="AHB52" s="1713"/>
      <c r="AHC52" s="1713"/>
      <c r="AHD52" s="1713"/>
      <c r="AHE52" s="1713"/>
      <c r="AHF52" s="1713"/>
      <c r="AHG52" s="1713"/>
      <c r="AHH52" s="1713"/>
      <c r="AHI52" s="1713"/>
      <c r="AHJ52" s="1713"/>
      <c r="AHK52" s="1713"/>
      <c r="AHL52" s="1713"/>
      <c r="AHM52" s="1713"/>
      <c r="AHN52" s="1713"/>
      <c r="AHO52" s="1713"/>
      <c r="AHP52" s="1713"/>
      <c r="AHQ52" s="1713"/>
      <c r="AHR52" s="1713"/>
      <c r="AHS52" s="1713"/>
      <c r="AHT52" s="1713"/>
      <c r="AHU52" s="1713"/>
      <c r="AHV52" s="1713"/>
      <c r="AHW52" s="1713"/>
      <c r="AHX52" s="1713"/>
      <c r="AHY52" s="1713"/>
      <c r="AHZ52" s="1713"/>
      <c r="AIA52" s="1713"/>
      <c r="AIB52" s="1713"/>
      <c r="AIC52" s="1713"/>
      <c r="AID52" s="1713"/>
      <c r="AIE52" s="1713"/>
      <c r="AIF52" s="1713"/>
      <c r="AIG52" s="1713"/>
      <c r="AIH52" s="1713"/>
      <c r="AII52" s="1713"/>
      <c r="AIJ52" s="1713"/>
      <c r="AIK52" s="1713"/>
      <c r="AIL52" s="1713"/>
      <c r="AIM52" s="1713"/>
      <c r="AIN52" s="1713"/>
      <c r="AIO52" s="1713"/>
      <c r="AIP52" s="1713"/>
      <c r="AIQ52" s="1713"/>
      <c r="AIR52" s="1713"/>
      <c r="AIS52" s="1713"/>
      <c r="AIT52" s="1713"/>
      <c r="AIU52" s="1713"/>
      <c r="AIV52" s="1713"/>
      <c r="AIW52" s="1713"/>
      <c r="AIX52" s="1713"/>
      <c r="AIY52" s="1713"/>
      <c r="AIZ52" s="1713"/>
      <c r="AJA52" s="1713"/>
      <c r="AJB52" s="1713"/>
      <c r="AJC52" s="1713"/>
      <c r="AJD52" s="1713"/>
      <c r="AJE52" s="1713"/>
      <c r="AJF52" s="1713"/>
      <c r="AJG52" s="1713"/>
      <c r="AJH52" s="1713"/>
      <c r="AJI52" s="1713"/>
      <c r="AJJ52" s="1713"/>
      <c r="AJK52" s="1713"/>
      <c r="AJL52" s="1713"/>
      <c r="AJM52" s="1713"/>
      <c r="AJN52" s="1713"/>
      <c r="AJO52" s="1713"/>
      <c r="AJP52" s="1713"/>
      <c r="AJQ52" s="1713"/>
      <c r="AJR52" s="1713"/>
      <c r="AJS52" s="1713"/>
      <c r="AJT52" s="1713"/>
      <c r="AJU52" s="1713"/>
      <c r="AJV52" s="1713"/>
      <c r="AJW52" s="1713"/>
      <c r="AJX52" s="1713"/>
      <c r="AJY52" s="1713"/>
      <c r="AJZ52" s="1713"/>
      <c r="AKA52" s="1713"/>
      <c r="AKB52" s="1713"/>
      <c r="AKC52" s="1713"/>
      <c r="AKD52" s="1713"/>
      <c r="AKE52" s="1713"/>
      <c r="AKF52" s="1713"/>
      <c r="AKG52" s="1713"/>
      <c r="AKH52" s="1713"/>
      <c r="AKI52" s="1713"/>
      <c r="AKJ52" s="1713"/>
      <c r="AKK52" s="1713"/>
      <c r="AKL52" s="1713"/>
      <c r="AKM52" s="1713"/>
      <c r="AKN52" s="1713"/>
      <c r="AKO52" s="1713"/>
      <c r="AKP52" s="1713"/>
      <c r="AKQ52" s="1713"/>
      <c r="AKR52" s="1713"/>
      <c r="AKS52" s="1713"/>
      <c r="AKT52" s="1713"/>
      <c r="AKU52" s="1713"/>
      <c r="AKV52" s="1713"/>
      <c r="AKW52" s="1713"/>
      <c r="AKX52" s="1713"/>
      <c r="AKY52" s="1713"/>
      <c r="AKZ52" s="1713"/>
      <c r="ALA52" s="1713"/>
      <c r="ALB52" s="1713"/>
      <c r="ALC52" s="1713"/>
      <c r="ALD52" s="1713"/>
      <c r="ALE52" s="1713"/>
      <c r="ALF52" s="1713"/>
      <c r="ALG52" s="1713"/>
      <c r="ALH52" s="1713"/>
      <c r="ALI52" s="1713"/>
      <c r="ALJ52" s="1713"/>
      <c r="ALK52" s="1713"/>
      <c r="ALL52" s="1713"/>
      <c r="ALM52" s="1713"/>
      <c r="ALN52" s="1713"/>
      <c r="ALO52" s="1713"/>
      <c r="ALP52" s="1713"/>
      <c r="ALQ52" s="1713"/>
      <c r="ALR52" s="1713"/>
      <c r="ALS52" s="1713"/>
      <c r="ALT52" s="1713"/>
      <c r="ALU52" s="1713"/>
      <c r="ALV52" s="1713"/>
      <c r="ALW52" s="1713"/>
      <c r="ALX52" s="1713"/>
      <c r="ALY52" s="1713"/>
      <c r="ALZ52" s="1713"/>
      <c r="AMA52" s="1713"/>
      <c r="AMB52" s="1713"/>
      <c r="AMC52" s="1713"/>
      <c r="AMD52" s="1713"/>
      <c r="AME52" s="1713"/>
      <c r="AMF52" s="1713"/>
      <c r="AMG52" s="1713"/>
      <c r="AMH52" s="1713"/>
      <c r="AMI52" s="1713"/>
      <c r="AMJ52" s="1713"/>
      <c r="AMK52" s="1713"/>
      <c r="AML52" s="1713"/>
      <c r="AMM52" s="1713"/>
      <c r="AMN52" s="1713"/>
      <c r="AMO52" s="1713"/>
      <c r="AMP52" s="1713"/>
      <c r="AMQ52" s="1713"/>
      <c r="AMR52" s="1713"/>
      <c r="AMS52" s="1713"/>
      <c r="AMT52" s="1713"/>
      <c r="AMU52" s="1713"/>
      <c r="AMV52" s="1713"/>
      <c r="AMW52" s="1713"/>
      <c r="AMX52" s="1713"/>
      <c r="AMY52" s="1713"/>
      <c r="AMZ52" s="1713"/>
      <c r="ANA52" s="1713"/>
      <c r="ANB52" s="1713"/>
      <c r="ANC52" s="1713"/>
      <c r="AND52" s="1713"/>
      <c r="ANE52" s="1713"/>
      <c r="ANF52" s="1713"/>
      <c r="ANG52" s="1713"/>
      <c r="ANH52" s="1713"/>
      <c r="ANI52" s="1713"/>
      <c r="ANJ52" s="1713"/>
      <c r="ANK52" s="1713"/>
      <c r="ANL52" s="1713"/>
      <c r="ANM52" s="1713"/>
      <c r="ANN52" s="1713"/>
      <c r="ANO52" s="1713"/>
      <c r="ANP52" s="1713"/>
      <c r="ANQ52" s="1713"/>
      <c r="ANR52" s="1713"/>
      <c r="ANS52" s="1713"/>
      <c r="ANT52" s="1713"/>
      <c r="ANU52" s="1713"/>
      <c r="ANV52" s="1713"/>
      <c r="ANW52" s="1713"/>
      <c r="ANX52" s="1713"/>
      <c r="ANY52" s="1713"/>
      <c r="ANZ52" s="1713"/>
      <c r="AOA52" s="1713"/>
      <c r="AOB52" s="1713"/>
      <c r="AOC52" s="1713"/>
      <c r="AOD52" s="1713"/>
      <c r="AOE52" s="1713"/>
      <c r="AOF52" s="1713"/>
      <c r="AOG52" s="1713"/>
      <c r="AOH52" s="1713"/>
      <c r="AOI52" s="1713"/>
      <c r="AOJ52" s="1713"/>
      <c r="AOK52" s="1713"/>
      <c r="AOL52" s="1713"/>
      <c r="AOM52" s="1713"/>
      <c r="AON52" s="1713"/>
      <c r="AOO52" s="1713"/>
      <c r="AOP52" s="1713"/>
      <c r="AOQ52" s="1713"/>
      <c r="AOR52" s="1713"/>
      <c r="AOS52" s="1713"/>
      <c r="AOT52" s="1713"/>
      <c r="AOU52" s="1713"/>
      <c r="AOV52" s="1713"/>
      <c r="AOW52" s="1713"/>
      <c r="AOX52" s="1713"/>
      <c r="AOY52" s="1713"/>
      <c r="AOZ52" s="1713"/>
      <c r="APA52" s="1713"/>
      <c r="APB52" s="1713"/>
      <c r="APC52" s="1713"/>
      <c r="APD52" s="1713"/>
      <c r="APE52" s="1713"/>
      <c r="APF52" s="1713"/>
      <c r="APG52" s="1713"/>
      <c r="APH52" s="1713"/>
      <c r="API52" s="1713"/>
      <c r="APJ52" s="1713"/>
      <c r="APK52" s="1713"/>
      <c r="APL52" s="1713"/>
      <c r="APM52" s="1713"/>
      <c r="APN52" s="1713"/>
      <c r="APO52" s="1713"/>
      <c r="APP52" s="1713"/>
      <c r="APQ52" s="1713"/>
      <c r="APR52" s="1713"/>
      <c r="APS52" s="1713"/>
      <c r="APT52" s="1713"/>
      <c r="APU52" s="1713"/>
      <c r="APV52" s="1713"/>
      <c r="APW52" s="1713"/>
      <c r="APX52" s="1713"/>
      <c r="APY52" s="1713"/>
      <c r="APZ52" s="1713"/>
      <c r="AQA52" s="1713"/>
      <c r="AQB52" s="1713"/>
      <c r="AQC52" s="1713"/>
      <c r="AQD52" s="1713"/>
      <c r="AQE52" s="1713"/>
      <c r="AQF52" s="1713"/>
      <c r="AQG52" s="1713"/>
      <c r="AQH52" s="1713"/>
      <c r="AQI52" s="1713"/>
      <c r="AQJ52" s="1713"/>
      <c r="AQK52" s="1713"/>
      <c r="AQL52" s="1713"/>
      <c r="AQM52" s="1713"/>
      <c r="AQN52" s="1713"/>
      <c r="AQO52" s="1713"/>
      <c r="AQP52" s="1713"/>
      <c r="AQQ52" s="1713"/>
      <c r="AQR52" s="1713"/>
      <c r="AQS52" s="1713"/>
      <c r="AQT52" s="1713"/>
      <c r="AQU52" s="1713"/>
      <c r="AQV52" s="1713"/>
      <c r="AQW52" s="1713"/>
      <c r="AQX52" s="1713"/>
      <c r="AQY52" s="1713"/>
      <c r="AQZ52" s="1713"/>
      <c r="ARA52" s="1713"/>
      <c r="ARB52" s="1713"/>
      <c r="ARC52" s="1713"/>
      <c r="ARD52" s="1713"/>
      <c r="ARE52" s="1713"/>
      <c r="ARF52" s="1713"/>
      <c r="ARG52" s="1713"/>
      <c r="ARH52" s="1713"/>
      <c r="ARI52" s="1713"/>
      <c r="ARJ52" s="1713"/>
      <c r="ARK52" s="1713"/>
      <c r="ARL52" s="1713"/>
      <c r="ARM52" s="1713"/>
      <c r="ARN52" s="1713"/>
      <c r="ARO52" s="1713"/>
      <c r="ARP52" s="1713"/>
      <c r="ARQ52" s="1713"/>
      <c r="ARR52" s="1713"/>
      <c r="ARS52" s="1713"/>
      <c r="ART52" s="1713"/>
      <c r="ARU52" s="1713"/>
      <c r="ARV52" s="1713"/>
      <c r="ARW52" s="1713"/>
      <c r="ARX52" s="1713"/>
      <c r="ARY52" s="1713"/>
      <c r="ARZ52" s="1713"/>
      <c r="ASA52" s="1713"/>
      <c r="ASB52" s="1713"/>
      <c r="ASC52" s="1713"/>
      <c r="ASD52" s="1713"/>
      <c r="ASE52" s="1713"/>
      <c r="ASF52" s="1713"/>
      <c r="ASG52" s="1713"/>
      <c r="ASH52" s="1713"/>
      <c r="ASI52" s="1713"/>
      <c r="ASJ52" s="1713"/>
      <c r="ASK52" s="1713"/>
      <c r="ASL52" s="1713"/>
      <c r="ASM52" s="1713"/>
      <c r="ASN52" s="1713"/>
      <c r="ASO52" s="1713"/>
      <c r="ASP52" s="1713"/>
      <c r="ASQ52" s="1713"/>
      <c r="ASR52" s="1713"/>
      <c r="ASS52" s="1713"/>
      <c r="AST52" s="1713"/>
      <c r="ASU52" s="1713"/>
      <c r="ASV52" s="1713"/>
      <c r="ASW52" s="1713"/>
      <c r="ASX52" s="1713"/>
      <c r="ASY52" s="1713"/>
      <c r="ASZ52" s="1713"/>
      <c r="ATA52" s="1713"/>
      <c r="ATB52" s="1713"/>
      <c r="ATC52" s="1713"/>
      <c r="ATD52" s="1713"/>
      <c r="ATE52" s="1713"/>
      <c r="ATF52" s="1713"/>
      <c r="ATG52" s="1713"/>
      <c r="ATH52" s="1713"/>
      <c r="ATI52" s="1713"/>
      <c r="ATJ52" s="1713"/>
      <c r="ATK52" s="1713"/>
      <c r="ATL52" s="1713"/>
      <c r="ATM52" s="1713"/>
      <c r="ATN52" s="1713"/>
      <c r="ATO52" s="1713"/>
      <c r="ATP52" s="1713"/>
      <c r="ATQ52" s="1713"/>
      <c r="ATR52" s="1713"/>
      <c r="ATS52" s="1713"/>
      <c r="ATT52" s="1713"/>
      <c r="ATU52" s="1713"/>
      <c r="ATV52" s="1713"/>
      <c r="ATW52" s="1713"/>
      <c r="ATX52" s="1713"/>
      <c r="ATY52" s="1713"/>
      <c r="ATZ52" s="1713"/>
      <c r="AUA52" s="1713"/>
      <c r="AUB52" s="1713"/>
      <c r="AUC52" s="1713"/>
      <c r="AUD52" s="1713"/>
      <c r="AUE52" s="1713"/>
      <c r="AUF52" s="1713"/>
      <c r="AUG52" s="1713"/>
      <c r="AUH52" s="1713"/>
      <c r="AUI52" s="1713"/>
      <c r="AUJ52" s="1713"/>
      <c r="AUK52" s="1713"/>
      <c r="AUL52" s="1713"/>
      <c r="AUM52" s="1713"/>
      <c r="AUN52" s="1713"/>
      <c r="AUO52" s="1713"/>
      <c r="AUP52" s="1713"/>
      <c r="AUQ52" s="1713"/>
      <c r="AUR52" s="1713"/>
      <c r="AUS52" s="1713"/>
      <c r="AUT52" s="1713"/>
      <c r="AUU52" s="1713"/>
      <c r="AUV52" s="1713"/>
      <c r="AUW52" s="1713"/>
      <c r="AUX52" s="1713"/>
      <c r="AUY52" s="1713"/>
      <c r="AUZ52" s="1713"/>
      <c r="AVA52" s="1713"/>
      <c r="AVB52" s="1713"/>
      <c r="AVC52" s="1713"/>
      <c r="AVD52" s="1713"/>
      <c r="AVE52" s="1713"/>
      <c r="AVF52" s="1713"/>
      <c r="AVG52" s="1713"/>
      <c r="AVH52" s="1713"/>
      <c r="AVI52" s="1713"/>
      <c r="AVJ52" s="1713"/>
      <c r="AVK52" s="1713"/>
      <c r="AVL52" s="1713"/>
      <c r="AVM52" s="1713"/>
      <c r="AVN52" s="1713"/>
      <c r="AVO52" s="1713"/>
      <c r="AVP52" s="1713"/>
      <c r="AVQ52" s="1713"/>
      <c r="AVR52" s="1713"/>
      <c r="AVS52" s="1713"/>
      <c r="AVT52" s="1713"/>
      <c r="AVU52" s="1713"/>
      <c r="AVV52" s="1713"/>
      <c r="AVW52" s="1713"/>
      <c r="AVX52" s="1713"/>
      <c r="AVY52" s="1713"/>
      <c r="AVZ52" s="1713"/>
      <c r="AWA52" s="1713"/>
      <c r="AWB52" s="1713"/>
      <c r="AWC52" s="1713"/>
      <c r="AWD52" s="1713"/>
      <c r="AWE52" s="1713"/>
      <c r="AWF52" s="1713"/>
      <c r="AWG52" s="1713"/>
      <c r="AWH52" s="1713"/>
      <c r="AWI52" s="1713"/>
      <c r="AWJ52" s="1713"/>
      <c r="AWK52" s="1713"/>
      <c r="AWL52" s="1713"/>
      <c r="AWM52" s="1713"/>
      <c r="AWN52" s="1713"/>
      <c r="AWO52" s="1713"/>
      <c r="AWP52" s="1713"/>
      <c r="AWQ52" s="1713"/>
      <c r="AWR52" s="1713"/>
      <c r="AWS52" s="1713"/>
      <c r="AWT52" s="1713"/>
      <c r="AWU52" s="1713"/>
      <c r="AWV52" s="1713"/>
      <c r="AWW52" s="1713"/>
      <c r="AWX52" s="1713"/>
      <c r="AWY52" s="1713"/>
      <c r="AWZ52" s="1713"/>
      <c r="AXA52" s="1713"/>
      <c r="AXB52" s="1713"/>
      <c r="AXC52" s="1713"/>
      <c r="AXD52" s="1713"/>
      <c r="AXE52" s="1713"/>
      <c r="AXF52" s="1713"/>
      <c r="AXG52" s="1713"/>
      <c r="AXH52" s="1713"/>
      <c r="AXI52" s="1713"/>
      <c r="AXJ52" s="1713"/>
      <c r="AXK52" s="1713"/>
      <c r="AXL52" s="1713"/>
      <c r="AXM52" s="1713"/>
      <c r="AXN52" s="1713"/>
      <c r="AXO52" s="1713"/>
      <c r="AXP52" s="1713"/>
      <c r="AXQ52" s="1713"/>
      <c r="AXR52" s="1713"/>
      <c r="AXS52" s="1713"/>
      <c r="AXT52" s="1713"/>
      <c r="AXU52" s="1713"/>
      <c r="AXV52" s="1713"/>
      <c r="AXW52" s="1713"/>
      <c r="AXX52" s="1713"/>
      <c r="AXY52" s="1713"/>
      <c r="AXZ52" s="1713"/>
      <c r="AYA52" s="1713"/>
      <c r="AYB52" s="1713"/>
      <c r="AYC52" s="1713"/>
      <c r="AYD52" s="1713"/>
      <c r="AYE52" s="1713"/>
      <c r="AYF52" s="1713"/>
      <c r="AYG52" s="1713"/>
      <c r="AYH52" s="1713"/>
      <c r="AYI52" s="1713"/>
      <c r="AYJ52" s="1713"/>
      <c r="AYK52" s="1713"/>
      <c r="AYL52" s="1713"/>
      <c r="AYM52" s="1713"/>
      <c r="AYN52" s="1713"/>
      <c r="AYO52" s="1713"/>
      <c r="AYP52" s="1713"/>
      <c r="AYQ52" s="1713"/>
      <c r="AYR52" s="1713"/>
      <c r="AYS52" s="1713"/>
      <c r="AYT52" s="1713"/>
      <c r="AYU52" s="1713"/>
      <c r="AYV52" s="1713"/>
      <c r="AYW52" s="1713"/>
      <c r="AYX52" s="1713"/>
      <c r="AYY52" s="1713"/>
      <c r="AYZ52" s="1713"/>
      <c r="AZA52" s="1713"/>
      <c r="AZB52" s="1713"/>
      <c r="AZC52" s="1713"/>
      <c r="AZD52" s="1713"/>
      <c r="AZE52" s="1713"/>
      <c r="AZF52" s="1713"/>
      <c r="AZG52" s="1713"/>
      <c r="AZH52" s="1713"/>
      <c r="AZI52" s="1713"/>
      <c r="AZJ52" s="1713"/>
      <c r="AZK52" s="1713"/>
      <c r="AZL52" s="1713"/>
      <c r="AZM52" s="1713"/>
      <c r="AZN52" s="1713"/>
      <c r="AZO52" s="1713"/>
      <c r="AZP52" s="1713"/>
      <c r="AZQ52" s="1713"/>
      <c r="AZR52" s="1713"/>
      <c r="AZS52" s="1713"/>
      <c r="AZT52" s="1713"/>
      <c r="AZU52" s="1713"/>
      <c r="AZV52" s="1713"/>
      <c r="AZW52" s="1713"/>
      <c r="AZX52" s="1713"/>
    </row>
    <row r="53" spans="1:1376" ht="49.5" customHeight="1" x14ac:dyDescent="0.2">
      <c r="A53" s="3541"/>
      <c r="B53" s="3542"/>
      <c r="C53" s="3494"/>
      <c r="D53" s="3489"/>
      <c r="E53" s="3490"/>
      <c r="F53" s="3491"/>
      <c r="G53" s="3486"/>
      <c r="H53" s="3487"/>
      <c r="I53" s="3488"/>
      <c r="J53" s="2914">
        <v>53</v>
      </c>
      <c r="K53" s="3479" t="s">
        <v>933</v>
      </c>
      <c r="L53" s="3479" t="s">
        <v>934</v>
      </c>
      <c r="M53" s="3059">
        <v>1</v>
      </c>
      <c r="N53" s="3059" t="s">
        <v>935</v>
      </c>
      <c r="O53" s="3059" t="s">
        <v>936</v>
      </c>
      <c r="P53" s="3479" t="s">
        <v>937</v>
      </c>
      <c r="Q53" s="3481">
        <f>SUM(V53:V57)/R53</f>
        <v>1</v>
      </c>
      <c r="R53" s="3483">
        <f>SUM(V53:V57)</f>
        <v>1431890390</v>
      </c>
      <c r="S53" s="3479" t="s">
        <v>938</v>
      </c>
      <c r="T53" s="3484" t="s">
        <v>939</v>
      </c>
      <c r="U53" s="3478" t="s">
        <v>940</v>
      </c>
      <c r="V53" s="2640">
        <v>248604326</v>
      </c>
      <c r="W53" s="1701">
        <v>20</v>
      </c>
      <c r="X53" s="1892" t="s">
        <v>61</v>
      </c>
      <c r="Y53" s="3150">
        <v>294321</v>
      </c>
      <c r="Z53" s="3150">
        <v>283947</v>
      </c>
      <c r="AA53" s="3150">
        <v>135754</v>
      </c>
      <c r="AB53" s="3150">
        <v>44640</v>
      </c>
      <c r="AC53" s="3150">
        <v>308178</v>
      </c>
      <c r="AD53" s="3108">
        <v>89696</v>
      </c>
      <c r="AE53" s="3468"/>
      <c r="AF53" s="2049"/>
      <c r="AG53" s="2049"/>
      <c r="AH53" s="2049"/>
      <c r="AI53" s="2049"/>
      <c r="AJ53" s="2049"/>
      <c r="AK53" s="2049"/>
      <c r="AL53" s="2049"/>
      <c r="AM53" s="1898"/>
      <c r="AN53" s="3150">
        <f>+Y53+Z53</f>
        <v>578268</v>
      </c>
      <c r="AO53" s="3471">
        <v>43467</v>
      </c>
      <c r="AP53" s="3473">
        <v>43830</v>
      </c>
      <c r="AQ53" s="3475" t="s">
        <v>847</v>
      </c>
    </row>
    <row r="54" spans="1:1376" ht="49.5" customHeight="1" x14ac:dyDescent="0.2">
      <c r="A54" s="3541"/>
      <c r="B54" s="3542"/>
      <c r="C54" s="3494"/>
      <c r="D54" s="3489"/>
      <c r="E54" s="3490"/>
      <c r="F54" s="3491"/>
      <c r="G54" s="3489"/>
      <c r="H54" s="3490"/>
      <c r="I54" s="3491"/>
      <c r="J54" s="2914"/>
      <c r="K54" s="3480"/>
      <c r="L54" s="3480"/>
      <c r="M54" s="3060"/>
      <c r="N54" s="3060"/>
      <c r="O54" s="3060"/>
      <c r="P54" s="3480"/>
      <c r="Q54" s="3482"/>
      <c r="R54" s="3483"/>
      <c r="S54" s="3480"/>
      <c r="T54" s="3485"/>
      <c r="U54" s="3478"/>
      <c r="V54" s="2640">
        <f>413395674+93855715</f>
        <v>507251389</v>
      </c>
      <c r="W54" s="1702">
        <v>52</v>
      </c>
      <c r="X54" s="1886" t="s">
        <v>941</v>
      </c>
      <c r="Y54" s="3150"/>
      <c r="Z54" s="3150"/>
      <c r="AA54" s="3150"/>
      <c r="AB54" s="3150"/>
      <c r="AC54" s="3150"/>
      <c r="AD54" s="3108"/>
      <c r="AE54" s="3469"/>
      <c r="AF54" s="2049"/>
      <c r="AG54" s="2049"/>
      <c r="AH54" s="2049"/>
      <c r="AI54" s="2049"/>
      <c r="AJ54" s="2049"/>
      <c r="AK54" s="2049"/>
      <c r="AL54" s="2049"/>
      <c r="AM54" s="1898"/>
      <c r="AN54" s="3150"/>
      <c r="AO54" s="3472"/>
      <c r="AP54" s="3474"/>
      <c r="AQ54" s="3476"/>
    </row>
    <row r="55" spans="1:1376" ht="49.5" customHeight="1" x14ac:dyDescent="0.2">
      <c r="A55" s="3541"/>
      <c r="B55" s="3542"/>
      <c r="C55" s="3494"/>
      <c r="D55" s="3489"/>
      <c r="E55" s="3490"/>
      <c r="F55" s="3491"/>
      <c r="G55" s="3489"/>
      <c r="H55" s="3490"/>
      <c r="I55" s="3491"/>
      <c r="J55" s="2914"/>
      <c r="K55" s="3480"/>
      <c r="L55" s="3480"/>
      <c r="M55" s="3060"/>
      <c r="N55" s="3060"/>
      <c r="O55" s="3060"/>
      <c r="P55" s="3480"/>
      <c r="Q55" s="3482"/>
      <c r="R55" s="3483"/>
      <c r="S55" s="3480"/>
      <c r="T55" s="3485"/>
      <c r="U55" s="3478"/>
      <c r="V55" s="2640">
        <f>0+400000000+128998611</f>
        <v>528998611</v>
      </c>
      <c r="W55" s="1703">
        <v>88</v>
      </c>
      <c r="X55" s="1886" t="s">
        <v>942</v>
      </c>
      <c r="Y55" s="3150"/>
      <c r="Z55" s="3150"/>
      <c r="AA55" s="3150"/>
      <c r="AB55" s="3150"/>
      <c r="AC55" s="3150"/>
      <c r="AD55" s="3108"/>
      <c r="AE55" s="3469"/>
      <c r="AF55" s="2049"/>
      <c r="AG55" s="2049"/>
      <c r="AH55" s="2049"/>
      <c r="AI55" s="2049"/>
      <c r="AJ55" s="2049"/>
      <c r="AK55" s="2049"/>
      <c r="AL55" s="2049"/>
      <c r="AM55" s="1898"/>
      <c r="AN55" s="3150"/>
      <c r="AO55" s="3472"/>
      <c r="AP55" s="3474"/>
      <c r="AQ55" s="3476"/>
    </row>
    <row r="56" spans="1:1376" ht="39" customHeight="1" x14ac:dyDescent="0.2">
      <c r="A56" s="3541"/>
      <c r="B56" s="3542"/>
      <c r="C56" s="3494"/>
      <c r="D56" s="3489"/>
      <c r="E56" s="3490"/>
      <c r="F56" s="3491"/>
      <c r="G56" s="3489"/>
      <c r="H56" s="3490"/>
      <c r="I56" s="3491"/>
      <c r="J56" s="2914"/>
      <c r="K56" s="3480"/>
      <c r="L56" s="3480"/>
      <c r="M56" s="3060"/>
      <c r="N56" s="3060"/>
      <c r="O56" s="3060"/>
      <c r="P56" s="3480"/>
      <c r="Q56" s="3482"/>
      <c r="R56" s="3483"/>
      <c r="S56" s="3480"/>
      <c r="T56" s="3485"/>
      <c r="U56" s="3478"/>
      <c r="V56" s="2640">
        <f>0+72966900</f>
        <v>72966900</v>
      </c>
      <c r="W56" s="1703">
        <v>94</v>
      </c>
      <c r="X56" s="1893" t="s">
        <v>943</v>
      </c>
      <c r="Y56" s="3150"/>
      <c r="Z56" s="3150"/>
      <c r="AA56" s="3150"/>
      <c r="AB56" s="3150"/>
      <c r="AC56" s="3150"/>
      <c r="AD56" s="3108"/>
      <c r="AE56" s="3469"/>
      <c r="AF56" s="2049"/>
      <c r="AG56" s="2049"/>
      <c r="AH56" s="2049"/>
      <c r="AI56" s="2049"/>
      <c r="AJ56" s="2049"/>
      <c r="AK56" s="2049"/>
      <c r="AL56" s="2049"/>
      <c r="AM56" s="1898"/>
      <c r="AN56" s="3150"/>
      <c r="AO56" s="3472"/>
      <c r="AP56" s="3474"/>
      <c r="AQ56" s="3477"/>
    </row>
    <row r="57" spans="1:1376" ht="79.5" customHeight="1" x14ac:dyDescent="0.2">
      <c r="A57" s="3541"/>
      <c r="B57" s="3542"/>
      <c r="C57" s="3494"/>
      <c r="D57" s="3489"/>
      <c r="E57" s="3490"/>
      <c r="F57" s="3491"/>
      <c r="G57" s="3489"/>
      <c r="H57" s="3490"/>
      <c r="I57" s="3491"/>
      <c r="J57" s="2914"/>
      <c r="K57" s="3480"/>
      <c r="L57" s="3480"/>
      <c r="M57" s="3060"/>
      <c r="N57" s="3060"/>
      <c r="O57" s="3060"/>
      <c r="P57" s="3480"/>
      <c r="Q57" s="3482"/>
      <c r="R57" s="3483"/>
      <c r="S57" s="3480"/>
      <c r="T57" s="3477"/>
      <c r="U57" s="2024" t="s">
        <v>944</v>
      </c>
      <c r="V57" s="2643">
        <f>167924879-93855715</f>
        <v>74069164</v>
      </c>
      <c r="W57" s="2416">
        <v>52</v>
      </c>
      <c r="X57" s="2417" t="s">
        <v>941</v>
      </c>
      <c r="Y57" s="3470"/>
      <c r="Z57" s="3470"/>
      <c r="AA57" s="3470"/>
      <c r="AB57" s="3470"/>
      <c r="AC57" s="3470"/>
      <c r="AD57" s="3467"/>
      <c r="AE57" s="3469"/>
      <c r="AF57" s="2049"/>
      <c r="AG57" s="2049"/>
      <c r="AH57" s="2049"/>
      <c r="AI57" s="2049"/>
      <c r="AJ57" s="2049"/>
      <c r="AK57" s="2049"/>
      <c r="AL57" s="2049"/>
      <c r="AM57" s="1898"/>
      <c r="AN57" s="3470"/>
      <c r="AO57" s="3472"/>
      <c r="AP57" s="3474"/>
      <c r="AQ57" s="3477"/>
    </row>
    <row r="58" spans="1:1376" ht="21.75" customHeight="1" x14ac:dyDescent="0.2">
      <c r="A58" s="3464"/>
      <c r="B58" s="3465"/>
      <c r="C58" s="3465"/>
      <c r="D58" s="3465"/>
      <c r="E58" s="3465"/>
      <c r="F58" s="3465"/>
      <c r="G58" s="3465"/>
      <c r="H58" s="3465"/>
      <c r="I58" s="3465"/>
      <c r="J58" s="3465"/>
      <c r="K58" s="3465"/>
      <c r="L58" s="3465"/>
      <c r="M58" s="3465"/>
      <c r="N58" s="3465"/>
      <c r="O58" s="3465"/>
      <c r="P58" s="2418" t="s">
        <v>945</v>
      </c>
      <c r="Q58" s="2419"/>
      <c r="R58" s="2420">
        <f>R53+R46+R43+R37+R28+R18+R13</f>
        <v>2910880390</v>
      </c>
      <c r="S58" s="2421"/>
      <c r="T58" s="2422"/>
      <c r="U58" s="2422"/>
      <c r="V58" s="2642">
        <f>SUM(V13:V57)</f>
        <v>2910880390</v>
      </c>
      <c r="W58" s="2423"/>
      <c r="X58" s="2424"/>
      <c r="Y58" s="1996"/>
      <c r="Z58" s="1996"/>
      <c r="AA58" s="1970"/>
      <c r="AB58" s="1970"/>
      <c r="AC58" s="1970"/>
      <c r="AD58" s="1970"/>
      <c r="AE58" s="2425"/>
      <c r="AF58" s="2425"/>
      <c r="AG58" s="2425"/>
      <c r="AH58" s="2425"/>
      <c r="AI58" s="2425"/>
      <c r="AJ58" s="2425"/>
      <c r="AK58" s="2425"/>
      <c r="AL58" s="2425"/>
      <c r="AM58" s="2425"/>
      <c r="AN58" s="1996"/>
      <c r="AO58" s="2426"/>
      <c r="AP58" s="2426"/>
      <c r="AQ58" s="2427"/>
    </row>
    <row r="59" spans="1:1376" ht="11.25" customHeight="1" x14ac:dyDescent="0.25">
      <c r="R59" s="2406"/>
      <c r="V59" s="421"/>
      <c r="Y59" s="1690"/>
      <c r="Z59" s="1690"/>
      <c r="AN59" s="1690"/>
    </row>
    <row r="60" spans="1:1376" ht="11.25" customHeight="1" x14ac:dyDescent="0.25">
      <c r="R60" s="2406"/>
      <c r="Y60" s="1690"/>
      <c r="Z60" s="1690"/>
      <c r="AN60" s="1690"/>
    </row>
    <row r="61" spans="1:1376" ht="11.25" customHeight="1" x14ac:dyDescent="0.25">
      <c r="R61" s="2406"/>
      <c r="Y61" s="1690"/>
      <c r="Z61" s="1690"/>
      <c r="AN61" s="1690"/>
    </row>
    <row r="62" spans="1:1376" ht="11.25" customHeight="1" x14ac:dyDescent="0.25">
      <c r="R62" s="2406"/>
      <c r="V62" s="1870"/>
      <c r="W62" s="1452"/>
      <c r="Y62" s="1690"/>
      <c r="Z62" s="1690"/>
      <c r="AN62" s="1690"/>
    </row>
    <row r="63" spans="1:1376" ht="11.25" customHeight="1" x14ac:dyDescent="0.25">
      <c r="R63" s="2406"/>
      <c r="V63" s="1870"/>
      <c r="W63" s="1452"/>
      <c r="Y63" s="1690"/>
      <c r="Z63" s="1690"/>
      <c r="AN63" s="1690"/>
    </row>
    <row r="64" spans="1:1376" ht="22.5" customHeight="1" x14ac:dyDescent="0.25">
      <c r="D64" s="21"/>
      <c r="E64" s="21"/>
      <c r="F64" s="21"/>
      <c r="G64" s="21"/>
      <c r="H64" s="21"/>
      <c r="I64" s="21"/>
      <c r="J64" s="21"/>
      <c r="R64" s="2406"/>
      <c r="V64" s="1870"/>
      <c r="W64" s="1452"/>
      <c r="Y64" s="1690"/>
      <c r="Z64" s="1690"/>
      <c r="AN64" s="1690"/>
    </row>
    <row r="65" spans="4:23" ht="22.5" customHeight="1" x14ac:dyDescent="0.25">
      <c r="D65" s="3466" t="s">
        <v>946</v>
      </c>
      <c r="E65" s="3466"/>
      <c r="F65" s="3466"/>
      <c r="G65" s="3466"/>
      <c r="H65" s="3466"/>
      <c r="I65" s="3466"/>
      <c r="J65" s="3466"/>
      <c r="R65" s="2406"/>
      <c r="V65" s="1870"/>
      <c r="W65" s="1452"/>
    </row>
    <row r="66" spans="4:23" ht="22.5" customHeight="1" x14ac:dyDescent="0.25">
      <c r="D66" s="23" t="s">
        <v>947</v>
      </c>
      <c r="E66" s="23"/>
      <c r="F66" s="23"/>
      <c r="R66" s="2406"/>
    </row>
    <row r="67" spans="4:23" ht="22.5" customHeight="1" x14ac:dyDescent="0.2">
      <c r="R67" s="2406"/>
    </row>
    <row r="68" spans="4:23" ht="22.5" customHeight="1" x14ac:dyDescent="0.2">
      <c r="R68" s="2406"/>
    </row>
    <row r="69" spans="4:23" ht="11.25" customHeight="1" x14ac:dyDescent="0.2">
      <c r="R69" s="2406"/>
    </row>
    <row r="70" spans="4:23" ht="11.25" customHeight="1" x14ac:dyDescent="0.2">
      <c r="R70" s="2406"/>
    </row>
    <row r="71" spans="4:23" ht="11.25" customHeight="1" x14ac:dyDescent="0.2">
      <c r="R71" s="2406"/>
    </row>
    <row r="72" spans="4:23" ht="11.25" customHeight="1" x14ac:dyDescent="0.2">
      <c r="R72" s="2406"/>
    </row>
    <row r="73" spans="4:23" ht="11.25" customHeight="1" x14ac:dyDescent="0.2">
      <c r="R73" s="2406"/>
    </row>
    <row r="74" spans="4:23" ht="11.25" customHeight="1" x14ac:dyDescent="0.2">
      <c r="R74" s="2406"/>
    </row>
    <row r="75" spans="4:23" ht="11.25" customHeight="1" x14ac:dyDescent="0.2">
      <c r="R75" s="2406"/>
    </row>
    <row r="76" spans="4:23" ht="11.25" customHeight="1" x14ac:dyDescent="0.2">
      <c r="R76" s="2406"/>
    </row>
    <row r="77" spans="4:23" ht="11.25" customHeight="1" x14ac:dyDescent="0.2">
      <c r="R77" s="2406"/>
    </row>
    <row r="78" spans="4:23" ht="11.25" customHeight="1" x14ac:dyDescent="0.2">
      <c r="R78" s="2406"/>
    </row>
    <row r="79" spans="4:23" ht="11.25" customHeight="1" x14ac:dyDescent="0.2">
      <c r="R79" s="2406"/>
    </row>
    <row r="80" spans="4:23" ht="11.25" customHeight="1" x14ac:dyDescent="0.2">
      <c r="R80" s="2406"/>
    </row>
    <row r="81" spans="18:18" ht="11.25" customHeight="1" x14ac:dyDescent="0.2">
      <c r="R81" s="2406"/>
    </row>
    <row r="82" spans="18:18" ht="11.25" customHeight="1" x14ac:dyDescent="0.2">
      <c r="R82" s="2406"/>
    </row>
    <row r="83" spans="18:18" ht="11.25" customHeight="1" x14ac:dyDescent="0.2">
      <c r="R83" s="2406"/>
    </row>
    <row r="84" spans="18:18" ht="11.25" customHeight="1" x14ac:dyDescent="0.2">
      <c r="R84" s="2406"/>
    </row>
    <row r="85" spans="18:18" ht="11.25" customHeight="1" x14ac:dyDescent="0.2">
      <c r="R85" s="2406"/>
    </row>
    <row r="86" spans="18:18" ht="11.25" customHeight="1" x14ac:dyDescent="0.2">
      <c r="R86" s="2406"/>
    </row>
    <row r="87" spans="18:18" ht="11.25" customHeight="1" x14ac:dyDescent="0.2">
      <c r="R87" s="2406"/>
    </row>
    <row r="88" spans="18:18" ht="11.25" customHeight="1" x14ac:dyDescent="0.2">
      <c r="R88" s="2406"/>
    </row>
    <row r="89" spans="18:18" ht="11.25" customHeight="1" x14ac:dyDescent="0.2">
      <c r="R89" s="2406"/>
    </row>
    <row r="90" spans="18:18" ht="11.25" customHeight="1" x14ac:dyDescent="0.2">
      <c r="R90" s="2406"/>
    </row>
    <row r="91" spans="18:18" ht="11.25" customHeight="1" x14ac:dyDescent="0.2">
      <c r="R91" s="2406"/>
    </row>
    <row r="92" spans="18:18" ht="11.25" customHeight="1" x14ac:dyDescent="0.2">
      <c r="R92" s="2406"/>
    </row>
    <row r="93" spans="18:18" ht="11.25" customHeight="1" x14ac:dyDescent="0.2">
      <c r="R93" s="2406"/>
    </row>
    <row r="94" spans="18:18" ht="11.25" customHeight="1" x14ac:dyDescent="0.2">
      <c r="R94" s="2406"/>
    </row>
    <row r="95" spans="18:18" ht="11.25" customHeight="1" x14ac:dyDescent="0.2">
      <c r="R95" s="2406"/>
    </row>
    <row r="96" spans="18:18" ht="11.25" customHeight="1" x14ac:dyDescent="0.2">
      <c r="R96" s="2406"/>
    </row>
    <row r="97" spans="18:18" ht="11.25" customHeight="1" x14ac:dyDescent="0.2">
      <c r="R97" s="2406"/>
    </row>
    <row r="98" spans="18:18" ht="11.25" customHeight="1" x14ac:dyDescent="0.2">
      <c r="R98" s="2406"/>
    </row>
  </sheetData>
  <sheetProtection password="A60F" sheet="1" objects="1" scenarios="1"/>
  <mergeCells count="232">
    <mergeCell ref="L7:L9"/>
    <mergeCell ref="M7:M9"/>
    <mergeCell ref="N7:N9"/>
    <mergeCell ref="O7:O9"/>
    <mergeCell ref="A1:AP4"/>
    <mergeCell ref="A5:M6"/>
    <mergeCell ref="N5:AQ5"/>
    <mergeCell ref="Y6:AM6"/>
    <mergeCell ref="A7:A9"/>
    <mergeCell ref="B7:C9"/>
    <mergeCell ref="D7:D9"/>
    <mergeCell ref="E7:F9"/>
    <mergeCell ref="G7:G9"/>
    <mergeCell ref="H7:I9"/>
    <mergeCell ref="AK7:AM7"/>
    <mergeCell ref="AN7:AN8"/>
    <mergeCell ref="AO7:AO8"/>
    <mergeCell ref="AP7:AP8"/>
    <mergeCell ref="AQ7:AQ9"/>
    <mergeCell ref="AA7:AD7"/>
    <mergeCell ref="AE7:AJ7"/>
    <mergeCell ref="A11:C57"/>
    <mergeCell ref="D12:F40"/>
    <mergeCell ref="G13:I26"/>
    <mergeCell ref="J13:J16"/>
    <mergeCell ref="K13:K16"/>
    <mergeCell ref="V7:V8"/>
    <mergeCell ref="W7:W9"/>
    <mergeCell ref="X7:X9"/>
    <mergeCell ref="Y7:Z7"/>
    <mergeCell ref="P7:P9"/>
    <mergeCell ref="Q7:Q9"/>
    <mergeCell ref="R7:R9"/>
    <mergeCell ref="S7:S9"/>
    <mergeCell ref="T7:T9"/>
    <mergeCell ref="U7:U9"/>
    <mergeCell ref="J7:J9"/>
    <mergeCell ref="K7:K9"/>
    <mergeCell ref="R13:R17"/>
    <mergeCell ref="S13:S17"/>
    <mergeCell ref="T13:T17"/>
    <mergeCell ref="U13:U14"/>
    <mergeCell ref="Y13:Y17"/>
    <mergeCell ref="Z13:Z17"/>
    <mergeCell ref="L13:L16"/>
    <mergeCell ref="M13:M16"/>
    <mergeCell ref="N13:N17"/>
    <mergeCell ref="O13:O17"/>
    <mergeCell ref="P13:P17"/>
    <mergeCell ref="Q13:Q16"/>
    <mergeCell ref="AO13:AO17"/>
    <mergeCell ref="AP13:AP17"/>
    <mergeCell ref="AQ13:AQ17"/>
    <mergeCell ref="U15:U16"/>
    <mergeCell ref="V15:V16"/>
    <mergeCell ref="W15:W16"/>
    <mergeCell ref="X15:X16"/>
    <mergeCell ref="AA13:AA17"/>
    <mergeCell ref="AB13:AB17"/>
    <mergeCell ref="AC13:AC17"/>
    <mergeCell ref="AD13:AD17"/>
    <mergeCell ref="AE13:AE17"/>
    <mergeCell ref="AN13:AN17"/>
    <mergeCell ref="J18:J20"/>
    <mergeCell ref="K18:K20"/>
    <mergeCell ref="L18:L20"/>
    <mergeCell ref="M18:M20"/>
    <mergeCell ref="O18:O26"/>
    <mergeCell ref="P18:P26"/>
    <mergeCell ref="J21:J23"/>
    <mergeCell ref="K21:K23"/>
    <mergeCell ref="L21:L23"/>
    <mergeCell ref="M21:M23"/>
    <mergeCell ref="Q18:Q20"/>
    <mergeCell ref="R18:R26"/>
    <mergeCell ref="S18:S26"/>
    <mergeCell ref="T18:T20"/>
    <mergeCell ref="U18:U20"/>
    <mergeCell ref="Y18:Y26"/>
    <mergeCell ref="Q21:Q23"/>
    <mergeCell ref="T21:T26"/>
    <mergeCell ref="U21:U23"/>
    <mergeCell ref="V24:V26"/>
    <mergeCell ref="AN18:AN26"/>
    <mergeCell ref="AO18:AO26"/>
    <mergeCell ref="AP18:AP26"/>
    <mergeCell ref="AQ18:AQ26"/>
    <mergeCell ref="V19:V20"/>
    <mergeCell ref="W19:W20"/>
    <mergeCell ref="X19:X20"/>
    <mergeCell ref="V21:V23"/>
    <mergeCell ref="W21:W23"/>
    <mergeCell ref="X21:X23"/>
    <mergeCell ref="Z18:Z26"/>
    <mergeCell ref="AA18:AA26"/>
    <mergeCell ref="AB18:AB26"/>
    <mergeCell ref="AC18:AC26"/>
    <mergeCell ref="AD18:AD26"/>
    <mergeCell ref="AE18:AE26"/>
    <mergeCell ref="T28:T30"/>
    <mergeCell ref="U28:U29"/>
    <mergeCell ref="Y28:Y35"/>
    <mergeCell ref="Z28:Z35"/>
    <mergeCell ref="W24:W26"/>
    <mergeCell ref="X24:X26"/>
    <mergeCell ref="G28:I35"/>
    <mergeCell ref="J28:J30"/>
    <mergeCell ref="K28:K30"/>
    <mergeCell ref="L28:L30"/>
    <mergeCell ref="M28:M30"/>
    <mergeCell ref="O28:O35"/>
    <mergeCell ref="P28:P35"/>
    <mergeCell ref="Q28:Q30"/>
    <mergeCell ref="J24:J26"/>
    <mergeCell ref="K24:K26"/>
    <mergeCell ref="L24:L26"/>
    <mergeCell ref="M24:M26"/>
    <mergeCell ref="Q24:Q26"/>
    <mergeCell ref="U24:U26"/>
    <mergeCell ref="U34:U35"/>
    <mergeCell ref="G37:I40"/>
    <mergeCell ref="J37:J38"/>
    <mergeCell ref="K37:K38"/>
    <mergeCell ref="L37:L38"/>
    <mergeCell ref="M37:M38"/>
    <mergeCell ref="AO28:AO35"/>
    <mergeCell ref="AP28:AP35"/>
    <mergeCell ref="AQ28:AQ35"/>
    <mergeCell ref="J31:J32"/>
    <mergeCell ref="K31:K32"/>
    <mergeCell ref="L31:L32"/>
    <mergeCell ref="M31:M32"/>
    <mergeCell ref="Q31:Q32"/>
    <mergeCell ref="T31:T35"/>
    <mergeCell ref="J34:J35"/>
    <mergeCell ref="AA28:AA35"/>
    <mergeCell ref="AB28:AB35"/>
    <mergeCell ref="AC28:AC35"/>
    <mergeCell ref="AD28:AD35"/>
    <mergeCell ref="AE28:AE35"/>
    <mergeCell ref="AN28:AN35"/>
    <mergeCell ref="R28:R35"/>
    <mergeCell ref="S28:S35"/>
    <mergeCell ref="O37:O40"/>
    <mergeCell ref="P37:P40"/>
    <mergeCell ref="Q37:Q38"/>
    <mergeCell ref="R37:R40"/>
    <mergeCell ref="S37:S40"/>
    <mergeCell ref="T37:T38"/>
    <mergeCell ref="T39:T40"/>
    <mergeCell ref="K34:K35"/>
    <mergeCell ref="L34:L35"/>
    <mergeCell ref="M34:M35"/>
    <mergeCell ref="Q34:Q35"/>
    <mergeCell ref="AD37:AD40"/>
    <mergeCell ref="AE37:AE40"/>
    <mergeCell ref="AN37:AN40"/>
    <mergeCell ref="AO37:AO40"/>
    <mergeCell ref="AP37:AP40"/>
    <mergeCell ref="AQ37:AQ40"/>
    <mergeCell ref="U37:U38"/>
    <mergeCell ref="Y37:Y40"/>
    <mergeCell ref="Z37:Z40"/>
    <mergeCell ref="AA37:AA40"/>
    <mergeCell ref="AB37:AB40"/>
    <mergeCell ref="AC37:AC40"/>
    <mergeCell ref="D42:F57"/>
    <mergeCell ref="N43:N44"/>
    <mergeCell ref="O43:O44"/>
    <mergeCell ref="P43:P44"/>
    <mergeCell ref="R43:R44"/>
    <mergeCell ref="S43:S44"/>
    <mergeCell ref="G46:I51"/>
    <mergeCell ref="J46:J51"/>
    <mergeCell ref="K46:K51"/>
    <mergeCell ref="L46:L51"/>
    <mergeCell ref="M53:M57"/>
    <mergeCell ref="N53:N57"/>
    <mergeCell ref="M46:M51"/>
    <mergeCell ref="O46:O51"/>
    <mergeCell ref="P46:P51"/>
    <mergeCell ref="Q46:Q51"/>
    <mergeCell ref="R46:R51"/>
    <mergeCell ref="S46:S51"/>
    <mergeCell ref="AD43:AD44"/>
    <mergeCell ref="AE43:AE44"/>
    <mergeCell ref="AN43:AN44"/>
    <mergeCell ref="AO43:AO44"/>
    <mergeCell ref="AP43:AP44"/>
    <mergeCell ref="AQ43:AQ44"/>
    <mergeCell ref="T43:T44"/>
    <mergeCell ref="Y43:Y44"/>
    <mergeCell ref="Z43:Z44"/>
    <mergeCell ref="AA43:AA44"/>
    <mergeCell ref="AB43:AB44"/>
    <mergeCell ref="AC43:AC44"/>
    <mergeCell ref="AD46:AD51"/>
    <mergeCell ref="AE46:AE51"/>
    <mergeCell ref="AN46:AN51"/>
    <mergeCell ref="AO46:AO51"/>
    <mergeCell ref="AP46:AP51"/>
    <mergeCell ref="AQ46:AQ51"/>
    <mergeCell ref="T46:T51"/>
    <mergeCell ref="Y46:Y51"/>
    <mergeCell ref="Z46:Z51"/>
    <mergeCell ref="AA46:AA51"/>
    <mergeCell ref="AB46:AB51"/>
    <mergeCell ref="AC46:AC51"/>
    <mergeCell ref="A58:O58"/>
    <mergeCell ref="D65:J65"/>
    <mergeCell ref="AD53:AD57"/>
    <mergeCell ref="AE53:AE57"/>
    <mergeCell ref="AN53:AN57"/>
    <mergeCell ref="AO53:AO57"/>
    <mergeCell ref="AP53:AP57"/>
    <mergeCell ref="AQ53:AQ57"/>
    <mergeCell ref="U53:U56"/>
    <mergeCell ref="Y53:Y57"/>
    <mergeCell ref="Z53:Z57"/>
    <mergeCell ref="AA53:AA57"/>
    <mergeCell ref="AB53:AB57"/>
    <mergeCell ref="AC53:AC57"/>
    <mergeCell ref="O53:O57"/>
    <mergeCell ref="P53:P57"/>
    <mergeCell ref="Q53:Q57"/>
    <mergeCell ref="R53:R57"/>
    <mergeCell ref="S53:S57"/>
    <mergeCell ref="T53:T57"/>
    <mergeCell ref="G53:I57"/>
    <mergeCell ref="J53:J57"/>
    <mergeCell ref="K53:K57"/>
    <mergeCell ref="L53:L5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F85"/>
  <sheetViews>
    <sheetView showGridLines="0" zoomScale="70" zoomScaleNormal="70" workbookViewId="0">
      <selection sqref="A1:AL4"/>
    </sheetView>
  </sheetViews>
  <sheetFormatPr baseColWidth="10" defaultColWidth="11.42578125" defaultRowHeight="14.25" x14ac:dyDescent="0.25"/>
  <cols>
    <col min="1" max="1" width="21.42578125" style="809" customWidth="1"/>
    <col min="2" max="2" width="24" style="697" customWidth="1"/>
    <col min="3" max="3" width="15.28515625" style="697" customWidth="1"/>
    <col min="4" max="4" width="20.7109375" style="697" customWidth="1"/>
    <col min="5" max="5" width="21.140625" style="697" customWidth="1"/>
    <col min="6" max="6" width="27.85546875" style="697" customWidth="1"/>
    <col min="7" max="7" width="15.42578125" style="703" customWidth="1"/>
    <col min="8" max="8" width="46.5703125" style="390" customWidth="1"/>
    <col min="9" max="9" width="38.7109375" style="696" customWidth="1"/>
    <col min="10" max="10" width="24.140625" style="696" customWidth="1"/>
    <col min="11" max="11" width="27" style="696" customWidth="1"/>
    <col min="12" max="12" width="17.85546875" style="394" customWidth="1"/>
    <col min="13" max="13" width="22.140625" style="390" customWidth="1"/>
    <col min="14" max="14" width="19" style="810" customWidth="1"/>
    <col min="15" max="15" width="32.85546875" style="396" customWidth="1"/>
    <col min="16" max="16" width="29.7109375" style="390" customWidth="1"/>
    <col min="17" max="17" width="44.140625" style="390" customWidth="1"/>
    <col min="18" max="18" width="45.7109375" style="390" customWidth="1"/>
    <col min="19" max="19" width="25" style="397" customWidth="1"/>
    <col min="20" max="20" width="11.7109375" style="393" customWidth="1"/>
    <col min="21" max="21" width="17.28515625" style="394" customWidth="1"/>
    <col min="22" max="22" width="9.140625" style="697" customWidth="1"/>
    <col min="23" max="23" width="9.7109375" style="697" customWidth="1"/>
    <col min="24" max="24" width="9.85546875" style="697" customWidth="1"/>
    <col min="25" max="25" width="7.28515625" style="697" customWidth="1"/>
    <col min="26" max="26" width="10.42578125" style="697" customWidth="1"/>
    <col min="27" max="27" width="9.42578125" style="697" customWidth="1"/>
    <col min="28" max="36" width="7.28515625" style="697" customWidth="1"/>
    <col min="37" max="37" width="9.85546875" style="697" customWidth="1"/>
    <col min="38" max="38" width="13.7109375" style="690" customWidth="1"/>
    <col min="39" max="39" width="26.85546875" style="811" customWidth="1"/>
    <col min="40" max="40" width="20.85546875" style="691" customWidth="1"/>
    <col min="41" max="254" width="11.42578125" style="697"/>
    <col min="255" max="255" width="13.140625" style="697" customWidth="1"/>
    <col min="256" max="256" width="35.28515625" style="697" customWidth="1"/>
    <col min="257" max="257" width="12.85546875" style="697" customWidth="1"/>
    <col min="258" max="258" width="19.5703125" style="697" customWidth="1"/>
    <col min="259" max="259" width="12.28515625" style="697" customWidth="1"/>
    <col min="260" max="260" width="21.28515625" style="697" customWidth="1"/>
    <col min="261" max="261" width="11.5703125" style="697" customWidth="1"/>
    <col min="262" max="262" width="33.140625" style="697" customWidth="1"/>
    <col min="263" max="263" width="22.7109375" style="697" customWidth="1"/>
    <col min="264" max="264" width="10.7109375" style="697" customWidth="1"/>
    <col min="265" max="265" width="27.7109375" style="697" customWidth="1"/>
    <col min="266" max="266" width="21.42578125" style="697" customWidth="1"/>
    <col min="267" max="267" width="22.140625" style="697" customWidth="1"/>
    <col min="268" max="268" width="12.7109375" style="697" customWidth="1"/>
    <col min="269" max="269" width="16.42578125" style="697" customWidth="1"/>
    <col min="270" max="270" width="29.7109375" style="697" customWidth="1"/>
    <col min="271" max="271" width="29.140625" style="697" customWidth="1"/>
    <col min="272" max="272" width="33.5703125" style="697" customWidth="1"/>
    <col min="273" max="273" width="25" style="697" customWidth="1"/>
    <col min="274" max="274" width="11.7109375" style="697" customWidth="1"/>
    <col min="275" max="275" width="17.28515625" style="697" customWidth="1"/>
    <col min="276" max="291" width="7.28515625" style="697" customWidth="1"/>
    <col min="292" max="293" width="13.7109375" style="697" customWidth="1"/>
    <col min="294" max="294" width="20.85546875" style="697" customWidth="1"/>
    <col min="295" max="510" width="11.42578125" style="697"/>
    <col min="511" max="511" width="13.140625" style="697" customWidth="1"/>
    <col min="512" max="512" width="35.28515625" style="697" customWidth="1"/>
    <col min="513" max="513" width="12.85546875" style="697" customWidth="1"/>
    <col min="514" max="514" width="19.5703125" style="697" customWidth="1"/>
    <col min="515" max="515" width="12.28515625" style="697" customWidth="1"/>
    <col min="516" max="516" width="21.28515625" style="697" customWidth="1"/>
    <col min="517" max="517" width="11.5703125" style="697" customWidth="1"/>
    <col min="518" max="518" width="33.140625" style="697" customWidth="1"/>
    <col min="519" max="519" width="22.7109375" style="697" customWidth="1"/>
    <col min="520" max="520" width="10.7109375" style="697" customWidth="1"/>
    <col min="521" max="521" width="27.7109375" style="697" customWidth="1"/>
    <col min="522" max="522" width="21.42578125" style="697" customWidth="1"/>
    <col min="523" max="523" width="22.140625" style="697" customWidth="1"/>
    <col min="524" max="524" width="12.7109375" style="697" customWidth="1"/>
    <col min="525" max="525" width="16.42578125" style="697" customWidth="1"/>
    <col min="526" max="526" width="29.7109375" style="697" customWidth="1"/>
    <col min="527" max="527" width="29.140625" style="697" customWidth="1"/>
    <col min="528" max="528" width="33.5703125" style="697" customWidth="1"/>
    <col min="529" max="529" width="25" style="697" customWidth="1"/>
    <col min="530" max="530" width="11.7109375" style="697" customWidth="1"/>
    <col min="531" max="531" width="17.28515625" style="697" customWidth="1"/>
    <col min="532" max="547" width="7.28515625" style="697" customWidth="1"/>
    <col min="548" max="549" width="13.7109375" style="697" customWidth="1"/>
    <col min="550" max="550" width="20.85546875" style="697" customWidth="1"/>
    <col min="551" max="766" width="11.42578125" style="697"/>
    <col min="767" max="767" width="13.140625" style="697" customWidth="1"/>
    <col min="768" max="768" width="35.28515625" style="697" customWidth="1"/>
    <col min="769" max="769" width="12.85546875" style="697" customWidth="1"/>
    <col min="770" max="770" width="19.5703125" style="697" customWidth="1"/>
    <col min="771" max="771" width="12.28515625" style="697" customWidth="1"/>
    <col min="772" max="772" width="21.28515625" style="697" customWidth="1"/>
    <col min="773" max="773" width="11.5703125" style="697" customWidth="1"/>
    <col min="774" max="774" width="33.140625" style="697" customWidth="1"/>
    <col min="775" max="775" width="22.7109375" style="697" customWidth="1"/>
    <col min="776" max="776" width="10.7109375" style="697" customWidth="1"/>
    <col min="777" max="777" width="27.7109375" style="697" customWidth="1"/>
    <col min="778" max="778" width="21.42578125" style="697" customWidth="1"/>
    <col min="779" max="779" width="22.140625" style="697" customWidth="1"/>
    <col min="780" max="780" width="12.7109375" style="697" customWidth="1"/>
    <col min="781" max="781" width="16.42578125" style="697" customWidth="1"/>
    <col min="782" max="782" width="29.7109375" style="697" customWidth="1"/>
    <col min="783" max="783" width="29.140625" style="697" customWidth="1"/>
    <col min="784" max="784" width="33.5703125" style="697" customWidth="1"/>
    <col min="785" max="785" width="25" style="697" customWidth="1"/>
    <col min="786" max="786" width="11.7109375" style="697" customWidth="1"/>
    <col min="787" max="787" width="17.28515625" style="697" customWidth="1"/>
    <col min="788" max="803" width="7.28515625" style="697" customWidth="1"/>
    <col min="804" max="805" width="13.7109375" style="697" customWidth="1"/>
    <col min="806" max="806" width="20.85546875" style="697" customWidth="1"/>
    <col min="807" max="1022" width="11.42578125" style="697"/>
    <col min="1023" max="1023" width="13.140625" style="697" customWidth="1"/>
    <col min="1024" max="1024" width="35.28515625" style="697" customWidth="1"/>
    <col min="1025" max="1025" width="12.85546875" style="697" customWidth="1"/>
    <col min="1026" max="1026" width="19.5703125" style="697" customWidth="1"/>
    <col min="1027" max="1027" width="12.28515625" style="697" customWidth="1"/>
    <col min="1028" max="1028" width="21.28515625" style="697" customWidth="1"/>
    <col min="1029" max="1029" width="11.5703125" style="697" customWidth="1"/>
    <col min="1030" max="1030" width="33.140625" style="697" customWidth="1"/>
    <col min="1031" max="1031" width="22.7109375" style="697" customWidth="1"/>
    <col min="1032" max="1032" width="10.7109375" style="697" customWidth="1"/>
    <col min="1033" max="1033" width="27.7109375" style="697" customWidth="1"/>
    <col min="1034" max="1034" width="21.42578125" style="697" customWidth="1"/>
    <col min="1035" max="1035" width="22.140625" style="697" customWidth="1"/>
    <col min="1036" max="1036" width="12.7109375" style="697" customWidth="1"/>
    <col min="1037" max="1037" width="16.42578125" style="697" customWidth="1"/>
    <col min="1038" max="1038" width="29.7109375" style="697" customWidth="1"/>
    <col min="1039" max="1039" width="29.140625" style="697" customWidth="1"/>
    <col min="1040" max="1040" width="33.5703125" style="697" customWidth="1"/>
    <col min="1041" max="1041" width="25" style="697" customWidth="1"/>
    <col min="1042" max="1042" width="11.7109375" style="697" customWidth="1"/>
    <col min="1043" max="1043" width="17.28515625" style="697" customWidth="1"/>
    <col min="1044" max="1059" width="7.28515625" style="697" customWidth="1"/>
    <col min="1060" max="1061" width="13.7109375" style="697" customWidth="1"/>
    <col min="1062" max="1062" width="20.85546875" style="697" customWidth="1"/>
    <col min="1063" max="1278" width="11.42578125" style="697"/>
    <col min="1279" max="1279" width="13.140625" style="697" customWidth="1"/>
    <col min="1280" max="1280" width="35.28515625" style="697" customWidth="1"/>
    <col min="1281" max="1281" width="12.85546875" style="697" customWidth="1"/>
    <col min="1282" max="1282" width="19.5703125" style="697" customWidth="1"/>
    <col min="1283" max="1283" width="12.28515625" style="697" customWidth="1"/>
    <col min="1284" max="1284" width="21.28515625" style="697" customWidth="1"/>
    <col min="1285" max="1285" width="11.5703125" style="697" customWidth="1"/>
    <col min="1286" max="1286" width="33.140625" style="697" customWidth="1"/>
    <col min="1287" max="1287" width="22.7109375" style="697" customWidth="1"/>
    <col min="1288" max="1288" width="10.7109375" style="697" customWidth="1"/>
    <col min="1289" max="1289" width="27.7109375" style="697" customWidth="1"/>
    <col min="1290" max="1290" width="21.42578125" style="697" customWidth="1"/>
    <col min="1291" max="1291" width="22.140625" style="697" customWidth="1"/>
    <col min="1292" max="1292" width="12.7109375" style="697" customWidth="1"/>
    <col min="1293" max="1293" width="16.42578125" style="697" customWidth="1"/>
    <col min="1294" max="1294" width="29.7109375" style="697" customWidth="1"/>
    <col min="1295" max="1295" width="29.140625" style="697" customWidth="1"/>
    <col min="1296" max="1296" width="33.5703125" style="697" customWidth="1"/>
    <col min="1297" max="1297" width="25" style="697" customWidth="1"/>
    <col min="1298" max="1298" width="11.7109375" style="697" customWidth="1"/>
    <col min="1299" max="1299" width="17.28515625" style="697" customWidth="1"/>
    <col min="1300" max="1315" width="7.28515625" style="697" customWidth="1"/>
    <col min="1316" max="1317" width="13.7109375" style="697" customWidth="1"/>
    <col min="1318" max="1318" width="20.85546875" style="697" customWidth="1"/>
    <col min="1319" max="1534" width="11.42578125" style="697"/>
    <col min="1535" max="1535" width="13.140625" style="697" customWidth="1"/>
    <col min="1536" max="1536" width="35.28515625" style="697" customWidth="1"/>
    <col min="1537" max="1537" width="12.85546875" style="697" customWidth="1"/>
    <col min="1538" max="1538" width="19.5703125" style="697" customWidth="1"/>
    <col min="1539" max="1539" width="12.28515625" style="697" customWidth="1"/>
    <col min="1540" max="1540" width="21.28515625" style="697" customWidth="1"/>
    <col min="1541" max="1541" width="11.5703125" style="697" customWidth="1"/>
    <col min="1542" max="1542" width="33.140625" style="697" customWidth="1"/>
    <col min="1543" max="1543" width="22.7109375" style="697" customWidth="1"/>
    <col min="1544" max="1544" width="10.7109375" style="697" customWidth="1"/>
    <col min="1545" max="1545" width="27.7109375" style="697" customWidth="1"/>
    <col min="1546" max="1546" width="21.42578125" style="697" customWidth="1"/>
    <col min="1547" max="1547" width="22.140625" style="697" customWidth="1"/>
    <col min="1548" max="1548" width="12.7109375" style="697" customWidth="1"/>
    <col min="1549" max="1549" width="16.42578125" style="697" customWidth="1"/>
    <col min="1550" max="1550" width="29.7109375" style="697" customWidth="1"/>
    <col min="1551" max="1551" width="29.140625" style="697" customWidth="1"/>
    <col min="1552" max="1552" width="33.5703125" style="697" customWidth="1"/>
    <col min="1553" max="1553" width="25" style="697" customWidth="1"/>
    <col min="1554" max="1554" width="11.7109375" style="697" customWidth="1"/>
    <col min="1555" max="1555" width="17.28515625" style="697" customWidth="1"/>
    <col min="1556" max="1571" width="7.28515625" style="697" customWidth="1"/>
    <col min="1572" max="1573" width="13.7109375" style="697" customWidth="1"/>
    <col min="1574" max="1574" width="20.85546875" style="697" customWidth="1"/>
    <col min="1575" max="1790" width="11.42578125" style="697"/>
    <col min="1791" max="1791" width="13.140625" style="697" customWidth="1"/>
    <col min="1792" max="1792" width="35.28515625" style="697" customWidth="1"/>
    <col min="1793" max="1793" width="12.85546875" style="697" customWidth="1"/>
    <col min="1794" max="1794" width="19.5703125" style="697" customWidth="1"/>
    <col min="1795" max="1795" width="12.28515625" style="697" customWidth="1"/>
    <col min="1796" max="1796" width="21.28515625" style="697" customWidth="1"/>
    <col min="1797" max="1797" width="11.5703125" style="697" customWidth="1"/>
    <col min="1798" max="1798" width="33.140625" style="697" customWidth="1"/>
    <col min="1799" max="1799" width="22.7109375" style="697" customWidth="1"/>
    <col min="1800" max="1800" width="10.7109375" style="697" customWidth="1"/>
    <col min="1801" max="1801" width="27.7109375" style="697" customWidth="1"/>
    <col min="1802" max="1802" width="21.42578125" style="697" customWidth="1"/>
    <col min="1803" max="1803" width="22.140625" style="697" customWidth="1"/>
    <col min="1804" max="1804" width="12.7109375" style="697" customWidth="1"/>
    <col min="1805" max="1805" width="16.42578125" style="697" customWidth="1"/>
    <col min="1806" max="1806" width="29.7109375" style="697" customWidth="1"/>
    <col min="1807" max="1807" width="29.140625" style="697" customWidth="1"/>
    <col min="1808" max="1808" width="33.5703125" style="697" customWidth="1"/>
    <col min="1809" max="1809" width="25" style="697" customWidth="1"/>
    <col min="1810" max="1810" width="11.7109375" style="697" customWidth="1"/>
    <col min="1811" max="1811" width="17.28515625" style="697" customWidth="1"/>
    <col min="1812" max="1827" width="7.28515625" style="697" customWidth="1"/>
    <col min="1828" max="1829" width="13.7109375" style="697" customWidth="1"/>
    <col min="1830" max="1830" width="20.85546875" style="697" customWidth="1"/>
    <col min="1831" max="2046" width="11.42578125" style="697"/>
    <col min="2047" max="2047" width="13.140625" style="697" customWidth="1"/>
    <col min="2048" max="2048" width="35.28515625" style="697" customWidth="1"/>
    <col min="2049" max="2049" width="12.85546875" style="697" customWidth="1"/>
    <col min="2050" max="2050" width="19.5703125" style="697" customWidth="1"/>
    <col min="2051" max="2051" width="12.28515625" style="697" customWidth="1"/>
    <col min="2052" max="2052" width="21.28515625" style="697" customWidth="1"/>
    <col min="2053" max="2053" width="11.5703125" style="697" customWidth="1"/>
    <col min="2054" max="2054" width="33.140625" style="697" customWidth="1"/>
    <col min="2055" max="2055" width="22.7109375" style="697" customWidth="1"/>
    <col min="2056" max="2056" width="10.7109375" style="697" customWidth="1"/>
    <col min="2057" max="2057" width="27.7109375" style="697" customWidth="1"/>
    <col min="2058" max="2058" width="21.42578125" style="697" customWidth="1"/>
    <col min="2059" max="2059" width="22.140625" style="697" customWidth="1"/>
    <col min="2060" max="2060" width="12.7109375" style="697" customWidth="1"/>
    <col min="2061" max="2061" width="16.42578125" style="697" customWidth="1"/>
    <col min="2062" max="2062" width="29.7109375" style="697" customWidth="1"/>
    <col min="2063" max="2063" width="29.140625" style="697" customWidth="1"/>
    <col min="2064" max="2064" width="33.5703125" style="697" customWidth="1"/>
    <col min="2065" max="2065" width="25" style="697" customWidth="1"/>
    <col min="2066" max="2066" width="11.7109375" style="697" customWidth="1"/>
    <col min="2067" max="2067" width="17.28515625" style="697" customWidth="1"/>
    <col min="2068" max="2083" width="7.28515625" style="697" customWidth="1"/>
    <col min="2084" max="2085" width="13.7109375" style="697" customWidth="1"/>
    <col min="2086" max="2086" width="20.85546875" style="697" customWidth="1"/>
    <col min="2087" max="2302" width="11.42578125" style="697"/>
    <col min="2303" max="2303" width="13.140625" style="697" customWidth="1"/>
    <col min="2304" max="2304" width="35.28515625" style="697" customWidth="1"/>
    <col min="2305" max="2305" width="12.85546875" style="697" customWidth="1"/>
    <col min="2306" max="2306" width="19.5703125" style="697" customWidth="1"/>
    <col min="2307" max="2307" width="12.28515625" style="697" customWidth="1"/>
    <col min="2308" max="2308" width="21.28515625" style="697" customWidth="1"/>
    <col min="2309" max="2309" width="11.5703125" style="697" customWidth="1"/>
    <col min="2310" max="2310" width="33.140625" style="697" customWidth="1"/>
    <col min="2311" max="2311" width="22.7109375" style="697" customWidth="1"/>
    <col min="2312" max="2312" width="10.7109375" style="697" customWidth="1"/>
    <col min="2313" max="2313" width="27.7109375" style="697" customWidth="1"/>
    <col min="2314" max="2314" width="21.42578125" style="697" customWidth="1"/>
    <col min="2315" max="2315" width="22.140625" style="697" customWidth="1"/>
    <col min="2316" max="2316" width="12.7109375" style="697" customWidth="1"/>
    <col min="2317" max="2317" width="16.42578125" style="697" customWidth="1"/>
    <col min="2318" max="2318" width="29.7109375" style="697" customWidth="1"/>
    <col min="2319" max="2319" width="29.140625" style="697" customWidth="1"/>
    <col min="2320" max="2320" width="33.5703125" style="697" customWidth="1"/>
    <col min="2321" max="2321" width="25" style="697" customWidth="1"/>
    <col min="2322" max="2322" width="11.7109375" style="697" customWidth="1"/>
    <col min="2323" max="2323" width="17.28515625" style="697" customWidth="1"/>
    <col min="2324" max="2339" width="7.28515625" style="697" customWidth="1"/>
    <col min="2340" max="2341" width="13.7109375" style="697" customWidth="1"/>
    <col min="2342" max="2342" width="20.85546875" style="697" customWidth="1"/>
    <col min="2343" max="2558" width="11.42578125" style="697"/>
    <col min="2559" max="2559" width="13.140625" style="697" customWidth="1"/>
    <col min="2560" max="2560" width="35.28515625" style="697" customWidth="1"/>
    <col min="2561" max="2561" width="12.85546875" style="697" customWidth="1"/>
    <col min="2562" max="2562" width="19.5703125" style="697" customWidth="1"/>
    <col min="2563" max="2563" width="12.28515625" style="697" customWidth="1"/>
    <col min="2564" max="2564" width="21.28515625" style="697" customWidth="1"/>
    <col min="2565" max="2565" width="11.5703125" style="697" customWidth="1"/>
    <col min="2566" max="2566" width="33.140625" style="697" customWidth="1"/>
    <col min="2567" max="2567" width="22.7109375" style="697" customWidth="1"/>
    <col min="2568" max="2568" width="10.7109375" style="697" customWidth="1"/>
    <col min="2569" max="2569" width="27.7109375" style="697" customWidth="1"/>
    <col min="2570" max="2570" width="21.42578125" style="697" customWidth="1"/>
    <col min="2571" max="2571" width="22.140625" style="697" customWidth="1"/>
    <col min="2572" max="2572" width="12.7109375" style="697" customWidth="1"/>
    <col min="2573" max="2573" width="16.42578125" style="697" customWidth="1"/>
    <col min="2574" max="2574" width="29.7109375" style="697" customWidth="1"/>
    <col min="2575" max="2575" width="29.140625" style="697" customWidth="1"/>
    <col min="2576" max="2576" width="33.5703125" style="697" customWidth="1"/>
    <col min="2577" max="2577" width="25" style="697" customWidth="1"/>
    <col min="2578" max="2578" width="11.7109375" style="697" customWidth="1"/>
    <col min="2579" max="2579" width="17.28515625" style="697" customWidth="1"/>
    <col min="2580" max="2595" width="7.28515625" style="697" customWidth="1"/>
    <col min="2596" max="2597" width="13.7109375" style="697" customWidth="1"/>
    <col min="2598" max="2598" width="20.85546875" style="697" customWidth="1"/>
    <col min="2599" max="2814" width="11.42578125" style="697"/>
    <col min="2815" max="2815" width="13.140625" style="697" customWidth="1"/>
    <col min="2816" max="2816" width="35.28515625" style="697" customWidth="1"/>
    <col min="2817" max="2817" width="12.85546875" style="697" customWidth="1"/>
    <col min="2818" max="2818" width="19.5703125" style="697" customWidth="1"/>
    <col min="2819" max="2819" width="12.28515625" style="697" customWidth="1"/>
    <col min="2820" max="2820" width="21.28515625" style="697" customWidth="1"/>
    <col min="2821" max="2821" width="11.5703125" style="697" customWidth="1"/>
    <col min="2822" max="2822" width="33.140625" style="697" customWidth="1"/>
    <col min="2823" max="2823" width="22.7109375" style="697" customWidth="1"/>
    <col min="2824" max="2824" width="10.7109375" style="697" customWidth="1"/>
    <col min="2825" max="2825" width="27.7109375" style="697" customWidth="1"/>
    <col min="2826" max="2826" width="21.42578125" style="697" customWidth="1"/>
    <col min="2827" max="2827" width="22.140625" style="697" customWidth="1"/>
    <col min="2828" max="2828" width="12.7109375" style="697" customWidth="1"/>
    <col min="2829" max="2829" width="16.42578125" style="697" customWidth="1"/>
    <col min="2830" max="2830" width="29.7109375" style="697" customWidth="1"/>
    <col min="2831" max="2831" width="29.140625" style="697" customWidth="1"/>
    <col min="2832" max="2832" width="33.5703125" style="697" customWidth="1"/>
    <col min="2833" max="2833" width="25" style="697" customWidth="1"/>
    <col min="2834" max="2834" width="11.7109375" style="697" customWidth="1"/>
    <col min="2835" max="2835" width="17.28515625" style="697" customWidth="1"/>
    <col min="2836" max="2851" width="7.28515625" style="697" customWidth="1"/>
    <col min="2852" max="2853" width="13.7109375" style="697" customWidth="1"/>
    <col min="2854" max="2854" width="20.85546875" style="697" customWidth="1"/>
    <col min="2855" max="3070" width="11.42578125" style="697"/>
    <col min="3071" max="3071" width="13.140625" style="697" customWidth="1"/>
    <col min="3072" max="3072" width="35.28515625" style="697" customWidth="1"/>
    <col min="3073" max="3073" width="12.85546875" style="697" customWidth="1"/>
    <col min="3074" max="3074" width="19.5703125" style="697" customWidth="1"/>
    <col min="3075" max="3075" width="12.28515625" style="697" customWidth="1"/>
    <col min="3076" max="3076" width="21.28515625" style="697" customWidth="1"/>
    <col min="3077" max="3077" width="11.5703125" style="697" customWidth="1"/>
    <col min="3078" max="3078" width="33.140625" style="697" customWidth="1"/>
    <col min="3079" max="3079" width="22.7109375" style="697" customWidth="1"/>
    <col min="3080" max="3080" width="10.7109375" style="697" customWidth="1"/>
    <col min="3081" max="3081" width="27.7109375" style="697" customWidth="1"/>
    <col min="3082" max="3082" width="21.42578125" style="697" customWidth="1"/>
    <col min="3083" max="3083" width="22.140625" style="697" customWidth="1"/>
    <col min="3084" max="3084" width="12.7109375" style="697" customWidth="1"/>
    <col min="3085" max="3085" width="16.42578125" style="697" customWidth="1"/>
    <col min="3086" max="3086" width="29.7109375" style="697" customWidth="1"/>
    <col min="3087" max="3087" width="29.140625" style="697" customWidth="1"/>
    <col min="3088" max="3088" width="33.5703125" style="697" customWidth="1"/>
    <col min="3089" max="3089" width="25" style="697" customWidth="1"/>
    <col min="3090" max="3090" width="11.7109375" style="697" customWidth="1"/>
    <col min="3091" max="3091" width="17.28515625" style="697" customWidth="1"/>
    <col min="3092" max="3107" width="7.28515625" style="697" customWidth="1"/>
    <col min="3108" max="3109" width="13.7109375" style="697" customWidth="1"/>
    <col min="3110" max="3110" width="20.85546875" style="697" customWidth="1"/>
    <col min="3111" max="3326" width="11.42578125" style="697"/>
    <col min="3327" max="3327" width="13.140625" style="697" customWidth="1"/>
    <col min="3328" max="3328" width="35.28515625" style="697" customWidth="1"/>
    <col min="3329" max="3329" width="12.85546875" style="697" customWidth="1"/>
    <col min="3330" max="3330" width="19.5703125" style="697" customWidth="1"/>
    <col min="3331" max="3331" width="12.28515625" style="697" customWidth="1"/>
    <col min="3332" max="3332" width="21.28515625" style="697" customWidth="1"/>
    <col min="3333" max="3333" width="11.5703125" style="697" customWidth="1"/>
    <col min="3334" max="3334" width="33.140625" style="697" customWidth="1"/>
    <col min="3335" max="3335" width="22.7109375" style="697" customWidth="1"/>
    <col min="3336" max="3336" width="10.7109375" style="697" customWidth="1"/>
    <col min="3337" max="3337" width="27.7109375" style="697" customWidth="1"/>
    <col min="3338" max="3338" width="21.42578125" style="697" customWidth="1"/>
    <col min="3339" max="3339" width="22.140625" style="697" customWidth="1"/>
    <col min="3340" max="3340" width="12.7109375" style="697" customWidth="1"/>
    <col min="3341" max="3341" width="16.42578125" style="697" customWidth="1"/>
    <col min="3342" max="3342" width="29.7109375" style="697" customWidth="1"/>
    <col min="3343" max="3343" width="29.140625" style="697" customWidth="1"/>
    <col min="3344" max="3344" width="33.5703125" style="697" customWidth="1"/>
    <col min="3345" max="3345" width="25" style="697" customWidth="1"/>
    <col min="3346" max="3346" width="11.7109375" style="697" customWidth="1"/>
    <col min="3347" max="3347" width="17.28515625" style="697" customWidth="1"/>
    <col min="3348" max="3363" width="7.28515625" style="697" customWidth="1"/>
    <col min="3364" max="3365" width="13.7109375" style="697" customWidth="1"/>
    <col min="3366" max="3366" width="20.85546875" style="697" customWidth="1"/>
    <col min="3367" max="3582" width="11.42578125" style="697"/>
    <col min="3583" max="3583" width="13.140625" style="697" customWidth="1"/>
    <col min="3584" max="3584" width="35.28515625" style="697" customWidth="1"/>
    <col min="3585" max="3585" width="12.85546875" style="697" customWidth="1"/>
    <col min="3586" max="3586" width="19.5703125" style="697" customWidth="1"/>
    <col min="3587" max="3587" width="12.28515625" style="697" customWidth="1"/>
    <col min="3588" max="3588" width="21.28515625" style="697" customWidth="1"/>
    <col min="3589" max="3589" width="11.5703125" style="697" customWidth="1"/>
    <col min="3590" max="3590" width="33.140625" style="697" customWidth="1"/>
    <col min="3591" max="3591" width="22.7109375" style="697" customWidth="1"/>
    <col min="3592" max="3592" width="10.7109375" style="697" customWidth="1"/>
    <col min="3593" max="3593" width="27.7109375" style="697" customWidth="1"/>
    <col min="3594" max="3594" width="21.42578125" style="697" customWidth="1"/>
    <col min="3595" max="3595" width="22.140625" style="697" customWidth="1"/>
    <col min="3596" max="3596" width="12.7109375" style="697" customWidth="1"/>
    <col min="3597" max="3597" width="16.42578125" style="697" customWidth="1"/>
    <col min="3598" max="3598" width="29.7109375" style="697" customWidth="1"/>
    <col min="3599" max="3599" width="29.140625" style="697" customWidth="1"/>
    <col min="3600" max="3600" width="33.5703125" style="697" customWidth="1"/>
    <col min="3601" max="3601" width="25" style="697" customWidth="1"/>
    <col min="3602" max="3602" width="11.7109375" style="697" customWidth="1"/>
    <col min="3603" max="3603" width="17.28515625" style="697" customWidth="1"/>
    <col min="3604" max="3619" width="7.28515625" style="697" customWidth="1"/>
    <col min="3620" max="3621" width="13.7109375" style="697" customWidth="1"/>
    <col min="3622" max="3622" width="20.85546875" style="697" customWidth="1"/>
    <col min="3623" max="3838" width="11.42578125" style="697"/>
    <col min="3839" max="3839" width="13.140625" style="697" customWidth="1"/>
    <col min="3840" max="3840" width="35.28515625" style="697" customWidth="1"/>
    <col min="3841" max="3841" width="12.85546875" style="697" customWidth="1"/>
    <col min="3842" max="3842" width="19.5703125" style="697" customWidth="1"/>
    <col min="3843" max="3843" width="12.28515625" style="697" customWidth="1"/>
    <col min="3844" max="3844" width="21.28515625" style="697" customWidth="1"/>
    <col min="3845" max="3845" width="11.5703125" style="697" customWidth="1"/>
    <col min="3846" max="3846" width="33.140625" style="697" customWidth="1"/>
    <col min="3847" max="3847" width="22.7109375" style="697" customWidth="1"/>
    <col min="3848" max="3848" width="10.7109375" style="697" customWidth="1"/>
    <col min="3849" max="3849" width="27.7109375" style="697" customWidth="1"/>
    <col min="3850" max="3850" width="21.42578125" style="697" customWidth="1"/>
    <col min="3851" max="3851" width="22.140625" style="697" customWidth="1"/>
    <col min="3852" max="3852" width="12.7109375" style="697" customWidth="1"/>
    <col min="3853" max="3853" width="16.42578125" style="697" customWidth="1"/>
    <col min="3854" max="3854" width="29.7109375" style="697" customWidth="1"/>
    <col min="3855" max="3855" width="29.140625" style="697" customWidth="1"/>
    <col min="3856" max="3856" width="33.5703125" style="697" customWidth="1"/>
    <col min="3857" max="3857" width="25" style="697" customWidth="1"/>
    <col min="3858" max="3858" width="11.7109375" style="697" customWidth="1"/>
    <col min="3859" max="3859" width="17.28515625" style="697" customWidth="1"/>
    <col min="3860" max="3875" width="7.28515625" style="697" customWidth="1"/>
    <col min="3876" max="3877" width="13.7109375" style="697" customWidth="1"/>
    <col min="3878" max="3878" width="20.85546875" style="697" customWidth="1"/>
    <col min="3879" max="4094" width="11.42578125" style="697"/>
    <col min="4095" max="4095" width="13.140625" style="697" customWidth="1"/>
    <col min="4096" max="4096" width="35.28515625" style="697" customWidth="1"/>
    <col min="4097" max="4097" width="12.85546875" style="697" customWidth="1"/>
    <col min="4098" max="4098" width="19.5703125" style="697" customWidth="1"/>
    <col min="4099" max="4099" width="12.28515625" style="697" customWidth="1"/>
    <col min="4100" max="4100" width="21.28515625" style="697" customWidth="1"/>
    <col min="4101" max="4101" width="11.5703125" style="697" customWidth="1"/>
    <col min="4102" max="4102" width="33.140625" style="697" customWidth="1"/>
    <col min="4103" max="4103" width="22.7109375" style="697" customWidth="1"/>
    <col min="4104" max="4104" width="10.7109375" style="697" customWidth="1"/>
    <col min="4105" max="4105" width="27.7109375" style="697" customWidth="1"/>
    <col min="4106" max="4106" width="21.42578125" style="697" customWidth="1"/>
    <col min="4107" max="4107" width="22.140625" style="697" customWidth="1"/>
    <col min="4108" max="4108" width="12.7109375" style="697" customWidth="1"/>
    <col min="4109" max="4109" width="16.42578125" style="697" customWidth="1"/>
    <col min="4110" max="4110" width="29.7109375" style="697" customWidth="1"/>
    <col min="4111" max="4111" width="29.140625" style="697" customWidth="1"/>
    <col min="4112" max="4112" width="33.5703125" style="697" customWidth="1"/>
    <col min="4113" max="4113" width="25" style="697" customWidth="1"/>
    <col min="4114" max="4114" width="11.7109375" style="697" customWidth="1"/>
    <col min="4115" max="4115" width="17.28515625" style="697" customWidth="1"/>
    <col min="4116" max="4131" width="7.28515625" style="697" customWidth="1"/>
    <col min="4132" max="4133" width="13.7109375" style="697" customWidth="1"/>
    <col min="4134" max="4134" width="20.85546875" style="697" customWidth="1"/>
    <col min="4135" max="4350" width="11.42578125" style="697"/>
    <col min="4351" max="4351" width="13.140625" style="697" customWidth="1"/>
    <col min="4352" max="4352" width="35.28515625" style="697" customWidth="1"/>
    <col min="4353" max="4353" width="12.85546875" style="697" customWidth="1"/>
    <col min="4354" max="4354" width="19.5703125" style="697" customWidth="1"/>
    <col min="4355" max="4355" width="12.28515625" style="697" customWidth="1"/>
    <col min="4356" max="4356" width="21.28515625" style="697" customWidth="1"/>
    <col min="4357" max="4357" width="11.5703125" style="697" customWidth="1"/>
    <col min="4358" max="4358" width="33.140625" style="697" customWidth="1"/>
    <col min="4359" max="4359" width="22.7109375" style="697" customWidth="1"/>
    <col min="4360" max="4360" width="10.7109375" style="697" customWidth="1"/>
    <col min="4361" max="4361" width="27.7109375" style="697" customWidth="1"/>
    <col min="4362" max="4362" width="21.42578125" style="697" customWidth="1"/>
    <col min="4363" max="4363" width="22.140625" style="697" customWidth="1"/>
    <col min="4364" max="4364" width="12.7109375" style="697" customWidth="1"/>
    <col min="4365" max="4365" width="16.42578125" style="697" customWidth="1"/>
    <col min="4366" max="4366" width="29.7109375" style="697" customWidth="1"/>
    <col min="4367" max="4367" width="29.140625" style="697" customWidth="1"/>
    <col min="4368" max="4368" width="33.5703125" style="697" customWidth="1"/>
    <col min="4369" max="4369" width="25" style="697" customWidth="1"/>
    <col min="4370" max="4370" width="11.7109375" style="697" customWidth="1"/>
    <col min="4371" max="4371" width="17.28515625" style="697" customWidth="1"/>
    <col min="4372" max="4387" width="7.28515625" style="697" customWidth="1"/>
    <col min="4388" max="4389" width="13.7109375" style="697" customWidth="1"/>
    <col min="4390" max="4390" width="20.85546875" style="697" customWidth="1"/>
    <col min="4391" max="4606" width="11.42578125" style="697"/>
    <col min="4607" max="4607" width="13.140625" style="697" customWidth="1"/>
    <col min="4608" max="4608" width="35.28515625" style="697" customWidth="1"/>
    <col min="4609" max="4609" width="12.85546875" style="697" customWidth="1"/>
    <col min="4610" max="4610" width="19.5703125" style="697" customWidth="1"/>
    <col min="4611" max="4611" width="12.28515625" style="697" customWidth="1"/>
    <col min="4612" max="4612" width="21.28515625" style="697" customWidth="1"/>
    <col min="4613" max="4613" width="11.5703125" style="697" customWidth="1"/>
    <col min="4614" max="4614" width="33.140625" style="697" customWidth="1"/>
    <col min="4615" max="4615" width="22.7109375" style="697" customWidth="1"/>
    <col min="4616" max="4616" width="10.7109375" style="697" customWidth="1"/>
    <col min="4617" max="4617" width="27.7109375" style="697" customWidth="1"/>
    <col min="4618" max="4618" width="21.42578125" style="697" customWidth="1"/>
    <col min="4619" max="4619" width="22.140625" style="697" customWidth="1"/>
    <col min="4620" max="4620" width="12.7109375" style="697" customWidth="1"/>
    <col min="4621" max="4621" width="16.42578125" style="697" customWidth="1"/>
    <col min="4622" max="4622" width="29.7109375" style="697" customWidth="1"/>
    <col min="4623" max="4623" width="29.140625" style="697" customWidth="1"/>
    <col min="4624" max="4624" width="33.5703125" style="697" customWidth="1"/>
    <col min="4625" max="4625" width="25" style="697" customWidth="1"/>
    <col min="4626" max="4626" width="11.7109375" style="697" customWidth="1"/>
    <col min="4627" max="4627" width="17.28515625" style="697" customWidth="1"/>
    <col min="4628" max="4643" width="7.28515625" style="697" customWidth="1"/>
    <col min="4644" max="4645" width="13.7109375" style="697" customWidth="1"/>
    <col min="4646" max="4646" width="20.85546875" style="697" customWidth="1"/>
    <col min="4647" max="4862" width="11.42578125" style="697"/>
    <col min="4863" max="4863" width="13.140625" style="697" customWidth="1"/>
    <col min="4864" max="4864" width="35.28515625" style="697" customWidth="1"/>
    <col min="4865" max="4865" width="12.85546875" style="697" customWidth="1"/>
    <col min="4866" max="4866" width="19.5703125" style="697" customWidth="1"/>
    <col min="4867" max="4867" width="12.28515625" style="697" customWidth="1"/>
    <col min="4868" max="4868" width="21.28515625" style="697" customWidth="1"/>
    <col min="4869" max="4869" width="11.5703125" style="697" customWidth="1"/>
    <col min="4870" max="4870" width="33.140625" style="697" customWidth="1"/>
    <col min="4871" max="4871" width="22.7109375" style="697" customWidth="1"/>
    <col min="4872" max="4872" width="10.7109375" style="697" customWidth="1"/>
    <col min="4873" max="4873" width="27.7109375" style="697" customWidth="1"/>
    <col min="4874" max="4874" width="21.42578125" style="697" customWidth="1"/>
    <col min="4875" max="4875" width="22.140625" style="697" customWidth="1"/>
    <col min="4876" max="4876" width="12.7109375" style="697" customWidth="1"/>
    <col min="4877" max="4877" width="16.42578125" style="697" customWidth="1"/>
    <col min="4878" max="4878" width="29.7109375" style="697" customWidth="1"/>
    <col min="4879" max="4879" width="29.140625" style="697" customWidth="1"/>
    <col min="4880" max="4880" width="33.5703125" style="697" customWidth="1"/>
    <col min="4881" max="4881" width="25" style="697" customWidth="1"/>
    <col min="4882" max="4882" width="11.7109375" style="697" customWidth="1"/>
    <col min="4883" max="4883" width="17.28515625" style="697" customWidth="1"/>
    <col min="4884" max="4899" width="7.28515625" style="697" customWidth="1"/>
    <col min="4900" max="4901" width="13.7109375" style="697" customWidth="1"/>
    <col min="4902" max="4902" width="20.85546875" style="697" customWidth="1"/>
    <col min="4903" max="5118" width="11.42578125" style="697"/>
    <col min="5119" max="5119" width="13.140625" style="697" customWidth="1"/>
    <col min="5120" max="5120" width="35.28515625" style="697" customWidth="1"/>
    <col min="5121" max="5121" width="12.85546875" style="697" customWidth="1"/>
    <col min="5122" max="5122" width="19.5703125" style="697" customWidth="1"/>
    <col min="5123" max="5123" width="12.28515625" style="697" customWidth="1"/>
    <col min="5124" max="5124" width="21.28515625" style="697" customWidth="1"/>
    <col min="5125" max="5125" width="11.5703125" style="697" customWidth="1"/>
    <col min="5126" max="5126" width="33.140625" style="697" customWidth="1"/>
    <col min="5127" max="5127" width="22.7109375" style="697" customWidth="1"/>
    <col min="5128" max="5128" width="10.7109375" style="697" customWidth="1"/>
    <col min="5129" max="5129" width="27.7109375" style="697" customWidth="1"/>
    <col min="5130" max="5130" width="21.42578125" style="697" customWidth="1"/>
    <col min="5131" max="5131" width="22.140625" style="697" customWidth="1"/>
    <col min="5132" max="5132" width="12.7109375" style="697" customWidth="1"/>
    <col min="5133" max="5133" width="16.42578125" style="697" customWidth="1"/>
    <col min="5134" max="5134" width="29.7109375" style="697" customWidth="1"/>
    <col min="5135" max="5135" width="29.140625" style="697" customWidth="1"/>
    <col min="5136" max="5136" width="33.5703125" style="697" customWidth="1"/>
    <col min="5137" max="5137" width="25" style="697" customWidth="1"/>
    <col min="5138" max="5138" width="11.7109375" style="697" customWidth="1"/>
    <col min="5139" max="5139" width="17.28515625" style="697" customWidth="1"/>
    <col min="5140" max="5155" width="7.28515625" style="697" customWidth="1"/>
    <col min="5156" max="5157" width="13.7109375" style="697" customWidth="1"/>
    <col min="5158" max="5158" width="20.85546875" style="697" customWidth="1"/>
    <col min="5159" max="5374" width="11.42578125" style="697"/>
    <col min="5375" max="5375" width="13.140625" style="697" customWidth="1"/>
    <col min="5376" max="5376" width="35.28515625" style="697" customWidth="1"/>
    <col min="5377" max="5377" width="12.85546875" style="697" customWidth="1"/>
    <col min="5378" max="5378" width="19.5703125" style="697" customWidth="1"/>
    <col min="5379" max="5379" width="12.28515625" style="697" customWidth="1"/>
    <col min="5380" max="5380" width="21.28515625" style="697" customWidth="1"/>
    <col min="5381" max="5381" width="11.5703125" style="697" customWidth="1"/>
    <col min="5382" max="5382" width="33.140625" style="697" customWidth="1"/>
    <col min="5383" max="5383" width="22.7109375" style="697" customWidth="1"/>
    <col min="5384" max="5384" width="10.7109375" style="697" customWidth="1"/>
    <col min="5385" max="5385" width="27.7109375" style="697" customWidth="1"/>
    <col min="5386" max="5386" width="21.42578125" style="697" customWidth="1"/>
    <col min="5387" max="5387" width="22.140625" style="697" customWidth="1"/>
    <col min="5388" max="5388" width="12.7109375" style="697" customWidth="1"/>
    <col min="5389" max="5389" width="16.42578125" style="697" customWidth="1"/>
    <col min="5390" max="5390" width="29.7109375" style="697" customWidth="1"/>
    <col min="5391" max="5391" width="29.140625" style="697" customWidth="1"/>
    <col min="5392" max="5392" width="33.5703125" style="697" customWidth="1"/>
    <col min="5393" max="5393" width="25" style="697" customWidth="1"/>
    <col min="5394" max="5394" width="11.7109375" style="697" customWidth="1"/>
    <col min="5395" max="5395" width="17.28515625" style="697" customWidth="1"/>
    <col min="5396" max="5411" width="7.28515625" style="697" customWidth="1"/>
    <col min="5412" max="5413" width="13.7109375" style="697" customWidth="1"/>
    <col min="5414" max="5414" width="20.85546875" style="697" customWidth="1"/>
    <col min="5415" max="5630" width="11.42578125" style="697"/>
    <col min="5631" max="5631" width="13.140625" style="697" customWidth="1"/>
    <col min="5632" max="5632" width="35.28515625" style="697" customWidth="1"/>
    <col min="5633" max="5633" width="12.85546875" style="697" customWidth="1"/>
    <col min="5634" max="5634" width="19.5703125" style="697" customWidth="1"/>
    <col min="5635" max="5635" width="12.28515625" style="697" customWidth="1"/>
    <col min="5636" max="5636" width="21.28515625" style="697" customWidth="1"/>
    <col min="5637" max="5637" width="11.5703125" style="697" customWidth="1"/>
    <col min="5638" max="5638" width="33.140625" style="697" customWidth="1"/>
    <col min="5639" max="5639" width="22.7109375" style="697" customWidth="1"/>
    <col min="5640" max="5640" width="10.7109375" style="697" customWidth="1"/>
    <col min="5641" max="5641" width="27.7109375" style="697" customWidth="1"/>
    <col min="5642" max="5642" width="21.42578125" style="697" customWidth="1"/>
    <col min="5643" max="5643" width="22.140625" style="697" customWidth="1"/>
    <col min="5644" max="5644" width="12.7109375" style="697" customWidth="1"/>
    <col min="5645" max="5645" width="16.42578125" style="697" customWidth="1"/>
    <col min="5646" max="5646" width="29.7109375" style="697" customWidth="1"/>
    <col min="5647" max="5647" width="29.140625" style="697" customWidth="1"/>
    <col min="5648" max="5648" width="33.5703125" style="697" customWidth="1"/>
    <col min="5649" max="5649" width="25" style="697" customWidth="1"/>
    <col min="5650" max="5650" width="11.7109375" style="697" customWidth="1"/>
    <col min="5651" max="5651" width="17.28515625" style="697" customWidth="1"/>
    <col min="5652" max="5667" width="7.28515625" style="697" customWidth="1"/>
    <col min="5668" max="5669" width="13.7109375" style="697" customWidth="1"/>
    <col min="5670" max="5670" width="20.85546875" style="697" customWidth="1"/>
    <col min="5671" max="5886" width="11.42578125" style="697"/>
    <col min="5887" max="5887" width="13.140625" style="697" customWidth="1"/>
    <col min="5888" max="5888" width="35.28515625" style="697" customWidth="1"/>
    <col min="5889" max="5889" width="12.85546875" style="697" customWidth="1"/>
    <col min="5890" max="5890" width="19.5703125" style="697" customWidth="1"/>
    <col min="5891" max="5891" width="12.28515625" style="697" customWidth="1"/>
    <col min="5892" max="5892" width="21.28515625" style="697" customWidth="1"/>
    <col min="5893" max="5893" width="11.5703125" style="697" customWidth="1"/>
    <col min="5894" max="5894" width="33.140625" style="697" customWidth="1"/>
    <col min="5895" max="5895" width="22.7109375" style="697" customWidth="1"/>
    <col min="5896" max="5896" width="10.7109375" style="697" customWidth="1"/>
    <col min="5897" max="5897" width="27.7109375" style="697" customWidth="1"/>
    <col min="5898" max="5898" width="21.42578125" style="697" customWidth="1"/>
    <col min="5899" max="5899" width="22.140625" style="697" customWidth="1"/>
    <col min="5900" max="5900" width="12.7109375" style="697" customWidth="1"/>
    <col min="5901" max="5901" width="16.42578125" style="697" customWidth="1"/>
    <col min="5902" max="5902" width="29.7109375" style="697" customWidth="1"/>
    <col min="5903" max="5903" width="29.140625" style="697" customWidth="1"/>
    <col min="5904" max="5904" width="33.5703125" style="697" customWidth="1"/>
    <col min="5905" max="5905" width="25" style="697" customWidth="1"/>
    <col min="5906" max="5906" width="11.7109375" style="697" customWidth="1"/>
    <col min="5907" max="5907" width="17.28515625" style="697" customWidth="1"/>
    <col min="5908" max="5923" width="7.28515625" style="697" customWidth="1"/>
    <col min="5924" max="5925" width="13.7109375" style="697" customWidth="1"/>
    <col min="5926" max="5926" width="20.85546875" style="697" customWidth="1"/>
    <col min="5927" max="6142" width="11.42578125" style="697"/>
    <col min="6143" max="6143" width="13.140625" style="697" customWidth="1"/>
    <col min="6144" max="6144" width="35.28515625" style="697" customWidth="1"/>
    <col min="6145" max="6145" width="12.85546875" style="697" customWidth="1"/>
    <col min="6146" max="6146" width="19.5703125" style="697" customWidth="1"/>
    <col min="6147" max="6147" width="12.28515625" style="697" customWidth="1"/>
    <col min="6148" max="6148" width="21.28515625" style="697" customWidth="1"/>
    <col min="6149" max="6149" width="11.5703125" style="697" customWidth="1"/>
    <col min="6150" max="6150" width="33.140625" style="697" customWidth="1"/>
    <col min="6151" max="6151" width="22.7109375" style="697" customWidth="1"/>
    <col min="6152" max="6152" width="10.7109375" style="697" customWidth="1"/>
    <col min="6153" max="6153" width="27.7109375" style="697" customWidth="1"/>
    <col min="6154" max="6154" width="21.42578125" style="697" customWidth="1"/>
    <col min="6155" max="6155" width="22.140625" style="697" customWidth="1"/>
    <col min="6156" max="6156" width="12.7109375" style="697" customWidth="1"/>
    <col min="6157" max="6157" width="16.42578125" style="697" customWidth="1"/>
    <col min="6158" max="6158" width="29.7109375" style="697" customWidth="1"/>
    <col min="6159" max="6159" width="29.140625" style="697" customWidth="1"/>
    <col min="6160" max="6160" width="33.5703125" style="697" customWidth="1"/>
    <col min="6161" max="6161" width="25" style="697" customWidth="1"/>
    <col min="6162" max="6162" width="11.7109375" style="697" customWidth="1"/>
    <col min="6163" max="6163" width="17.28515625" style="697" customWidth="1"/>
    <col min="6164" max="6179" width="7.28515625" style="697" customWidth="1"/>
    <col min="6180" max="6181" width="13.7109375" style="697" customWidth="1"/>
    <col min="6182" max="6182" width="20.85546875" style="697" customWidth="1"/>
    <col min="6183" max="6398" width="11.42578125" style="697"/>
    <col min="6399" max="6399" width="13.140625" style="697" customWidth="1"/>
    <col min="6400" max="6400" width="35.28515625" style="697" customWidth="1"/>
    <col min="6401" max="6401" width="12.85546875" style="697" customWidth="1"/>
    <col min="6402" max="6402" width="19.5703125" style="697" customWidth="1"/>
    <col min="6403" max="6403" width="12.28515625" style="697" customWidth="1"/>
    <col min="6404" max="6404" width="21.28515625" style="697" customWidth="1"/>
    <col min="6405" max="6405" width="11.5703125" style="697" customWidth="1"/>
    <col min="6406" max="6406" width="33.140625" style="697" customWidth="1"/>
    <col min="6407" max="6407" width="22.7109375" style="697" customWidth="1"/>
    <col min="6408" max="6408" width="10.7109375" style="697" customWidth="1"/>
    <col min="6409" max="6409" width="27.7109375" style="697" customWidth="1"/>
    <col min="6410" max="6410" width="21.42578125" style="697" customWidth="1"/>
    <col min="6411" max="6411" width="22.140625" style="697" customWidth="1"/>
    <col min="6412" max="6412" width="12.7109375" style="697" customWidth="1"/>
    <col min="6413" max="6413" width="16.42578125" style="697" customWidth="1"/>
    <col min="6414" max="6414" width="29.7109375" style="697" customWidth="1"/>
    <col min="6415" max="6415" width="29.140625" style="697" customWidth="1"/>
    <col min="6416" max="6416" width="33.5703125" style="697" customWidth="1"/>
    <col min="6417" max="6417" width="25" style="697" customWidth="1"/>
    <col min="6418" max="6418" width="11.7109375" style="697" customWidth="1"/>
    <col min="6419" max="6419" width="17.28515625" style="697" customWidth="1"/>
    <col min="6420" max="6435" width="7.28515625" style="697" customWidth="1"/>
    <col min="6436" max="6437" width="13.7109375" style="697" customWidth="1"/>
    <col min="6438" max="6438" width="20.85546875" style="697" customWidth="1"/>
    <col min="6439" max="6654" width="11.42578125" style="697"/>
    <col min="6655" max="6655" width="13.140625" style="697" customWidth="1"/>
    <col min="6656" max="6656" width="35.28515625" style="697" customWidth="1"/>
    <col min="6657" max="6657" width="12.85546875" style="697" customWidth="1"/>
    <col min="6658" max="6658" width="19.5703125" style="697" customWidth="1"/>
    <col min="6659" max="6659" width="12.28515625" style="697" customWidth="1"/>
    <col min="6660" max="6660" width="21.28515625" style="697" customWidth="1"/>
    <col min="6661" max="6661" width="11.5703125" style="697" customWidth="1"/>
    <col min="6662" max="6662" width="33.140625" style="697" customWidth="1"/>
    <col min="6663" max="6663" width="22.7109375" style="697" customWidth="1"/>
    <col min="6664" max="6664" width="10.7109375" style="697" customWidth="1"/>
    <col min="6665" max="6665" width="27.7109375" style="697" customWidth="1"/>
    <col min="6666" max="6666" width="21.42578125" style="697" customWidth="1"/>
    <col min="6667" max="6667" width="22.140625" style="697" customWidth="1"/>
    <col min="6668" max="6668" width="12.7109375" style="697" customWidth="1"/>
    <col min="6669" max="6669" width="16.42578125" style="697" customWidth="1"/>
    <col min="6670" max="6670" width="29.7109375" style="697" customWidth="1"/>
    <col min="6671" max="6671" width="29.140625" style="697" customWidth="1"/>
    <col min="6672" max="6672" width="33.5703125" style="697" customWidth="1"/>
    <col min="6673" max="6673" width="25" style="697" customWidth="1"/>
    <col min="6674" max="6674" width="11.7109375" style="697" customWidth="1"/>
    <col min="6675" max="6675" width="17.28515625" style="697" customWidth="1"/>
    <col min="6676" max="6691" width="7.28515625" style="697" customWidth="1"/>
    <col min="6692" max="6693" width="13.7109375" style="697" customWidth="1"/>
    <col min="6694" max="6694" width="20.85546875" style="697" customWidth="1"/>
    <col min="6695" max="6910" width="11.42578125" style="697"/>
    <col min="6911" max="6911" width="13.140625" style="697" customWidth="1"/>
    <col min="6912" max="6912" width="35.28515625" style="697" customWidth="1"/>
    <col min="6913" max="6913" width="12.85546875" style="697" customWidth="1"/>
    <col min="6914" max="6914" width="19.5703125" style="697" customWidth="1"/>
    <col min="6915" max="6915" width="12.28515625" style="697" customWidth="1"/>
    <col min="6916" max="6916" width="21.28515625" style="697" customWidth="1"/>
    <col min="6917" max="6917" width="11.5703125" style="697" customWidth="1"/>
    <col min="6918" max="6918" width="33.140625" style="697" customWidth="1"/>
    <col min="6919" max="6919" width="22.7109375" style="697" customWidth="1"/>
    <col min="6920" max="6920" width="10.7109375" style="697" customWidth="1"/>
    <col min="6921" max="6921" width="27.7109375" style="697" customWidth="1"/>
    <col min="6922" max="6922" width="21.42578125" style="697" customWidth="1"/>
    <col min="6923" max="6923" width="22.140625" style="697" customWidth="1"/>
    <col min="6924" max="6924" width="12.7109375" style="697" customWidth="1"/>
    <col min="6925" max="6925" width="16.42578125" style="697" customWidth="1"/>
    <col min="6926" max="6926" width="29.7109375" style="697" customWidth="1"/>
    <col min="6927" max="6927" width="29.140625" style="697" customWidth="1"/>
    <col min="6928" max="6928" width="33.5703125" style="697" customWidth="1"/>
    <col min="6929" max="6929" width="25" style="697" customWidth="1"/>
    <col min="6930" max="6930" width="11.7109375" style="697" customWidth="1"/>
    <col min="6931" max="6931" width="17.28515625" style="697" customWidth="1"/>
    <col min="6932" max="6947" width="7.28515625" style="697" customWidth="1"/>
    <col min="6948" max="6949" width="13.7109375" style="697" customWidth="1"/>
    <col min="6950" max="6950" width="20.85546875" style="697" customWidth="1"/>
    <col min="6951" max="7166" width="11.42578125" style="697"/>
    <col min="7167" max="7167" width="13.140625" style="697" customWidth="1"/>
    <col min="7168" max="7168" width="35.28515625" style="697" customWidth="1"/>
    <col min="7169" max="7169" width="12.85546875" style="697" customWidth="1"/>
    <col min="7170" max="7170" width="19.5703125" style="697" customWidth="1"/>
    <col min="7171" max="7171" width="12.28515625" style="697" customWidth="1"/>
    <col min="7172" max="7172" width="21.28515625" style="697" customWidth="1"/>
    <col min="7173" max="7173" width="11.5703125" style="697" customWidth="1"/>
    <col min="7174" max="7174" width="33.140625" style="697" customWidth="1"/>
    <col min="7175" max="7175" width="22.7109375" style="697" customWidth="1"/>
    <col min="7176" max="7176" width="10.7109375" style="697" customWidth="1"/>
    <col min="7177" max="7177" width="27.7109375" style="697" customWidth="1"/>
    <col min="7178" max="7178" width="21.42578125" style="697" customWidth="1"/>
    <col min="7179" max="7179" width="22.140625" style="697" customWidth="1"/>
    <col min="7180" max="7180" width="12.7109375" style="697" customWidth="1"/>
    <col min="7181" max="7181" width="16.42578125" style="697" customWidth="1"/>
    <col min="7182" max="7182" width="29.7109375" style="697" customWidth="1"/>
    <col min="7183" max="7183" width="29.140625" style="697" customWidth="1"/>
    <col min="7184" max="7184" width="33.5703125" style="697" customWidth="1"/>
    <col min="7185" max="7185" width="25" style="697" customWidth="1"/>
    <col min="7186" max="7186" width="11.7109375" style="697" customWidth="1"/>
    <col min="7187" max="7187" width="17.28515625" style="697" customWidth="1"/>
    <col min="7188" max="7203" width="7.28515625" style="697" customWidth="1"/>
    <col min="7204" max="7205" width="13.7109375" style="697" customWidth="1"/>
    <col min="7206" max="7206" width="20.85546875" style="697" customWidth="1"/>
    <col min="7207" max="7422" width="11.42578125" style="697"/>
    <col min="7423" max="7423" width="13.140625" style="697" customWidth="1"/>
    <col min="7424" max="7424" width="35.28515625" style="697" customWidth="1"/>
    <col min="7425" max="7425" width="12.85546875" style="697" customWidth="1"/>
    <col min="7426" max="7426" width="19.5703125" style="697" customWidth="1"/>
    <col min="7427" max="7427" width="12.28515625" style="697" customWidth="1"/>
    <col min="7428" max="7428" width="21.28515625" style="697" customWidth="1"/>
    <col min="7429" max="7429" width="11.5703125" style="697" customWidth="1"/>
    <col min="7430" max="7430" width="33.140625" style="697" customWidth="1"/>
    <col min="7431" max="7431" width="22.7109375" style="697" customWidth="1"/>
    <col min="7432" max="7432" width="10.7109375" style="697" customWidth="1"/>
    <col min="7433" max="7433" width="27.7109375" style="697" customWidth="1"/>
    <col min="7434" max="7434" width="21.42578125" style="697" customWidth="1"/>
    <col min="7435" max="7435" width="22.140625" style="697" customWidth="1"/>
    <col min="7436" max="7436" width="12.7109375" style="697" customWidth="1"/>
    <col min="7437" max="7437" width="16.42578125" style="697" customWidth="1"/>
    <col min="7438" max="7438" width="29.7109375" style="697" customWidth="1"/>
    <col min="7439" max="7439" width="29.140625" style="697" customWidth="1"/>
    <col min="7440" max="7440" width="33.5703125" style="697" customWidth="1"/>
    <col min="7441" max="7441" width="25" style="697" customWidth="1"/>
    <col min="7442" max="7442" width="11.7109375" style="697" customWidth="1"/>
    <col min="7443" max="7443" width="17.28515625" style="697" customWidth="1"/>
    <col min="7444" max="7459" width="7.28515625" style="697" customWidth="1"/>
    <col min="7460" max="7461" width="13.7109375" style="697" customWidth="1"/>
    <col min="7462" max="7462" width="20.85546875" style="697" customWidth="1"/>
    <col min="7463" max="7678" width="11.42578125" style="697"/>
    <col min="7679" max="7679" width="13.140625" style="697" customWidth="1"/>
    <col min="7680" max="7680" width="35.28515625" style="697" customWidth="1"/>
    <col min="7681" max="7681" width="12.85546875" style="697" customWidth="1"/>
    <col min="7682" max="7682" width="19.5703125" style="697" customWidth="1"/>
    <col min="7683" max="7683" width="12.28515625" style="697" customWidth="1"/>
    <col min="7684" max="7684" width="21.28515625" style="697" customWidth="1"/>
    <col min="7685" max="7685" width="11.5703125" style="697" customWidth="1"/>
    <col min="7686" max="7686" width="33.140625" style="697" customWidth="1"/>
    <col min="7687" max="7687" width="22.7109375" style="697" customWidth="1"/>
    <col min="7688" max="7688" width="10.7109375" style="697" customWidth="1"/>
    <col min="7689" max="7689" width="27.7109375" style="697" customWidth="1"/>
    <col min="7690" max="7690" width="21.42578125" style="697" customWidth="1"/>
    <col min="7691" max="7691" width="22.140625" style="697" customWidth="1"/>
    <col min="7692" max="7692" width="12.7109375" style="697" customWidth="1"/>
    <col min="7693" max="7693" width="16.42578125" style="697" customWidth="1"/>
    <col min="7694" max="7694" width="29.7109375" style="697" customWidth="1"/>
    <col min="7695" max="7695" width="29.140625" style="697" customWidth="1"/>
    <col min="7696" max="7696" width="33.5703125" style="697" customWidth="1"/>
    <col min="7697" max="7697" width="25" style="697" customWidth="1"/>
    <col min="7698" max="7698" width="11.7109375" style="697" customWidth="1"/>
    <col min="7699" max="7699" width="17.28515625" style="697" customWidth="1"/>
    <col min="7700" max="7715" width="7.28515625" style="697" customWidth="1"/>
    <col min="7716" max="7717" width="13.7109375" style="697" customWidth="1"/>
    <col min="7718" max="7718" width="20.85546875" style="697" customWidth="1"/>
    <col min="7719" max="7934" width="11.42578125" style="697"/>
    <col min="7935" max="7935" width="13.140625" style="697" customWidth="1"/>
    <col min="7936" max="7936" width="35.28515625" style="697" customWidth="1"/>
    <col min="7937" max="7937" width="12.85546875" style="697" customWidth="1"/>
    <col min="7938" max="7938" width="19.5703125" style="697" customWidth="1"/>
    <col min="7939" max="7939" width="12.28515625" style="697" customWidth="1"/>
    <col min="7940" max="7940" width="21.28515625" style="697" customWidth="1"/>
    <col min="7941" max="7941" width="11.5703125" style="697" customWidth="1"/>
    <col min="7942" max="7942" width="33.140625" style="697" customWidth="1"/>
    <col min="7943" max="7943" width="22.7109375" style="697" customWidth="1"/>
    <col min="7944" max="7944" width="10.7109375" style="697" customWidth="1"/>
    <col min="7945" max="7945" width="27.7109375" style="697" customWidth="1"/>
    <col min="7946" max="7946" width="21.42578125" style="697" customWidth="1"/>
    <col min="7947" max="7947" width="22.140625" style="697" customWidth="1"/>
    <col min="7948" max="7948" width="12.7109375" style="697" customWidth="1"/>
    <col min="7949" max="7949" width="16.42578125" style="697" customWidth="1"/>
    <col min="7950" max="7950" width="29.7109375" style="697" customWidth="1"/>
    <col min="7951" max="7951" width="29.140625" style="697" customWidth="1"/>
    <col min="7952" max="7952" width="33.5703125" style="697" customWidth="1"/>
    <col min="7953" max="7953" width="25" style="697" customWidth="1"/>
    <col min="7954" max="7954" width="11.7109375" style="697" customWidth="1"/>
    <col min="7955" max="7955" width="17.28515625" style="697" customWidth="1"/>
    <col min="7956" max="7971" width="7.28515625" style="697" customWidth="1"/>
    <col min="7972" max="7973" width="13.7109375" style="697" customWidth="1"/>
    <col min="7974" max="7974" width="20.85546875" style="697" customWidth="1"/>
    <col min="7975" max="8190" width="11.42578125" style="697"/>
    <col min="8191" max="8191" width="13.140625" style="697" customWidth="1"/>
    <col min="8192" max="8192" width="35.28515625" style="697" customWidth="1"/>
    <col min="8193" max="8193" width="12.85546875" style="697" customWidth="1"/>
    <col min="8194" max="8194" width="19.5703125" style="697" customWidth="1"/>
    <col min="8195" max="8195" width="12.28515625" style="697" customWidth="1"/>
    <col min="8196" max="8196" width="21.28515625" style="697" customWidth="1"/>
    <col min="8197" max="8197" width="11.5703125" style="697" customWidth="1"/>
    <col min="8198" max="8198" width="33.140625" style="697" customWidth="1"/>
    <col min="8199" max="8199" width="22.7109375" style="697" customWidth="1"/>
    <col min="8200" max="8200" width="10.7109375" style="697" customWidth="1"/>
    <col min="8201" max="8201" width="27.7109375" style="697" customWidth="1"/>
    <col min="8202" max="8202" width="21.42578125" style="697" customWidth="1"/>
    <col min="8203" max="8203" width="22.140625" style="697" customWidth="1"/>
    <col min="8204" max="8204" width="12.7109375" style="697" customWidth="1"/>
    <col min="8205" max="8205" width="16.42578125" style="697" customWidth="1"/>
    <col min="8206" max="8206" width="29.7109375" style="697" customWidth="1"/>
    <col min="8207" max="8207" width="29.140625" style="697" customWidth="1"/>
    <col min="8208" max="8208" width="33.5703125" style="697" customWidth="1"/>
    <col min="8209" max="8209" width="25" style="697" customWidth="1"/>
    <col min="8210" max="8210" width="11.7109375" style="697" customWidth="1"/>
    <col min="8211" max="8211" width="17.28515625" style="697" customWidth="1"/>
    <col min="8212" max="8227" width="7.28515625" style="697" customWidth="1"/>
    <col min="8228" max="8229" width="13.7109375" style="697" customWidth="1"/>
    <col min="8230" max="8230" width="20.85546875" style="697" customWidth="1"/>
    <col min="8231" max="8446" width="11.42578125" style="697"/>
    <col min="8447" max="8447" width="13.140625" style="697" customWidth="1"/>
    <col min="8448" max="8448" width="35.28515625" style="697" customWidth="1"/>
    <col min="8449" max="8449" width="12.85546875" style="697" customWidth="1"/>
    <col min="8450" max="8450" width="19.5703125" style="697" customWidth="1"/>
    <col min="8451" max="8451" width="12.28515625" style="697" customWidth="1"/>
    <col min="8452" max="8452" width="21.28515625" style="697" customWidth="1"/>
    <col min="8453" max="8453" width="11.5703125" style="697" customWidth="1"/>
    <col min="8454" max="8454" width="33.140625" style="697" customWidth="1"/>
    <col min="8455" max="8455" width="22.7109375" style="697" customWidth="1"/>
    <col min="8456" max="8456" width="10.7109375" style="697" customWidth="1"/>
    <col min="8457" max="8457" width="27.7109375" style="697" customWidth="1"/>
    <col min="8458" max="8458" width="21.42578125" style="697" customWidth="1"/>
    <col min="8459" max="8459" width="22.140625" style="697" customWidth="1"/>
    <col min="8460" max="8460" width="12.7109375" style="697" customWidth="1"/>
    <col min="8461" max="8461" width="16.42578125" style="697" customWidth="1"/>
    <col min="8462" max="8462" width="29.7109375" style="697" customWidth="1"/>
    <col min="8463" max="8463" width="29.140625" style="697" customWidth="1"/>
    <col min="8464" max="8464" width="33.5703125" style="697" customWidth="1"/>
    <col min="8465" max="8465" width="25" style="697" customWidth="1"/>
    <col min="8466" max="8466" width="11.7109375" style="697" customWidth="1"/>
    <col min="8467" max="8467" width="17.28515625" style="697" customWidth="1"/>
    <col min="8468" max="8483" width="7.28515625" style="697" customWidth="1"/>
    <col min="8484" max="8485" width="13.7109375" style="697" customWidth="1"/>
    <col min="8486" max="8486" width="20.85546875" style="697" customWidth="1"/>
    <col min="8487" max="8702" width="11.42578125" style="697"/>
    <col min="8703" max="8703" width="13.140625" style="697" customWidth="1"/>
    <col min="8704" max="8704" width="35.28515625" style="697" customWidth="1"/>
    <col min="8705" max="8705" width="12.85546875" style="697" customWidth="1"/>
    <col min="8706" max="8706" width="19.5703125" style="697" customWidth="1"/>
    <col min="8707" max="8707" width="12.28515625" style="697" customWidth="1"/>
    <col min="8708" max="8708" width="21.28515625" style="697" customWidth="1"/>
    <col min="8709" max="8709" width="11.5703125" style="697" customWidth="1"/>
    <col min="8710" max="8710" width="33.140625" style="697" customWidth="1"/>
    <col min="8711" max="8711" width="22.7109375" style="697" customWidth="1"/>
    <col min="8712" max="8712" width="10.7109375" style="697" customWidth="1"/>
    <col min="8713" max="8713" width="27.7109375" style="697" customWidth="1"/>
    <col min="8714" max="8714" width="21.42578125" style="697" customWidth="1"/>
    <col min="8715" max="8715" width="22.140625" style="697" customWidth="1"/>
    <col min="8716" max="8716" width="12.7109375" style="697" customWidth="1"/>
    <col min="8717" max="8717" width="16.42578125" style="697" customWidth="1"/>
    <col min="8718" max="8718" width="29.7109375" style="697" customWidth="1"/>
    <col min="8719" max="8719" width="29.140625" style="697" customWidth="1"/>
    <col min="8720" max="8720" width="33.5703125" style="697" customWidth="1"/>
    <col min="8721" max="8721" width="25" style="697" customWidth="1"/>
    <col min="8722" max="8722" width="11.7109375" style="697" customWidth="1"/>
    <col min="8723" max="8723" width="17.28515625" style="697" customWidth="1"/>
    <col min="8724" max="8739" width="7.28515625" style="697" customWidth="1"/>
    <col min="8740" max="8741" width="13.7109375" style="697" customWidth="1"/>
    <col min="8742" max="8742" width="20.85546875" style="697" customWidth="1"/>
    <col min="8743" max="8958" width="11.42578125" style="697"/>
    <col min="8959" max="8959" width="13.140625" style="697" customWidth="1"/>
    <col min="8960" max="8960" width="35.28515625" style="697" customWidth="1"/>
    <col min="8961" max="8961" width="12.85546875" style="697" customWidth="1"/>
    <col min="8962" max="8962" width="19.5703125" style="697" customWidth="1"/>
    <col min="8963" max="8963" width="12.28515625" style="697" customWidth="1"/>
    <col min="8964" max="8964" width="21.28515625" style="697" customWidth="1"/>
    <col min="8965" max="8965" width="11.5703125" style="697" customWidth="1"/>
    <col min="8966" max="8966" width="33.140625" style="697" customWidth="1"/>
    <col min="8967" max="8967" width="22.7109375" style="697" customWidth="1"/>
    <col min="8968" max="8968" width="10.7109375" style="697" customWidth="1"/>
    <col min="8969" max="8969" width="27.7109375" style="697" customWidth="1"/>
    <col min="8970" max="8970" width="21.42578125" style="697" customWidth="1"/>
    <col min="8971" max="8971" width="22.140625" style="697" customWidth="1"/>
    <col min="8972" max="8972" width="12.7109375" style="697" customWidth="1"/>
    <col min="8973" max="8973" width="16.42578125" style="697" customWidth="1"/>
    <col min="8974" max="8974" width="29.7109375" style="697" customWidth="1"/>
    <col min="8975" max="8975" width="29.140625" style="697" customWidth="1"/>
    <col min="8976" max="8976" width="33.5703125" style="697" customWidth="1"/>
    <col min="8977" max="8977" width="25" style="697" customWidth="1"/>
    <col min="8978" max="8978" width="11.7109375" style="697" customWidth="1"/>
    <col min="8979" max="8979" width="17.28515625" style="697" customWidth="1"/>
    <col min="8980" max="8995" width="7.28515625" style="697" customWidth="1"/>
    <col min="8996" max="8997" width="13.7109375" style="697" customWidth="1"/>
    <col min="8998" max="8998" width="20.85546875" style="697" customWidth="1"/>
    <col min="8999" max="9214" width="11.42578125" style="697"/>
    <col min="9215" max="9215" width="13.140625" style="697" customWidth="1"/>
    <col min="9216" max="9216" width="35.28515625" style="697" customWidth="1"/>
    <col min="9217" max="9217" width="12.85546875" style="697" customWidth="1"/>
    <col min="9218" max="9218" width="19.5703125" style="697" customWidth="1"/>
    <col min="9219" max="9219" width="12.28515625" style="697" customWidth="1"/>
    <col min="9220" max="9220" width="21.28515625" style="697" customWidth="1"/>
    <col min="9221" max="9221" width="11.5703125" style="697" customWidth="1"/>
    <col min="9222" max="9222" width="33.140625" style="697" customWidth="1"/>
    <col min="9223" max="9223" width="22.7109375" style="697" customWidth="1"/>
    <col min="9224" max="9224" width="10.7109375" style="697" customWidth="1"/>
    <col min="9225" max="9225" width="27.7109375" style="697" customWidth="1"/>
    <col min="9226" max="9226" width="21.42578125" style="697" customWidth="1"/>
    <col min="9227" max="9227" width="22.140625" style="697" customWidth="1"/>
    <col min="9228" max="9228" width="12.7109375" style="697" customWidth="1"/>
    <col min="9229" max="9229" width="16.42578125" style="697" customWidth="1"/>
    <col min="9230" max="9230" width="29.7109375" style="697" customWidth="1"/>
    <col min="9231" max="9231" width="29.140625" style="697" customWidth="1"/>
    <col min="9232" max="9232" width="33.5703125" style="697" customWidth="1"/>
    <col min="9233" max="9233" width="25" style="697" customWidth="1"/>
    <col min="9234" max="9234" width="11.7109375" style="697" customWidth="1"/>
    <col min="9235" max="9235" width="17.28515625" style="697" customWidth="1"/>
    <col min="9236" max="9251" width="7.28515625" style="697" customWidth="1"/>
    <col min="9252" max="9253" width="13.7109375" style="697" customWidth="1"/>
    <col min="9254" max="9254" width="20.85546875" style="697" customWidth="1"/>
    <col min="9255" max="9470" width="11.42578125" style="697"/>
    <col min="9471" max="9471" width="13.140625" style="697" customWidth="1"/>
    <col min="9472" max="9472" width="35.28515625" style="697" customWidth="1"/>
    <col min="9473" max="9473" width="12.85546875" style="697" customWidth="1"/>
    <col min="9474" max="9474" width="19.5703125" style="697" customWidth="1"/>
    <col min="9475" max="9475" width="12.28515625" style="697" customWidth="1"/>
    <col min="9476" max="9476" width="21.28515625" style="697" customWidth="1"/>
    <col min="9477" max="9477" width="11.5703125" style="697" customWidth="1"/>
    <col min="9478" max="9478" width="33.140625" style="697" customWidth="1"/>
    <col min="9479" max="9479" width="22.7109375" style="697" customWidth="1"/>
    <col min="9480" max="9480" width="10.7109375" style="697" customWidth="1"/>
    <col min="9481" max="9481" width="27.7109375" style="697" customWidth="1"/>
    <col min="9482" max="9482" width="21.42578125" style="697" customWidth="1"/>
    <col min="9483" max="9483" width="22.140625" style="697" customWidth="1"/>
    <col min="9484" max="9484" width="12.7109375" style="697" customWidth="1"/>
    <col min="9485" max="9485" width="16.42578125" style="697" customWidth="1"/>
    <col min="9486" max="9486" width="29.7109375" style="697" customWidth="1"/>
    <col min="9487" max="9487" width="29.140625" style="697" customWidth="1"/>
    <col min="9488" max="9488" width="33.5703125" style="697" customWidth="1"/>
    <col min="9489" max="9489" width="25" style="697" customWidth="1"/>
    <col min="9490" max="9490" width="11.7109375" style="697" customWidth="1"/>
    <col min="9491" max="9491" width="17.28515625" style="697" customWidth="1"/>
    <col min="9492" max="9507" width="7.28515625" style="697" customWidth="1"/>
    <col min="9508" max="9509" width="13.7109375" style="697" customWidth="1"/>
    <col min="9510" max="9510" width="20.85546875" style="697" customWidth="1"/>
    <col min="9511" max="9726" width="11.42578125" style="697"/>
    <col min="9727" max="9727" width="13.140625" style="697" customWidth="1"/>
    <col min="9728" max="9728" width="35.28515625" style="697" customWidth="1"/>
    <col min="9729" max="9729" width="12.85546875" style="697" customWidth="1"/>
    <col min="9730" max="9730" width="19.5703125" style="697" customWidth="1"/>
    <col min="9731" max="9731" width="12.28515625" style="697" customWidth="1"/>
    <col min="9732" max="9732" width="21.28515625" style="697" customWidth="1"/>
    <col min="9733" max="9733" width="11.5703125" style="697" customWidth="1"/>
    <col min="9734" max="9734" width="33.140625" style="697" customWidth="1"/>
    <col min="9735" max="9735" width="22.7109375" style="697" customWidth="1"/>
    <col min="9736" max="9736" width="10.7109375" style="697" customWidth="1"/>
    <col min="9737" max="9737" width="27.7109375" style="697" customWidth="1"/>
    <col min="9738" max="9738" width="21.42578125" style="697" customWidth="1"/>
    <col min="9739" max="9739" width="22.140625" style="697" customWidth="1"/>
    <col min="9740" max="9740" width="12.7109375" style="697" customWidth="1"/>
    <col min="9741" max="9741" width="16.42578125" style="697" customWidth="1"/>
    <col min="9742" max="9742" width="29.7109375" style="697" customWidth="1"/>
    <col min="9743" max="9743" width="29.140625" style="697" customWidth="1"/>
    <col min="9744" max="9744" width="33.5703125" style="697" customWidth="1"/>
    <col min="9745" max="9745" width="25" style="697" customWidth="1"/>
    <col min="9746" max="9746" width="11.7109375" style="697" customWidth="1"/>
    <col min="9747" max="9747" width="17.28515625" style="697" customWidth="1"/>
    <col min="9748" max="9763" width="7.28515625" style="697" customWidth="1"/>
    <col min="9764" max="9765" width="13.7109375" style="697" customWidth="1"/>
    <col min="9766" max="9766" width="20.85546875" style="697" customWidth="1"/>
    <col min="9767" max="9982" width="11.42578125" style="697"/>
    <col min="9983" max="9983" width="13.140625" style="697" customWidth="1"/>
    <col min="9984" max="9984" width="35.28515625" style="697" customWidth="1"/>
    <col min="9985" max="9985" width="12.85546875" style="697" customWidth="1"/>
    <col min="9986" max="9986" width="19.5703125" style="697" customWidth="1"/>
    <col min="9987" max="9987" width="12.28515625" style="697" customWidth="1"/>
    <col min="9988" max="9988" width="21.28515625" style="697" customWidth="1"/>
    <col min="9989" max="9989" width="11.5703125" style="697" customWidth="1"/>
    <col min="9990" max="9990" width="33.140625" style="697" customWidth="1"/>
    <col min="9991" max="9991" width="22.7109375" style="697" customWidth="1"/>
    <col min="9992" max="9992" width="10.7109375" style="697" customWidth="1"/>
    <col min="9993" max="9993" width="27.7109375" style="697" customWidth="1"/>
    <col min="9994" max="9994" width="21.42578125" style="697" customWidth="1"/>
    <col min="9995" max="9995" width="22.140625" style="697" customWidth="1"/>
    <col min="9996" max="9996" width="12.7109375" style="697" customWidth="1"/>
    <col min="9997" max="9997" width="16.42578125" style="697" customWidth="1"/>
    <col min="9998" max="9998" width="29.7109375" style="697" customWidth="1"/>
    <col min="9999" max="9999" width="29.140625" style="697" customWidth="1"/>
    <col min="10000" max="10000" width="33.5703125" style="697" customWidth="1"/>
    <col min="10001" max="10001" width="25" style="697" customWidth="1"/>
    <col min="10002" max="10002" width="11.7109375" style="697" customWidth="1"/>
    <col min="10003" max="10003" width="17.28515625" style="697" customWidth="1"/>
    <col min="10004" max="10019" width="7.28515625" style="697" customWidth="1"/>
    <col min="10020" max="10021" width="13.7109375" style="697" customWidth="1"/>
    <col min="10022" max="10022" width="20.85546875" style="697" customWidth="1"/>
    <col min="10023" max="10238" width="11.42578125" style="697"/>
    <col min="10239" max="10239" width="13.140625" style="697" customWidth="1"/>
    <col min="10240" max="10240" width="35.28515625" style="697" customWidth="1"/>
    <col min="10241" max="10241" width="12.85546875" style="697" customWidth="1"/>
    <col min="10242" max="10242" width="19.5703125" style="697" customWidth="1"/>
    <col min="10243" max="10243" width="12.28515625" style="697" customWidth="1"/>
    <col min="10244" max="10244" width="21.28515625" style="697" customWidth="1"/>
    <col min="10245" max="10245" width="11.5703125" style="697" customWidth="1"/>
    <col min="10246" max="10246" width="33.140625" style="697" customWidth="1"/>
    <col min="10247" max="10247" width="22.7109375" style="697" customWidth="1"/>
    <col min="10248" max="10248" width="10.7109375" style="697" customWidth="1"/>
    <col min="10249" max="10249" width="27.7109375" style="697" customWidth="1"/>
    <col min="10250" max="10250" width="21.42578125" style="697" customWidth="1"/>
    <col min="10251" max="10251" width="22.140625" style="697" customWidth="1"/>
    <col min="10252" max="10252" width="12.7109375" style="697" customWidth="1"/>
    <col min="10253" max="10253" width="16.42578125" style="697" customWidth="1"/>
    <col min="10254" max="10254" width="29.7109375" style="697" customWidth="1"/>
    <col min="10255" max="10255" width="29.140625" style="697" customWidth="1"/>
    <col min="10256" max="10256" width="33.5703125" style="697" customWidth="1"/>
    <col min="10257" max="10257" width="25" style="697" customWidth="1"/>
    <col min="10258" max="10258" width="11.7109375" style="697" customWidth="1"/>
    <col min="10259" max="10259" width="17.28515625" style="697" customWidth="1"/>
    <col min="10260" max="10275" width="7.28515625" style="697" customWidth="1"/>
    <col min="10276" max="10277" width="13.7109375" style="697" customWidth="1"/>
    <col min="10278" max="10278" width="20.85546875" style="697" customWidth="1"/>
    <col min="10279" max="10494" width="11.42578125" style="697"/>
    <col min="10495" max="10495" width="13.140625" style="697" customWidth="1"/>
    <col min="10496" max="10496" width="35.28515625" style="697" customWidth="1"/>
    <col min="10497" max="10497" width="12.85546875" style="697" customWidth="1"/>
    <col min="10498" max="10498" width="19.5703125" style="697" customWidth="1"/>
    <col min="10499" max="10499" width="12.28515625" style="697" customWidth="1"/>
    <col min="10500" max="10500" width="21.28515625" style="697" customWidth="1"/>
    <col min="10501" max="10501" width="11.5703125" style="697" customWidth="1"/>
    <col min="10502" max="10502" width="33.140625" style="697" customWidth="1"/>
    <col min="10503" max="10503" width="22.7109375" style="697" customWidth="1"/>
    <col min="10504" max="10504" width="10.7109375" style="697" customWidth="1"/>
    <col min="10505" max="10505" width="27.7109375" style="697" customWidth="1"/>
    <col min="10506" max="10506" width="21.42578125" style="697" customWidth="1"/>
    <col min="10507" max="10507" width="22.140625" style="697" customWidth="1"/>
    <col min="10508" max="10508" width="12.7109375" style="697" customWidth="1"/>
    <col min="10509" max="10509" width="16.42578125" style="697" customWidth="1"/>
    <col min="10510" max="10510" width="29.7109375" style="697" customWidth="1"/>
    <col min="10511" max="10511" width="29.140625" style="697" customWidth="1"/>
    <col min="10512" max="10512" width="33.5703125" style="697" customWidth="1"/>
    <col min="10513" max="10513" width="25" style="697" customWidth="1"/>
    <col min="10514" max="10514" width="11.7109375" style="697" customWidth="1"/>
    <col min="10515" max="10515" width="17.28515625" style="697" customWidth="1"/>
    <col min="10516" max="10531" width="7.28515625" style="697" customWidth="1"/>
    <col min="10532" max="10533" width="13.7109375" style="697" customWidth="1"/>
    <col min="10534" max="10534" width="20.85546875" style="697" customWidth="1"/>
    <col min="10535" max="10750" width="11.42578125" style="697"/>
    <col min="10751" max="10751" width="13.140625" style="697" customWidth="1"/>
    <col min="10752" max="10752" width="35.28515625" style="697" customWidth="1"/>
    <col min="10753" max="10753" width="12.85546875" style="697" customWidth="1"/>
    <col min="10754" max="10754" width="19.5703125" style="697" customWidth="1"/>
    <col min="10755" max="10755" width="12.28515625" style="697" customWidth="1"/>
    <col min="10756" max="10756" width="21.28515625" style="697" customWidth="1"/>
    <col min="10757" max="10757" width="11.5703125" style="697" customWidth="1"/>
    <col min="10758" max="10758" width="33.140625" style="697" customWidth="1"/>
    <col min="10759" max="10759" width="22.7109375" style="697" customWidth="1"/>
    <col min="10760" max="10760" width="10.7109375" style="697" customWidth="1"/>
    <col min="10761" max="10761" width="27.7109375" style="697" customWidth="1"/>
    <col min="10762" max="10762" width="21.42578125" style="697" customWidth="1"/>
    <col min="10763" max="10763" width="22.140625" style="697" customWidth="1"/>
    <col min="10764" max="10764" width="12.7109375" style="697" customWidth="1"/>
    <col min="10765" max="10765" width="16.42578125" style="697" customWidth="1"/>
    <col min="10766" max="10766" width="29.7109375" style="697" customWidth="1"/>
    <col min="10767" max="10767" width="29.140625" style="697" customWidth="1"/>
    <col min="10768" max="10768" width="33.5703125" style="697" customWidth="1"/>
    <col min="10769" max="10769" width="25" style="697" customWidth="1"/>
    <col min="10770" max="10770" width="11.7109375" style="697" customWidth="1"/>
    <col min="10771" max="10771" width="17.28515625" style="697" customWidth="1"/>
    <col min="10772" max="10787" width="7.28515625" style="697" customWidth="1"/>
    <col min="10788" max="10789" width="13.7109375" style="697" customWidth="1"/>
    <col min="10790" max="10790" width="20.85546875" style="697" customWidth="1"/>
    <col min="10791" max="11006" width="11.42578125" style="697"/>
    <col min="11007" max="11007" width="13.140625" style="697" customWidth="1"/>
    <col min="11008" max="11008" width="35.28515625" style="697" customWidth="1"/>
    <col min="11009" max="11009" width="12.85546875" style="697" customWidth="1"/>
    <col min="11010" max="11010" width="19.5703125" style="697" customWidth="1"/>
    <col min="11011" max="11011" width="12.28515625" style="697" customWidth="1"/>
    <col min="11012" max="11012" width="21.28515625" style="697" customWidth="1"/>
    <col min="11013" max="11013" width="11.5703125" style="697" customWidth="1"/>
    <col min="11014" max="11014" width="33.140625" style="697" customWidth="1"/>
    <col min="11015" max="11015" width="22.7109375" style="697" customWidth="1"/>
    <col min="11016" max="11016" width="10.7109375" style="697" customWidth="1"/>
    <col min="11017" max="11017" width="27.7109375" style="697" customWidth="1"/>
    <col min="11018" max="11018" width="21.42578125" style="697" customWidth="1"/>
    <col min="11019" max="11019" width="22.140625" style="697" customWidth="1"/>
    <col min="11020" max="11020" width="12.7109375" style="697" customWidth="1"/>
    <col min="11021" max="11021" width="16.42578125" style="697" customWidth="1"/>
    <col min="11022" max="11022" width="29.7109375" style="697" customWidth="1"/>
    <col min="11023" max="11023" width="29.140625" style="697" customWidth="1"/>
    <col min="11024" max="11024" width="33.5703125" style="697" customWidth="1"/>
    <col min="11025" max="11025" width="25" style="697" customWidth="1"/>
    <col min="11026" max="11026" width="11.7109375" style="697" customWidth="1"/>
    <col min="11027" max="11027" width="17.28515625" style="697" customWidth="1"/>
    <col min="11028" max="11043" width="7.28515625" style="697" customWidth="1"/>
    <col min="11044" max="11045" width="13.7109375" style="697" customWidth="1"/>
    <col min="11046" max="11046" width="20.85546875" style="697" customWidth="1"/>
    <col min="11047" max="11262" width="11.42578125" style="697"/>
    <col min="11263" max="11263" width="13.140625" style="697" customWidth="1"/>
    <col min="11264" max="11264" width="35.28515625" style="697" customWidth="1"/>
    <col min="11265" max="11265" width="12.85546875" style="697" customWidth="1"/>
    <col min="11266" max="11266" width="19.5703125" style="697" customWidth="1"/>
    <col min="11267" max="11267" width="12.28515625" style="697" customWidth="1"/>
    <col min="11268" max="11268" width="21.28515625" style="697" customWidth="1"/>
    <col min="11269" max="11269" width="11.5703125" style="697" customWidth="1"/>
    <col min="11270" max="11270" width="33.140625" style="697" customWidth="1"/>
    <col min="11271" max="11271" width="22.7109375" style="697" customWidth="1"/>
    <col min="11272" max="11272" width="10.7109375" style="697" customWidth="1"/>
    <col min="11273" max="11273" width="27.7109375" style="697" customWidth="1"/>
    <col min="11274" max="11274" width="21.42578125" style="697" customWidth="1"/>
    <col min="11275" max="11275" width="22.140625" style="697" customWidth="1"/>
    <col min="11276" max="11276" width="12.7109375" style="697" customWidth="1"/>
    <col min="11277" max="11277" width="16.42578125" style="697" customWidth="1"/>
    <col min="11278" max="11278" width="29.7109375" style="697" customWidth="1"/>
    <col min="11279" max="11279" width="29.140625" style="697" customWidth="1"/>
    <col min="11280" max="11280" width="33.5703125" style="697" customWidth="1"/>
    <col min="11281" max="11281" width="25" style="697" customWidth="1"/>
    <col min="11282" max="11282" width="11.7109375" style="697" customWidth="1"/>
    <col min="11283" max="11283" width="17.28515625" style="697" customWidth="1"/>
    <col min="11284" max="11299" width="7.28515625" style="697" customWidth="1"/>
    <col min="11300" max="11301" width="13.7109375" style="697" customWidth="1"/>
    <col min="11302" max="11302" width="20.85546875" style="697" customWidth="1"/>
    <col min="11303" max="11518" width="11.42578125" style="697"/>
    <col min="11519" max="11519" width="13.140625" style="697" customWidth="1"/>
    <col min="11520" max="11520" width="35.28515625" style="697" customWidth="1"/>
    <col min="11521" max="11521" width="12.85546875" style="697" customWidth="1"/>
    <col min="11522" max="11522" width="19.5703125" style="697" customWidth="1"/>
    <col min="11523" max="11523" width="12.28515625" style="697" customWidth="1"/>
    <col min="11524" max="11524" width="21.28515625" style="697" customWidth="1"/>
    <col min="11525" max="11525" width="11.5703125" style="697" customWidth="1"/>
    <col min="11526" max="11526" width="33.140625" style="697" customWidth="1"/>
    <col min="11527" max="11527" width="22.7109375" style="697" customWidth="1"/>
    <col min="11528" max="11528" width="10.7109375" style="697" customWidth="1"/>
    <col min="11529" max="11529" width="27.7109375" style="697" customWidth="1"/>
    <col min="11530" max="11530" width="21.42578125" style="697" customWidth="1"/>
    <col min="11531" max="11531" width="22.140625" style="697" customWidth="1"/>
    <col min="11532" max="11532" width="12.7109375" style="697" customWidth="1"/>
    <col min="11533" max="11533" width="16.42578125" style="697" customWidth="1"/>
    <col min="11534" max="11534" width="29.7109375" style="697" customWidth="1"/>
    <col min="11535" max="11535" width="29.140625" style="697" customWidth="1"/>
    <col min="11536" max="11536" width="33.5703125" style="697" customWidth="1"/>
    <col min="11537" max="11537" width="25" style="697" customWidth="1"/>
    <col min="11538" max="11538" width="11.7109375" style="697" customWidth="1"/>
    <col min="11539" max="11539" width="17.28515625" style="697" customWidth="1"/>
    <col min="11540" max="11555" width="7.28515625" style="697" customWidth="1"/>
    <col min="11556" max="11557" width="13.7109375" style="697" customWidth="1"/>
    <col min="11558" max="11558" width="20.85546875" style="697" customWidth="1"/>
    <col min="11559" max="11774" width="11.42578125" style="697"/>
    <col min="11775" max="11775" width="13.140625" style="697" customWidth="1"/>
    <col min="11776" max="11776" width="35.28515625" style="697" customWidth="1"/>
    <col min="11777" max="11777" width="12.85546875" style="697" customWidth="1"/>
    <col min="11778" max="11778" width="19.5703125" style="697" customWidth="1"/>
    <col min="11779" max="11779" width="12.28515625" style="697" customWidth="1"/>
    <col min="11780" max="11780" width="21.28515625" style="697" customWidth="1"/>
    <col min="11781" max="11781" width="11.5703125" style="697" customWidth="1"/>
    <col min="11782" max="11782" width="33.140625" style="697" customWidth="1"/>
    <col min="11783" max="11783" width="22.7109375" style="697" customWidth="1"/>
    <col min="11784" max="11784" width="10.7109375" style="697" customWidth="1"/>
    <col min="11785" max="11785" width="27.7109375" style="697" customWidth="1"/>
    <col min="11786" max="11786" width="21.42578125" style="697" customWidth="1"/>
    <col min="11787" max="11787" width="22.140625" style="697" customWidth="1"/>
    <col min="11788" max="11788" width="12.7109375" style="697" customWidth="1"/>
    <col min="11789" max="11789" width="16.42578125" style="697" customWidth="1"/>
    <col min="11790" max="11790" width="29.7109375" style="697" customWidth="1"/>
    <col min="11791" max="11791" width="29.140625" style="697" customWidth="1"/>
    <col min="11792" max="11792" width="33.5703125" style="697" customWidth="1"/>
    <col min="11793" max="11793" width="25" style="697" customWidth="1"/>
    <col min="11794" max="11794" width="11.7109375" style="697" customWidth="1"/>
    <col min="11795" max="11795" width="17.28515625" style="697" customWidth="1"/>
    <col min="11796" max="11811" width="7.28515625" style="697" customWidth="1"/>
    <col min="11812" max="11813" width="13.7109375" style="697" customWidth="1"/>
    <col min="11814" max="11814" width="20.85546875" style="697" customWidth="1"/>
    <col min="11815" max="12030" width="11.42578125" style="697"/>
    <col min="12031" max="12031" width="13.140625" style="697" customWidth="1"/>
    <col min="12032" max="12032" width="35.28515625" style="697" customWidth="1"/>
    <col min="12033" max="12033" width="12.85546875" style="697" customWidth="1"/>
    <col min="12034" max="12034" width="19.5703125" style="697" customWidth="1"/>
    <col min="12035" max="12035" width="12.28515625" style="697" customWidth="1"/>
    <col min="12036" max="12036" width="21.28515625" style="697" customWidth="1"/>
    <col min="12037" max="12037" width="11.5703125" style="697" customWidth="1"/>
    <col min="12038" max="12038" width="33.140625" style="697" customWidth="1"/>
    <col min="12039" max="12039" width="22.7109375" style="697" customWidth="1"/>
    <col min="12040" max="12040" width="10.7109375" style="697" customWidth="1"/>
    <col min="12041" max="12041" width="27.7109375" style="697" customWidth="1"/>
    <col min="12042" max="12042" width="21.42578125" style="697" customWidth="1"/>
    <col min="12043" max="12043" width="22.140625" style="697" customWidth="1"/>
    <col min="12044" max="12044" width="12.7109375" style="697" customWidth="1"/>
    <col min="12045" max="12045" width="16.42578125" style="697" customWidth="1"/>
    <col min="12046" max="12046" width="29.7109375" style="697" customWidth="1"/>
    <col min="12047" max="12047" width="29.140625" style="697" customWidth="1"/>
    <col min="12048" max="12048" width="33.5703125" style="697" customWidth="1"/>
    <col min="12049" max="12049" width="25" style="697" customWidth="1"/>
    <col min="12050" max="12050" width="11.7109375" style="697" customWidth="1"/>
    <col min="12051" max="12051" width="17.28515625" style="697" customWidth="1"/>
    <col min="12052" max="12067" width="7.28515625" style="697" customWidth="1"/>
    <col min="12068" max="12069" width="13.7109375" style="697" customWidth="1"/>
    <col min="12070" max="12070" width="20.85546875" style="697" customWidth="1"/>
    <col min="12071" max="12286" width="11.42578125" style="697"/>
    <col min="12287" max="12287" width="13.140625" style="697" customWidth="1"/>
    <col min="12288" max="12288" width="35.28515625" style="697" customWidth="1"/>
    <col min="12289" max="12289" width="12.85546875" style="697" customWidth="1"/>
    <col min="12290" max="12290" width="19.5703125" style="697" customWidth="1"/>
    <col min="12291" max="12291" width="12.28515625" style="697" customWidth="1"/>
    <col min="12292" max="12292" width="21.28515625" style="697" customWidth="1"/>
    <col min="12293" max="12293" width="11.5703125" style="697" customWidth="1"/>
    <col min="12294" max="12294" width="33.140625" style="697" customWidth="1"/>
    <col min="12295" max="12295" width="22.7109375" style="697" customWidth="1"/>
    <col min="12296" max="12296" width="10.7109375" style="697" customWidth="1"/>
    <col min="12297" max="12297" width="27.7109375" style="697" customWidth="1"/>
    <col min="12298" max="12298" width="21.42578125" style="697" customWidth="1"/>
    <col min="12299" max="12299" width="22.140625" style="697" customWidth="1"/>
    <col min="12300" max="12300" width="12.7109375" style="697" customWidth="1"/>
    <col min="12301" max="12301" width="16.42578125" style="697" customWidth="1"/>
    <col min="12302" max="12302" width="29.7109375" style="697" customWidth="1"/>
    <col min="12303" max="12303" width="29.140625" style="697" customWidth="1"/>
    <col min="12304" max="12304" width="33.5703125" style="697" customWidth="1"/>
    <col min="12305" max="12305" width="25" style="697" customWidth="1"/>
    <col min="12306" max="12306" width="11.7109375" style="697" customWidth="1"/>
    <col min="12307" max="12307" width="17.28515625" style="697" customWidth="1"/>
    <col min="12308" max="12323" width="7.28515625" style="697" customWidth="1"/>
    <col min="12324" max="12325" width="13.7109375" style="697" customWidth="1"/>
    <col min="12326" max="12326" width="20.85546875" style="697" customWidth="1"/>
    <col min="12327" max="12542" width="11.42578125" style="697"/>
    <col min="12543" max="12543" width="13.140625" style="697" customWidth="1"/>
    <col min="12544" max="12544" width="35.28515625" style="697" customWidth="1"/>
    <col min="12545" max="12545" width="12.85546875" style="697" customWidth="1"/>
    <col min="12546" max="12546" width="19.5703125" style="697" customWidth="1"/>
    <col min="12547" max="12547" width="12.28515625" style="697" customWidth="1"/>
    <col min="12548" max="12548" width="21.28515625" style="697" customWidth="1"/>
    <col min="12549" max="12549" width="11.5703125" style="697" customWidth="1"/>
    <col min="12550" max="12550" width="33.140625" style="697" customWidth="1"/>
    <col min="12551" max="12551" width="22.7109375" style="697" customWidth="1"/>
    <col min="12552" max="12552" width="10.7109375" style="697" customWidth="1"/>
    <col min="12553" max="12553" width="27.7109375" style="697" customWidth="1"/>
    <col min="12554" max="12554" width="21.42578125" style="697" customWidth="1"/>
    <col min="12555" max="12555" width="22.140625" style="697" customWidth="1"/>
    <col min="12556" max="12556" width="12.7109375" style="697" customWidth="1"/>
    <col min="12557" max="12557" width="16.42578125" style="697" customWidth="1"/>
    <col min="12558" max="12558" width="29.7109375" style="697" customWidth="1"/>
    <col min="12559" max="12559" width="29.140625" style="697" customWidth="1"/>
    <col min="12560" max="12560" width="33.5703125" style="697" customWidth="1"/>
    <col min="12561" max="12561" width="25" style="697" customWidth="1"/>
    <col min="12562" max="12562" width="11.7109375" style="697" customWidth="1"/>
    <col min="12563" max="12563" width="17.28515625" style="697" customWidth="1"/>
    <col min="12564" max="12579" width="7.28515625" style="697" customWidth="1"/>
    <col min="12580" max="12581" width="13.7109375" style="697" customWidth="1"/>
    <col min="12582" max="12582" width="20.85546875" style="697" customWidth="1"/>
    <col min="12583" max="12798" width="11.42578125" style="697"/>
    <col min="12799" max="12799" width="13.140625" style="697" customWidth="1"/>
    <col min="12800" max="12800" width="35.28515625" style="697" customWidth="1"/>
    <col min="12801" max="12801" width="12.85546875" style="697" customWidth="1"/>
    <col min="12802" max="12802" width="19.5703125" style="697" customWidth="1"/>
    <col min="12803" max="12803" width="12.28515625" style="697" customWidth="1"/>
    <col min="12804" max="12804" width="21.28515625" style="697" customWidth="1"/>
    <col min="12805" max="12805" width="11.5703125" style="697" customWidth="1"/>
    <col min="12806" max="12806" width="33.140625" style="697" customWidth="1"/>
    <col min="12807" max="12807" width="22.7109375" style="697" customWidth="1"/>
    <col min="12808" max="12808" width="10.7109375" style="697" customWidth="1"/>
    <col min="12809" max="12809" width="27.7109375" style="697" customWidth="1"/>
    <col min="12810" max="12810" width="21.42578125" style="697" customWidth="1"/>
    <col min="12811" max="12811" width="22.140625" style="697" customWidth="1"/>
    <col min="12812" max="12812" width="12.7109375" style="697" customWidth="1"/>
    <col min="12813" max="12813" width="16.42578125" style="697" customWidth="1"/>
    <col min="12814" max="12814" width="29.7109375" style="697" customWidth="1"/>
    <col min="12815" max="12815" width="29.140625" style="697" customWidth="1"/>
    <col min="12816" max="12816" width="33.5703125" style="697" customWidth="1"/>
    <col min="12817" max="12817" width="25" style="697" customWidth="1"/>
    <col min="12818" max="12818" width="11.7109375" style="697" customWidth="1"/>
    <col min="12819" max="12819" width="17.28515625" style="697" customWidth="1"/>
    <col min="12820" max="12835" width="7.28515625" style="697" customWidth="1"/>
    <col min="12836" max="12837" width="13.7109375" style="697" customWidth="1"/>
    <col min="12838" max="12838" width="20.85546875" style="697" customWidth="1"/>
    <col min="12839" max="13054" width="11.42578125" style="697"/>
    <col min="13055" max="13055" width="13.140625" style="697" customWidth="1"/>
    <col min="13056" max="13056" width="35.28515625" style="697" customWidth="1"/>
    <col min="13057" max="13057" width="12.85546875" style="697" customWidth="1"/>
    <col min="13058" max="13058" width="19.5703125" style="697" customWidth="1"/>
    <col min="13059" max="13059" width="12.28515625" style="697" customWidth="1"/>
    <col min="13060" max="13060" width="21.28515625" style="697" customWidth="1"/>
    <col min="13061" max="13061" width="11.5703125" style="697" customWidth="1"/>
    <col min="13062" max="13062" width="33.140625" style="697" customWidth="1"/>
    <col min="13063" max="13063" width="22.7109375" style="697" customWidth="1"/>
    <col min="13064" max="13064" width="10.7109375" style="697" customWidth="1"/>
    <col min="13065" max="13065" width="27.7109375" style="697" customWidth="1"/>
    <col min="13066" max="13066" width="21.42578125" style="697" customWidth="1"/>
    <col min="13067" max="13067" width="22.140625" style="697" customWidth="1"/>
    <col min="13068" max="13068" width="12.7109375" style="697" customWidth="1"/>
    <col min="13069" max="13069" width="16.42578125" style="697" customWidth="1"/>
    <col min="13070" max="13070" width="29.7109375" style="697" customWidth="1"/>
    <col min="13071" max="13071" width="29.140625" style="697" customWidth="1"/>
    <col min="13072" max="13072" width="33.5703125" style="697" customWidth="1"/>
    <col min="13073" max="13073" width="25" style="697" customWidth="1"/>
    <col min="13074" max="13074" width="11.7109375" style="697" customWidth="1"/>
    <col min="13075" max="13075" width="17.28515625" style="697" customWidth="1"/>
    <col min="13076" max="13091" width="7.28515625" style="697" customWidth="1"/>
    <col min="13092" max="13093" width="13.7109375" style="697" customWidth="1"/>
    <col min="13094" max="13094" width="20.85546875" style="697" customWidth="1"/>
    <col min="13095" max="13310" width="11.42578125" style="697"/>
    <col min="13311" max="13311" width="13.140625" style="697" customWidth="1"/>
    <col min="13312" max="13312" width="35.28515625" style="697" customWidth="1"/>
    <col min="13313" max="13313" width="12.85546875" style="697" customWidth="1"/>
    <col min="13314" max="13314" width="19.5703125" style="697" customWidth="1"/>
    <col min="13315" max="13315" width="12.28515625" style="697" customWidth="1"/>
    <col min="13316" max="13316" width="21.28515625" style="697" customWidth="1"/>
    <col min="13317" max="13317" width="11.5703125" style="697" customWidth="1"/>
    <col min="13318" max="13318" width="33.140625" style="697" customWidth="1"/>
    <col min="13319" max="13319" width="22.7109375" style="697" customWidth="1"/>
    <col min="13320" max="13320" width="10.7109375" style="697" customWidth="1"/>
    <col min="13321" max="13321" width="27.7109375" style="697" customWidth="1"/>
    <col min="13322" max="13322" width="21.42578125" style="697" customWidth="1"/>
    <col min="13323" max="13323" width="22.140625" style="697" customWidth="1"/>
    <col min="13324" max="13324" width="12.7109375" style="697" customWidth="1"/>
    <col min="13325" max="13325" width="16.42578125" style="697" customWidth="1"/>
    <col min="13326" max="13326" width="29.7109375" style="697" customWidth="1"/>
    <col min="13327" max="13327" width="29.140625" style="697" customWidth="1"/>
    <col min="13328" max="13328" width="33.5703125" style="697" customWidth="1"/>
    <col min="13329" max="13329" width="25" style="697" customWidth="1"/>
    <col min="13330" max="13330" width="11.7109375" style="697" customWidth="1"/>
    <col min="13331" max="13331" width="17.28515625" style="697" customWidth="1"/>
    <col min="13332" max="13347" width="7.28515625" style="697" customWidth="1"/>
    <col min="13348" max="13349" width="13.7109375" style="697" customWidth="1"/>
    <col min="13350" max="13350" width="20.85546875" style="697" customWidth="1"/>
    <col min="13351" max="13566" width="11.42578125" style="697"/>
    <col min="13567" max="13567" width="13.140625" style="697" customWidth="1"/>
    <col min="13568" max="13568" width="35.28515625" style="697" customWidth="1"/>
    <col min="13569" max="13569" width="12.85546875" style="697" customWidth="1"/>
    <col min="13570" max="13570" width="19.5703125" style="697" customWidth="1"/>
    <col min="13571" max="13571" width="12.28515625" style="697" customWidth="1"/>
    <col min="13572" max="13572" width="21.28515625" style="697" customWidth="1"/>
    <col min="13573" max="13573" width="11.5703125" style="697" customWidth="1"/>
    <col min="13574" max="13574" width="33.140625" style="697" customWidth="1"/>
    <col min="13575" max="13575" width="22.7109375" style="697" customWidth="1"/>
    <col min="13576" max="13576" width="10.7109375" style="697" customWidth="1"/>
    <col min="13577" max="13577" width="27.7109375" style="697" customWidth="1"/>
    <col min="13578" max="13578" width="21.42578125" style="697" customWidth="1"/>
    <col min="13579" max="13579" width="22.140625" style="697" customWidth="1"/>
    <col min="13580" max="13580" width="12.7109375" style="697" customWidth="1"/>
    <col min="13581" max="13581" width="16.42578125" style="697" customWidth="1"/>
    <col min="13582" max="13582" width="29.7109375" style="697" customWidth="1"/>
    <col min="13583" max="13583" width="29.140625" style="697" customWidth="1"/>
    <col min="13584" max="13584" width="33.5703125" style="697" customWidth="1"/>
    <col min="13585" max="13585" width="25" style="697" customWidth="1"/>
    <col min="13586" max="13586" width="11.7109375" style="697" customWidth="1"/>
    <col min="13587" max="13587" width="17.28515625" style="697" customWidth="1"/>
    <col min="13588" max="13603" width="7.28515625" style="697" customWidth="1"/>
    <col min="13604" max="13605" width="13.7109375" style="697" customWidth="1"/>
    <col min="13606" max="13606" width="20.85546875" style="697" customWidth="1"/>
    <col min="13607" max="13822" width="11.42578125" style="697"/>
    <col min="13823" max="13823" width="13.140625" style="697" customWidth="1"/>
    <col min="13824" max="13824" width="35.28515625" style="697" customWidth="1"/>
    <col min="13825" max="13825" width="12.85546875" style="697" customWidth="1"/>
    <col min="13826" max="13826" width="19.5703125" style="697" customWidth="1"/>
    <col min="13827" max="13827" width="12.28515625" style="697" customWidth="1"/>
    <col min="13828" max="13828" width="21.28515625" style="697" customWidth="1"/>
    <col min="13829" max="13829" width="11.5703125" style="697" customWidth="1"/>
    <col min="13830" max="13830" width="33.140625" style="697" customWidth="1"/>
    <col min="13831" max="13831" width="22.7109375" style="697" customWidth="1"/>
    <col min="13832" max="13832" width="10.7109375" style="697" customWidth="1"/>
    <col min="13833" max="13833" width="27.7109375" style="697" customWidth="1"/>
    <col min="13834" max="13834" width="21.42578125" style="697" customWidth="1"/>
    <col min="13835" max="13835" width="22.140625" style="697" customWidth="1"/>
    <col min="13836" max="13836" width="12.7109375" style="697" customWidth="1"/>
    <col min="13837" max="13837" width="16.42578125" style="697" customWidth="1"/>
    <col min="13838" max="13838" width="29.7109375" style="697" customWidth="1"/>
    <col min="13839" max="13839" width="29.140625" style="697" customWidth="1"/>
    <col min="13840" max="13840" width="33.5703125" style="697" customWidth="1"/>
    <col min="13841" max="13841" width="25" style="697" customWidth="1"/>
    <col min="13842" max="13842" width="11.7109375" style="697" customWidth="1"/>
    <col min="13843" max="13843" width="17.28515625" style="697" customWidth="1"/>
    <col min="13844" max="13859" width="7.28515625" style="697" customWidth="1"/>
    <col min="13860" max="13861" width="13.7109375" style="697" customWidth="1"/>
    <col min="13862" max="13862" width="20.85546875" style="697" customWidth="1"/>
    <col min="13863" max="14078" width="11.42578125" style="697"/>
    <col min="14079" max="14079" width="13.140625" style="697" customWidth="1"/>
    <col min="14080" max="14080" width="35.28515625" style="697" customWidth="1"/>
    <col min="14081" max="14081" width="12.85546875" style="697" customWidth="1"/>
    <col min="14082" max="14082" width="19.5703125" style="697" customWidth="1"/>
    <col min="14083" max="14083" width="12.28515625" style="697" customWidth="1"/>
    <col min="14084" max="14084" width="21.28515625" style="697" customWidth="1"/>
    <col min="14085" max="14085" width="11.5703125" style="697" customWidth="1"/>
    <col min="14086" max="14086" width="33.140625" style="697" customWidth="1"/>
    <col min="14087" max="14087" width="22.7109375" style="697" customWidth="1"/>
    <col min="14088" max="14088" width="10.7109375" style="697" customWidth="1"/>
    <col min="14089" max="14089" width="27.7109375" style="697" customWidth="1"/>
    <col min="14090" max="14090" width="21.42578125" style="697" customWidth="1"/>
    <col min="14091" max="14091" width="22.140625" style="697" customWidth="1"/>
    <col min="14092" max="14092" width="12.7109375" style="697" customWidth="1"/>
    <col min="14093" max="14093" width="16.42578125" style="697" customWidth="1"/>
    <col min="14094" max="14094" width="29.7109375" style="697" customWidth="1"/>
    <col min="14095" max="14095" width="29.140625" style="697" customWidth="1"/>
    <col min="14096" max="14096" width="33.5703125" style="697" customWidth="1"/>
    <col min="14097" max="14097" width="25" style="697" customWidth="1"/>
    <col min="14098" max="14098" width="11.7109375" style="697" customWidth="1"/>
    <col min="14099" max="14099" width="17.28515625" style="697" customWidth="1"/>
    <col min="14100" max="14115" width="7.28515625" style="697" customWidth="1"/>
    <col min="14116" max="14117" width="13.7109375" style="697" customWidth="1"/>
    <col min="14118" max="14118" width="20.85546875" style="697" customWidth="1"/>
    <col min="14119" max="14334" width="11.42578125" style="697"/>
    <col min="14335" max="14335" width="13.140625" style="697" customWidth="1"/>
    <col min="14336" max="14336" width="35.28515625" style="697" customWidth="1"/>
    <col min="14337" max="14337" width="12.85546875" style="697" customWidth="1"/>
    <col min="14338" max="14338" width="19.5703125" style="697" customWidth="1"/>
    <col min="14339" max="14339" width="12.28515625" style="697" customWidth="1"/>
    <col min="14340" max="14340" width="21.28515625" style="697" customWidth="1"/>
    <col min="14341" max="14341" width="11.5703125" style="697" customWidth="1"/>
    <col min="14342" max="14342" width="33.140625" style="697" customWidth="1"/>
    <col min="14343" max="14343" width="22.7109375" style="697" customWidth="1"/>
    <col min="14344" max="14344" width="10.7109375" style="697" customWidth="1"/>
    <col min="14345" max="14345" width="27.7109375" style="697" customWidth="1"/>
    <col min="14346" max="14346" width="21.42578125" style="697" customWidth="1"/>
    <col min="14347" max="14347" width="22.140625" style="697" customWidth="1"/>
    <col min="14348" max="14348" width="12.7109375" style="697" customWidth="1"/>
    <col min="14349" max="14349" width="16.42578125" style="697" customWidth="1"/>
    <col min="14350" max="14350" width="29.7109375" style="697" customWidth="1"/>
    <col min="14351" max="14351" width="29.140625" style="697" customWidth="1"/>
    <col min="14352" max="14352" width="33.5703125" style="697" customWidth="1"/>
    <col min="14353" max="14353" width="25" style="697" customWidth="1"/>
    <col min="14354" max="14354" width="11.7109375" style="697" customWidth="1"/>
    <col min="14355" max="14355" width="17.28515625" style="697" customWidth="1"/>
    <col min="14356" max="14371" width="7.28515625" style="697" customWidth="1"/>
    <col min="14372" max="14373" width="13.7109375" style="697" customWidth="1"/>
    <col min="14374" max="14374" width="20.85546875" style="697" customWidth="1"/>
    <col min="14375" max="14590" width="11.42578125" style="697"/>
    <col min="14591" max="14591" width="13.140625" style="697" customWidth="1"/>
    <col min="14592" max="14592" width="35.28515625" style="697" customWidth="1"/>
    <col min="14593" max="14593" width="12.85546875" style="697" customWidth="1"/>
    <col min="14594" max="14594" width="19.5703125" style="697" customWidth="1"/>
    <col min="14595" max="14595" width="12.28515625" style="697" customWidth="1"/>
    <col min="14596" max="14596" width="21.28515625" style="697" customWidth="1"/>
    <col min="14597" max="14597" width="11.5703125" style="697" customWidth="1"/>
    <col min="14598" max="14598" width="33.140625" style="697" customWidth="1"/>
    <col min="14599" max="14599" width="22.7109375" style="697" customWidth="1"/>
    <col min="14600" max="14600" width="10.7109375" style="697" customWidth="1"/>
    <col min="14601" max="14601" width="27.7109375" style="697" customWidth="1"/>
    <col min="14602" max="14602" width="21.42578125" style="697" customWidth="1"/>
    <col min="14603" max="14603" width="22.140625" style="697" customWidth="1"/>
    <col min="14604" max="14604" width="12.7109375" style="697" customWidth="1"/>
    <col min="14605" max="14605" width="16.42578125" style="697" customWidth="1"/>
    <col min="14606" max="14606" width="29.7109375" style="697" customWidth="1"/>
    <col min="14607" max="14607" width="29.140625" style="697" customWidth="1"/>
    <col min="14608" max="14608" width="33.5703125" style="697" customWidth="1"/>
    <col min="14609" max="14609" width="25" style="697" customWidth="1"/>
    <col min="14610" max="14610" width="11.7109375" style="697" customWidth="1"/>
    <col min="14611" max="14611" width="17.28515625" style="697" customWidth="1"/>
    <col min="14612" max="14627" width="7.28515625" style="697" customWidth="1"/>
    <col min="14628" max="14629" width="13.7109375" style="697" customWidth="1"/>
    <col min="14630" max="14630" width="20.85546875" style="697" customWidth="1"/>
    <col min="14631" max="14846" width="11.42578125" style="697"/>
    <col min="14847" max="14847" width="13.140625" style="697" customWidth="1"/>
    <col min="14848" max="14848" width="35.28515625" style="697" customWidth="1"/>
    <col min="14849" max="14849" width="12.85546875" style="697" customWidth="1"/>
    <col min="14850" max="14850" width="19.5703125" style="697" customWidth="1"/>
    <col min="14851" max="14851" width="12.28515625" style="697" customWidth="1"/>
    <col min="14852" max="14852" width="21.28515625" style="697" customWidth="1"/>
    <col min="14853" max="14853" width="11.5703125" style="697" customWidth="1"/>
    <col min="14854" max="14854" width="33.140625" style="697" customWidth="1"/>
    <col min="14855" max="14855" width="22.7109375" style="697" customWidth="1"/>
    <col min="14856" max="14856" width="10.7109375" style="697" customWidth="1"/>
    <col min="14857" max="14857" width="27.7109375" style="697" customWidth="1"/>
    <col min="14858" max="14858" width="21.42578125" style="697" customWidth="1"/>
    <col min="14859" max="14859" width="22.140625" style="697" customWidth="1"/>
    <col min="14860" max="14860" width="12.7109375" style="697" customWidth="1"/>
    <col min="14861" max="14861" width="16.42578125" style="697" customWidth="1"/>
    <col min="14862" max="14862" width="29.7109375" style="697" customWidth="1"/>
    <col min="14863" max="14863" width="29.140625" style="697" customWidth="1"/>
    <col min="14864" max="14864" width="33.5703125" style="697" customWidth="1"/>
    <col min="14865" max="14865" width="25" style="697" customWidth="1"/>
    <col min="14866" max="14866" width="11.7109375" style="697" customWidth="1"/>
    <col min="14867" max="14867" width="17.28515625" style="697" customWidth="1"/>
    <col min="14868" max="14883" width="7.28515625" style="697" customWidth="1"/>
    <col min="14884" max="14885" width="13.7109375" style="697" customWidth="1"/>
    <col min="14886" max="14886" width="20.85546875" style="697" customWidth="1"/>
    <col min="14887" max="15102" width="11.42578125" style="697"/>
    <col min="15103" max="15103" width="13.140625" style="697" customWidth="1"/>
    <col min="15104" max="15104" width="35.28515625" style="697" customWidth="1"/>
    <col min="15105" max="15105" width="12.85546875" style="697" customWidth="1"/>
    <col min="15106" max="15106" width="19.5703125" style="697" customWidth="1"/>
    <col min="15107" max="15107" width="12.28515625" style="697" customWidth="1"/>
    <col min="15108" max="15108" width="21.28515625" style="697" customWidth="1"/>
    <col min="15109" max="15109" width="11.5703125" style="697" customWidth="1"/>
    <col min="15110" max="15110" width="33.140625" style="697" customWidth="1"/>
    <col min="15111" max="15111" width="22.7109375" style="697" customWidth="1"/>
    <col min="15112" max="15112" width="10.7109375" style="697" customWidth="1"/>
    <col min="15113" max="15113" width="27.7109375" style="697" customWidth="1"/>
    <col min="15114" max="15114" width="21.42578125" style="697" customWidth="1"/>
    <col min="15115" max="15115" width="22.140625" style="697" customWidth="1"/>
    <col min="15116" max="15116" width="12.7109375" style="697" customWidth="1"/>
    <col min="15117" max="15117" width="16.42578125" style="697" customWidth="1"/>
    <col min="15118" max="15118" width="29.7109375" style="697" customWidth="1"/>
    <col min="15119" max="15119" width="29.140625" style="697" customWidth="1"/>
    <col min="15120" max="15120" width="33.5703125" style="697" customWidth="1"/>
    <col min="15121" max="15121" width="25" style="697" customWidth="1"/>
    <col min="15122" max="15122" width="11.7109375" style="697" customWidth="1"/>
    <col min="15123" max="15123" width="17.28515625" style="697" customWidth="1"/>
    <col min="15124" max="15139" width="7.28515625" style="697" customWidth="1"/>
    <col min="15140" max="15141" width="13.7109375" style="697" customWidth="1"/>
    <col min="15142" max="15142" width="20.85546875" style="697" customWidth="1"/>
    <col min="15143" max="15358" width="11.42578125" style="697"/>
    <col min="15359" max="15359" width="13.140625" style="697" customWidth="1"/>
    <col min="15360" max="15360" width="35.28515625" style="697" customWidth="1"/>
    <col min="15361" max="15361" width="12.85546875" style="697" customWidth="1"/>
    <col min="15362" max="15362" width="19.5703125" style="697" customWidth="1"/>
    <col min="15363" max="15363" width="12.28515625" style="697" customWidth="1"/>
    <col min="15364" max="15364" width="21.28515625" style="697" customWidth="1"/>
    <col min="15365" max="15365" width="11.5703125" style="697" customWidth="1"/>
    <col min="15366" max="15366" width="33.140625" style="697" customWidth="1"/>
    <col min="15367" max="15367" width="22.7109375" style="697" customWidth="1"/>
    <col min="15368" max="15368" width="10.7109375" style="697" customWidth="1"/>
    <col min="15369" max="15369" width="27.7109375" style="697" customWidth="1"/>
    <col min="15370" max="15370" width="21.42578125" style="697" customWidth="1"/>
    <col min="15371" max="15371" width="22.140625" style="697" customWidth="1"/>
    <col min="15372" max="15372" width="12.7109375" style="697" customWidth="1"/>
    <col min="15373" max="15373" width="16.42578125" style="697" customWidth="1"/>
    <col min="15374" max="15374" width="29.7109375" style="697" customWidth="1"/>
    <col min="15375" max="15375" width="29.140625" style="697" customWidth="1"/>
    <col min="15376" max="15376" width="33.5703125" style="697" customWidth="1"/>
    <col min="15377" max="15377" width="25" style="697" customWidth="1"/>
    <col min="15378" max="15378" width="11.7109375" style="697" customWidth="1"/>
    <col min="15379" max="15379" width="17.28515625" style="697" customWidth="1"/>
    <col min="15380" max="15395" width="7.28515625" style="697" customWidth="1"/>
    <col min="15396" max="15397" width="13.7109375" style="697" customWidth="1"/>
    <col min="15398" max="15398" width="20.85546875" style="697" customWidth="1"/>
    <col min="15399" max="15614" width="11.42578125" style="697"/>
    <col min="15615" max="15615" width="13.140625" style="697" customWidth="1"/>
    <col min="15616" max="15616" width="35.28515625" style="697" customWidth="1"/>
    <col min="15617" max="15617" width="12.85546875" style="697" customWidth="1"/>
    <col min="15618" max="15618" width="19.5703125" style="697" customWidth="1"/>
    <col min="15619" max="15619" width="12.28515625" style="697" customWidth="1"/>
    <col min="15620" max="15620" width="21.28515625" style="697" customWidth="1"/>
    <col min="15621" max="15621" width="11.5703125" style="697" customWidth="1"/>
    <col min="15622" max="15622" width="33.140625" style="697" customWidth="1"/>
    <col min="15623" max="15623" width="22.7109375" style="697" customWidth="1"/>
    <col min="15624" max="15624" width="10.7109375" style="697" customWidth="1"/>
    <col min="15625" max="15625" width="27.7109375" style="697" customWidth="1"/>
    <col min="15626" max="15626" width="21.42578125" style="697" customWidth="1"/>
    <col min="15627" max="15627" width="22.140625" style="697" customWidth="1"/>
    <col min="15628" max="15628" width="12.7109375" style="697" customWidth="1"/>
    <col min="15629" max="15629" width="16.42578125" style="697" customWidth="1"/>
    <col min="15630" max="15630" width="29.7109375" style="697" customWidth="1"/>
    <col min="15631" max="15631" width="29.140625" style="697" customWidth="1"/>
    <col min="15632" max="15632" width="33.5703125" style="697" customWidth="1"/>
    <col min="15633" max="15633" width="25" style="697" customWidth="1"/>
    <col min="15634" max="15634" width="11.7109375" style="697" customWidth="1"/>
    <col min="15635" max="15635" width="17.28515625" style="697" customWidth="1"/>
    <col min="15636" max="15651" width="7.28515625" style="697" customWidth="1"/>
    <col min="15652" max="15653" width="13.7109375" style="697" customWidth="1"/>
    <col min="15654" max="15654" width="20.85546875" style="697" customWidth="1"/>
    <col min="15655" max="15870" width="11.42578125" style="697"/>
    <col min="15871" max="15871" width="13.140625" style="697" customWidth="1"/>
    <col min="15872" max="15872" width="35.28515625" style="697" customWidth="1"/>
    <col min="15873" max="15873" width="12.85546875" style="697" customWidth="1"/>
    <col min="15874" max="15874" width="19.5703125" style="697" customWidth="1"/>
    <col min="15875" max="15875" width="12.28515625" style="697" customWidth="1"/>
    <col min="15876" max="15876" width="21.28515625" style="697" customWidth="1"/>
    <col min="15877" max="15877" width="11.5703125" style="697" customWidth="1"/>
    <col min="15878" max="15878" width="33.140625" style="697" customWidth="1"/>
    <col min="15879" max="15879" width="22.7109375" style="697" customWidth="1"/>
    <col min="15880" max="15880" width="10.7109375" style="697" customWidth="1"/>
    <col min="15881" max="15881" width="27.7109375" style="697" customWidth="1"/>
    <col min="15882" max="15882" width="21.42578125" style="697" customWidth="1"/>
    <col min="15883" max="15883" width="22.140625" style="697" customWidth="1"/>
    <col min="15884" max="15884" width="12.7109375" style="697" customWidth="1"/>
    <col min="15885" max="15885" width="16.42578125" style="697" customWidth="1"/>
    <col min="15886" max="15886" width="29.7109375" style="697" customWidth="1"/>
    <col min="15887" max="15887" width="29.140625" style="697" customWidth="1"/>
    <col min="15888" max="15888" width="33.5703125" style="697" customWidth="1"/>
    <col min="15889" max="15889" width="25" style="697" customWidth="1"/>
    <col min="15890" max="15890" width="11.7109375" style="697" customWidth="1"/>
    <col min="15891" max="15891" width="17.28515625" style="697" customWidth="1"/>
    <col min="15892" max="15907" width="7.28515625" style="697" customWidth="1"/>
    <col min="15908" max="15909" width="13.7109375" style="697" customWidth="1"/>
    <col min="15910" max="15910" width="20.85546875" style="697" customWidth="1"/>
    <col min="15911" max="16126" width="11.42578125" style="697"/>
    <col min="16127" max="16127" width="13.140625" style="697" customWidth="1"/>
    <col min="16128" max="16128" width="35.28515625" style="697" customWidth="1"/>
    <col min="16129" max="16129" width="12.85546875" style="697" customWidth="1"/>
    <col min="16130" max="16130" width="19.5703125" style="697" customWidth="1"/>
    <col min="16131" max="16131" width="12.28515625" style="697" customWidth="1"/>
    <col min="16132" max="16132" width="21.28515625" style="697" customWidth="1"/>
    <col min="16133" max="16133" width="11.5703125" style="697" customWidth="1"/>
    <col min="16134" max="16134" width="33.140625" style="697" customWidth="1"/>
    <col min="16135" max="16135" width="22.7109375" style="697" customWidth="1"/>
    <col min="16136" max="16136" width="10.7109375" style="697" customWidth="1"/>
    <col min="16137" max="16137" width="27.7109375" style="697" customWidth="1"/>
    <col min="16138" max="16138" width="21.42578125" style="697" customWidth="1"/>
    <col min="16139" max="16139" width="22.140625" style="697" customWidth="1"/>
    <col min="16140" max="16140" width="12.7109375" style="697" customWidth="1"/>
    <col min="16141" max="16141" width="16.42578125" style="697" customWidth="1"/>
    <col min="16142" max="16142" width="29.7109375" style="697" customWidth="1"/>
    <col min="16143" max="16143" width="29.140625" style="697" customWidth="1"/>
    <col min="16144" max="16144" width="33.5703125" style="697" customWidth="1"/>
    <col min="16145" max="16145" width="25" style="697" customWidth="1"/>
    <col min="16146" max="16146" width="11.7109375" style="697" customWidth="1"/>
    <col min="16147" max="16147" width="17.28515625" style="697" customWidth="1"/>
    <col min="16148" max="16163" width="7.28515625" style="697" customWidth="1"/>
    <col min="16164" max="16165" width="13.7109375" style="697" customWidth="1"/>
    <col min="16166" max="16166" width="20.85546875" style="697" customWidth="1"/>
    <col min="16167" max="16384" width="11.42578125" style="697"/>
  </cols>
  <sheetData>
    <row r="1" spans="1:58" ht="30" customHeight="1" x14ac:dyDescent="0.25">
      <c r="A1" s="2923" t="s">
        <v>2557</v>
      </c>
      <c r="B1" s="3641"/>
      <c r="C1" s="3641"/>
      <c r="D1" s="3641"/>
      <c r="E1" s="3641"/>
      <c r="F1" s="3641"/>
      <c r="G1" s="3641"/>
      <c r="H1" s="3641"/>
      <c r="I1" s="3641"/>
      <c r="J1" s="3641"/>
      <c r="K1" s="3641"/>
      <c r="L1" s="3641"/>
      <c r="M1" s="3641"/>
      <c r="N1" s="3641"/>
      <c r="O1" s="3641"/>
      <c r="P1" s="3641"/>
      <c r="Q1" s="3641"/>
      <c r="R1" s="3641"/>
      <c r="S1" s="3641"/>
      <c r="T1" s="3641"/>
      <c r="U1" s="3641"/>
      <c r="V1" s="3641"/>
      <c r="W1" s="3641"/>
      <c r="X1" s="3641"/>
      <c r="Y1" s="3641"/>
      <c r="Z1" s="3641"/>
      <c r="AA1" s="3641"/>
      <c r="AB1" s="3641"/>
      <c r="AC1" s="3641"/>
      <c r="AD1" s="3641"/>
      <c r="AE1" s="3641"/>
      <c r="AF1" s="3641"/>
      <c r="AG1" s="3641"/>
      <c r="AH1" s="3641"/>
      <c r="AI1" s="3641"/>
      <c r="AJ1" s="3641"/>
      <c r="AK1" s="3641"/>
      <c r="AL1" s="3642"/>
      <c r="AM1" s="616" t="s">
        <v>0</v>
      </c>
      <c r="AN1" s="616" t="s">
        <v>118</v>
      </c>
      <c r="AO1" s="696"/>
      <c r="AP1" s="696"/>
      <c r="AQ1" s="696"/>
      <c r="AR1" s="696"/>
      <c r="AS1" s="696"/>
      <c r="AT1" s="696"/>
      <c r="AU1" s="696"/>
      <c r="AV1" s="696"/>
      <c r="AW1" s="696"/>
      <c r="AX1" s="696"/>
      <c r="AY1" s="696"/>
      <c r="AZ1" s="696"/>
      <c r="BA1" s="696"/>
      <c r="BB1" s="696"/>
      <c r="BC1" s="696"/>
      <c r="BD1" s="696"/>
      <c r="BE1" s="696"/>
      <c r="BF1" s="696"/>
    </row>
    <row r="2" spans="1:58" ht="30" customHeight="1" x14ac:dyDescent="0.25">
      <c r="A2" s="3641"/>
      <c r="B2" s="3641"/>
      <c r="C2" s="3641"/>
      <c r="D2" s="3641"/>
      <c r="E2" s="3641"/>
      <c r="F2" s="3641"/>
      <c r="G2" s="3641"/>
      <c r="H2" s="3641"/>
      <c r="I2" s="3641"/>
      <c r="J2" s="3641"/>
      <c r="K2" s="3641"/>
      <c r="L2" s="3641"/>
      <c r="M2" s="3641"/>
      <c r="N2" s="3641"/>
      <c r="O2" s="3641"/>
      <c r="P2" s="3641"/>
      <c r="Q2" s="3641"/>
      <c r="R2" s="3641"/>
      <c r="S2" s="3641"/>
      <c r="T2" s="3641"/>
      <c r="U2" s="3641"/>
      <c r="V2" s="3641"/>
      <c r="W2" s="3641"/>
      <c r="X2" s="3641"/>
      <c r="Y2" s="3641"/>
      <c r="Z2" s="3641"/>
      <c r="AA2" s="3641"/>
      <c r="AB2" s="3641"/>
      <c r="AC2" s="3641"/>
      <c r="AD2" s="3641"/>
      <c r="AE2" s="3641"/>
      <c r="AF2" s="3641"/>
      <c r="AG2" s="3641"/>
      <c r="AH2" s="3641"/>
      <c r="AI2" s="3641"/>
      <c r="AJ2" s="3641"/>
      <c r="AK2" s="3641"/>
      <c r="AL2" s="3642"/>
      <c r="AM2" s="619" t="s">
        <v>2</v>
      </c>
      <c r="AN2" s="616" t="s">
        <v>119</v>
      </c>
      <c r="AO2" s="696"/>
      <c r="AP2" s="696"/>
      <c r="AQ2" s="696"/>
      <c r="AR2" s="696"/>
      <c r="AS2" s="696"/>
      <c r="AT2" s="696"/>
      <c r="AU2" s="696"/>
      <c r="AV2" s="696"/>
      <c r="AW2" s="696"/>
      <c r="AX2" s="696"/>
      <c r="AY2" s="696"/>
      <c r="AZ2" s="696"/>
      <c r="BA2" s="696"/>
      <c r="BB2" s="696"/>
      <c r="BC2" s="696"/>
      <c r="BD2" s="696"/>
      <c r="BE2" s="696"/>
      <c r="BF2" s="696"/>
    </row>
    <row r="3" spans="1:58" ht="30" customHeight="1" x14ac:dyDescent="0.25">
      <c r="A3" s="3641"/>
      <c r="B3" s="3641"/>
      <c r="C3" s="3641"/>
      <c r="D3" s="3641"/>
      <c r="E3" s="3641"/>
      <c r="F3" s="3641"/>
      <c r="G3" s="3641"/>
      <c r="H3" s="3641"/>
      <c r="I3" s="3641"/>
      <c r="J3" s="3641"/>
      <c r="K3" s="3641"/>
      <c r="L3" s="3641"/>
      <c r="M3" s="3641"/>
      <c r="N3" s="3641"/>
      <c r="O3" s="3641"/>
      <c r="P3" s="3641"/>
      <c r="Q3" s="3641"/>
      <c r="R3" s="3641"/>
      <c r="S3" s="3641"/>
      <c r="T3" s="3641"/>
      <c r="U3" s="3641"/>
      <c r="V3" s="3641"/>
      <c r="W3" s="3641"/>
      <c r="X3" s="3641"/>
      <c r="Y3" s="3641"/>
      <c r="Z3" s="3641"/>
      <c r="AA3" s="3641"/>
      <c r="AB3" s="3641"/>
      <c r="AC3" s="3641"/>
      <c r="AD3" s="3641"/>
      <c r="AE3" s="3641"/>
      <c r="AF3" s="3641"/>
      <c r="AG3" s="3641"/>
      <c r="AH3" s="3641"/>
      <c r="AI3" s="3641"/>
      <c r="AJ3" s="3641"/>
      <c r="AK3" s="3641"/>
      <c r="AL3" s="3642"/>
      <c r="AM3" s="616" t="s">
        <v>4</v>
      </c>
      <c r="AN3" s="620" t="s">
        <v>5</v>
      </c>
      <c r="AO3" s="696"/>
      <c r="AP3" s="696"/>
      <c r="AQ3" s="696"/>
      <c r="AR3" s="696"/>
      <c r="AS3" s="696"/>
      <c r="AT3" s="696"/>
      <c r="AU3" s="696"/>
      <c r="AV3" s="696"/>
      <c r="AW3" s="696"/>
      <c r="AX3" s="696"/>
      <c r="AY3" s="696"/>
      <c r="AZ3" s="696"/>
      <c r="BA3" s="696"/>
      <c r="BB3" s="696"/>
      <c r="BC3" s="696"/>
      <c r="BD3" s="696"/>
      <c r="BE3" s="696"/>
      <c r="BF3" s="696"/>
    </row>
    <row r="4" spans="1:58" ht="30" customHeight="1" x14ac:dyDescent="0.25">
      <c r="A4" s="3643"/>
      <c r="B4" s="3643"/>
      <c r="C4" s="3643"/>
      <c r="D4" s="3643"/>
      <c r="E4" s="3643"/>
      <c r="F4" s="3643"/>
      <c r="G4" s="3643"/>
      <c r="H4" s="3643"/>
      <c r="I4" s="3643"/>
      <c r="J4" s="3643"/>
      <c r="K4" s="3643"/>
      <c r="L4" s="3643"/>
      <c r="M4" s="3643"/>
      <c r="N4" s="3643"/>
      <c r="O4" s="3643"/>
      <c r="P4" s="3643"/>
      <c r="Q4" s="3643"/>
      <c r="R4" s="3643"/>
      <c r="S4" s="3643"/>
      <c r="T4" s="3643"/>
      <c r="U4" s="3643"/>
      <c r="V4" s="3643"/>
      <c r="W4" s="3643"/>
      <c r="X4" s="3643"/>
      <c r="Y4" s="3643"/>
      <c r="Z4" s="3643"/>
      <c r="AA4" s="3643"/>
      <c r="AB4" s="3643"/>
      <c r="AC4" s="3643"/>
      <c r="AD4" s="3643"/>
      <c r="AE4" s="3643"/>
      <c r="AF4" s="3643"/>
      <c r="AG4" s="3643"/>
      <c r="AH4" s="3643"/>
      <c r="AI4" s="3643"/>
      <c r="AJ4" s="3643"/>
      <c r="AK4" s="3643"/>
      <c r="AL4" s="3644"/>
      <c r="AM4" s="616" t="s">
        <v>6</v>
      </c>
      <c r="AN4" s="643" t="s">
        <v>7</v>
      </c>
      <c r="AO4" s="696"/>
      <c r="AP4" s="696"/>
      <c r="AQ4" s="696"/>
      <c r="AR4" s="696"/>
      <c r="AS4" s="696"/>
      <c r="AT4" s="696"/>
      <c r="AU4" s="696"/>
      <c r="AV4" s="696"/>
      <c r="AW4" s="696"/>
      <c r="AX4" s="696"/>
      <c r="AY4" s="696"/>
      <c r="AZ4" s="696"/>
      <c r="BA4" s="696"/>
      <c r="BB4" s="696"/>
      <c r="BC4" s="696"/>
      <c r="BD4" s="696"/>
      <c r="BE4" s="696"/>
      <c r="BF4" s="696"/>
    </row>
    <row r="5" spans="1:58" ht="37.5" customHeight="1" x14ac:dyDescent="0.25">
      <c r="A5" s="3086" t="s">
        <v>8</v>
      </c>
      <c r="B5" s="3086"/>
      <c r="C5" s="3086"/>
      <c r="D5" s="3086"/>
      <c r="E5" s="3086"/>
      <c r="F5" s="3086"/>
      <c r="G5" s="3086"/>
      <c r="H5" s="3086"/>
      <c r="I5" s="3086"/>
      <c r="J5" s="3086"/>
      <c r="K5" s="3088" t="s">
        <v>9</v>
      </c>
      <c r="L5" s="3088"/>
      <c r="M5" s="3088"/>
      <c r="N5" s="3088"/>
      <c r="O5" s="3088"/>
      <c r="P5" s="3088"/>
      <c r="Q5" s="3088"/>
      <c r="R5" s="3088"/>
      <c r="S5" s="3088"/>
      <c r="T5" s="3088"/>
      <c r="U5" s="3088"/>
      <c r="V5" s="3088"/>
      <c r="W5" s="3088"/>
      <c r="X5" s="3088"/>
      <c r="Y5" s="3088"/>
      <c r="Z5" s="3088"/>
      <c r="AA5" s="3088"/>
      <c r="AB5" s="3088"/>
      <c r="AC5" s="3088"/>
      <c r="AD5" s="3088"/>
      <c r="AE5" s="3088"/>
      <c r="AF5" s="3088"/>
      <c r="AG5" s="3088"/>
      <c r="AH5" s="3088"/>
      <c r="AI5" s="3088"/>
      <c r="AJ5" s="3088"/>
      <c r="AK5" s="3088"/>
      <c r="AL5" s="3088"/>
      <c r="AM5" s="3088"/>
      <c r="AN5" s="3088"/>
      <c r="AO5" s="696"/>
      <c r="AP5" s="696"/>
      <c r="AQ5" s="696"/>
      <c r="AR5" s="696"/>
      <c r="AS5" s="696"/>
      <c r="AT5" s="696"/>
      <c r="AU5" s="696"/>
      <c r="AV5" s="696"/>
      <c r="AW5" s="696"/>
      <c r="AX5" s="696"/>
      <c r="AY5" s="696"/>
      <c r="AZ5" s="696"/>
      <c r="BA5" s="696"/>
      <c r="BB5" s="696"/>
      <c r="BC5" s="696"/>
      <c r="BD5" s="696"/>
      <c r="BE5" s="696"/>
      <c r="BF5" s="696"/>
    </row>
    <row r="6" spans="1:58" ht="37.5" customHeight="1" x14ac:dyDescent="0.25">
      <c r="A6" s="3070"/>
      <c r="B6" s="3070"/>
      <c r="C6" s="3070"/>
      <c r="D6" s="3070"/>
      <c r="E6" s="3070"/>
      <c r="F6" s="3070"/>
      <c r="G6" s="3070"/>
      <c r="H6" s="3070"/>
      <c r="I6" s="3070"/>
      <c r="J6" s="3070"/>
      <c r="K6" s="644"/>
      <c r="L6" s="645"/>
      <c r="M6" s="645"/>
      <c r="N6" s="698"/>
      <c r="O6" s="645"/>
      <c r="P6" s="645"/>
      <c r="Q6" s="645"/>
      <c r="R6" s="645"/>
      <c r="S6" s="645"/>
      <c r="T6" s="645"/>
      <c r="U6" s="645"/>
      <c r="V6" s="3069" t="s">
        <v>10</v>
      </c>
      <c r="W6" s="3070"/>
      <c r="X6" s="3070"/>
      <c r="Y6" s="3070"/>
      <c r="Z6" s="3070"/>
      <c r="AA6" s="3070"/>
      <c r="AB6" s="3070"/>
      <c r="AC6" s="3070"/>
      <c r="AD6" s="3070"/>
      <c r="AE6" s="3070"/>
      <c r="AF6" s="3070"/>
      <c r="AG6" s="3070"/>
      <c r="AH6" s="3070"/>
      <c r="AI6" s="3070"/>
      <c r="AJ6" s="3071"/>
      <c r="AK6" s="1764"/>
      <c r="AL6" s="645"/>
      <c r="AM6" s="645"/>
      <c r="AN6" s="646"/>
      <c r="AO6" s="696"/>
      <c r="AP6" s="696"/>
      <c r="AQ6" s="696"/>
      <c r="AR6" s="696"/>
      <c r="AS6" s="696"/>
      <c r="AT6" s="696"/>
      <c r="AU6" s="696"/>
      <c r="AV6" s="696"/>
      <c r="AW6" s="696"/>
      <c r="AX6" s="696"/>
      <c r="AY6" s="696"/>
      <c r="AZ6" s="696"/>
      <c r="BA6" s="696"/>
      <c r="BB6" s="696"/>
      <c r="BC6" s="696"/>
      <c r="BD6" s="696"/>
      <c r="BE6" s="696"/>
      <c r="BF6" s="696"/>
    </row>
    <row r="7" spans="1:58" ht="22.5" customHeight="1" x14ac:dyDescent="0.25">
      <c r="A7" s="3621" t="s">
        <v>11</v>
      </c>
      <c r="B7" s="3092" t="s">
        <v>12</v>
      </c>
      <c r="C7" s="3624" t="s">
        <v>11</v>
      </c>
      <c r="D7" s="3092" t="s">
        <v>13</v>
      </c>
      <c r="E7" s="3624" t="s">
        <v>11</v>
      </c>
      <c r="F7" s="3624" t="s">
        <v>14</v>
      </c>
      <c r="G7" s="3093" t="s">
        <v>11</v>
      </c>
      <c r="H7" s="3092" t="s">
        <v>15</v>
      </c>
      <c r="I7" s="3062" t="s">
        <v>16</v>
      </c>
      <c r="J7" s="3062" t="s">
        <v>17</v>
      </c>
      <c r="K7" s="3062" t="s">
        <v>18</v>
      </c>
      <c r="L7" s="3062" t="s">
        <v>19</v>
      </c>
      <c r="M7" s="3062" t="s">
        <v>9</v>
      </c>
      <c r="N7" s="3625" t="s">
        <v>20</v>
      </c>
      <c r="O7" s="3098" t="s">
        <v>21</v>
      </c>
      <c r="P7" s="3627" t="s">
        <v>22</v>
      </c>
      <c r="Q7" s="3092" t="s">
        <v>23</v>
      </c>
      <c r="R7" s="3062" t="s">
        <v>24</v>
      </c>
      <c r="S7" s="3619" t="s">
        <v>21</v>
      </c>
      <c r="T7" s="1857"/>
      <c r="U7" s="3062" t="s">
        <v>25</v>
      </c>
      <c r="V7" s="3056" t="s">
        <v>26</v>
      </c>
      <c r="W7" s="3056"/>
      <c r="X7" s="3072" t="s">
        <v>27</v>
      </c>
      <c r="Y7" s="3072"/>
      <c r="Z7" s="3072"/>
      <c r="AA7" s="3072"/>
      <c r="AB7" s="3075" t="s">
        <v>28</v>
      </c>
      <c r="AC7" s="3076"/>
      <c r="AD7" s="3076"/>
      <c r="AE7" s="3076"/>
      <c r="AF7" s="3076"/>
      <c r="AG7" s="3077"/>
      <c r="AH7" s="3072" t="s">
        <v>29</v>
      </c>
      <c r="AI7" s="3072"/>
      <c r="AJ7" s="3072"/>
      <c r="AK7" s="3552" t="s">
        <v>30</v>
      </c>
      <c r="AL7" s="3078" t="s">
        <v>31</v>
      </c>
      <c r="AM7" s="3078" t="s">
        <v>32</v>
      </c>
      <c r="AN7" s="3648" t="s">
        <v>33</v>
      </c>
      <c r="AO7" s="696"/>
      <c r="AP7" s="696"/>
      <c r="AQ7" s="696"/>
      <c r="AR7" s="696"/>
      <c r="AS7" s="696"/>
      <c r="AT7" s="696"/>
      <c r="AU7" s="696"/>
      <c r="AV7" s="696"/>
      <c r="AW7" s="696"/>
      <c r="AX7" s="696"/>
      <c r="AY7" s="696"/>
      <c r="AZ7" s="696"/>
      <c r="BA7" s="696"/>
      <c r="BB7" s="696"/>
      <c r="BC7" s="696"/>
      <c r="BD7" s="696"/>
      <c r="BE7" s="696"/>
      <c r="BF7" s="696"/>
    </row>
    <row r="8" spans="1:58" s="703" customFormat="1" ht="131.25" customHeight="1" x14ac:dyDescent="0.25">
      <c r="A8" s="3622"/>
      <c r="B8" s="3623"/>
      <c r="C8" s="3624"/>
      <c r="D8" s="3623"/>
      <c r="E8" s="3624"/>
      <c r="F8" s="3624"/>
      <c r="G8" s="3095"/>
      <c r="H8" s="3094"/>
      <c r="I8" s="3063"/>
      <c r="J8" s="3558"/>
      <c r="K8" s="3063"/>
      <c r="L8" s="3063"/>
      <c r="M8" s="3063"/>
      <c r="N8" s="3626"/>
      <c r="O8" s="3099"/>
      <c r="P8" s="3628"/>
      <c r="Q8" s="3094"/>
      <c r="R8" s="3063"/>
      <c r="S8" s="3620"/>
      <c r="T8" s="699" t="s">
        <v>11</v>
      </c>
      <c r="U8" s="3063"/>
      <c r="V8" s="700" t="s">
        <v>34</v>
      </c>
      <c r="W8" s="701" t="s">
        <v>35</v>
      </c>
      <c r="X8" s="702" t="s">
        <v>36</v>
      </c>
      <c r="Y8" s="702" t="s">
        <v>121</v>
      </c>
      <c r="Z8" s="702" t="s">
        <v>2536</v>
      </c>
      <c r="AA8" s="702" t="s">
        <v>123</v>
      </c>
      <c r="AB8" s="702" t="s">
        <v>40</v>
      </c>
      <c r="AC8" s="702" t="s">
        <v>41</v>
      </c>
      <c r="AD8" s="702" t="s">
        <v>42</v>
      </c>
      <c r="AE8" s="702" t="s">
        <v>43</v>
      </c>
      <c r="AF8" s="702" t="s">
        <v>44</v>
      </c>
      <c r="AG8" s="702" t="s">
        <v>45</v>
      </c>
      <c r="AH8" s="702" t="s">
        <v>46</v>
      </c>
      <c r="AI8" s="702" t="s">
        <v>47</v>
      </c>
      <c r="AJ8" s="702" t="s">
        <v>48</v>
      </c>
      <c r="AK8" s="3553"/>
      <c r="AL8" s="3079"/>
      <c r="AM8" s="3079"/>
      <c r="AN8" s="3649"/>
      <c r="AO8" s="1811"/>
      <c r="AP8" s="1811"/>
      <c r="AQ8" s="1811"/>
      <c r="AR8" s="1811"/>
      <c r="AS8" s="1811"/>
      <c r="AT8" s="1811"/>
      <c r="AU8" s="1811"/>
      <c r="AV8" s="1811"/>
      <c r="AW8" s="1811"/>
      <c r="AX8" s="1811"/>
      <c r="AY8" s="1811"/>
      <c r="AZ8" s="1811"/>
      <c r="BA8" s="1811"/>
      <c r="BB8" s="1811"/>
      <c r="BC8" s="1811"/>
      <c r="BD8" s="1811"/>
      <c r="BE8" s="1811"/>
      <c r="BF8" s="1811"/>
    </row>
    <row r="9" spans="1:58" ht="15" x14ac:dyDescent="0.25">
      <c r="A9" s="651">
        <v>1</v>
      </c>
      <c r="B9" s="3650" t="s">
        <v>684</v>
      </c>
      <c r="C9" s="3651"/>
      <c r="D9" s="3650"/>
      <c r="E9" s="704"/>
      <c r="F9" s="704"/>
      <c r="G9" s="705"/>
      <c r="H9" s="704"/>
      <c r="I9" s="704"/>
      <c r="J9" s="704"/>
      <c r="K9" s="704"/>
      <c r="L9" s="704"/>
      <c r="M9" s="704"/>
      <c r="N9" s="706"/>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7"/>
      <c r="AO9" s="696"/>
      <c r="AP9" s="696"/>
      <c r="AQ9" s="696"/>
      <c r="AR9" s="696"/>
      <c r="AS9" s="696"/>
      <c r="AT9" s="696"/>
      <c r="AU9" s="696"/>
      <c r="AV9" s="696"/>
      <c r="AW9" s="696"/>
      <c r="AX9" s="696"/>
      <c r="AY9" s="696"/>
      <c r="AZ9" s="696"/>
      <c r="BA9" s="696"/>
      <c r="BB9" s="696"/>
      <c r="BC9" s="696"/>
      <c r="BD9" s="696"/>
      <c r="BE9" s="696"/>
      <c r="BF9" s="696"/>
    </row>
    <row r="10" spans="1:58" s="696" customFormat="1" ht="15" x14ac:dyDescent="0.25">
      <c r="A10" s="3105"/>
      <c r="B10" s="3105"/>
      <c r="C10" s="892">
        <v>1</v>
      </c>
      <c r="D10" s="708" t="s">
        <v>1536</v>
      </c>
      <c r="E10" s="708"/>
      <c r="F10" s="708"/>
      <c r="G10" s="709"/>
      <c r="H10" s="710"/>
      <c r="I10" s="708"/>
      <c r="J10" s="708"/>
      <c r="K10" s="708"/>
      <c r="L10" s="709"/>
      <c r="M10" s="710"/>
      <c r="N10" s="711"/>
      <c r="O10" s="712"/>
      <c r="P10" s="710"/>
      <c r="Q10" s="710"/>
      <c r="R10" s="710"/>
      <c r="S10" s="713"/>
      <c r="T10" s="714"/>
      <c r="U10" s="709"/>
      <c r="V10" s="708"/>
      <c r="W10" s="708"/>
      <c r="X10" s="708"/>
      <c r="Y10" s="708"/>
      <c r="Z10" s="708"/>
      <c r="AA10" s="708"/>
      <c r="AB10" s="708"/>
      <c r="AC10" s="708"/>
      <c r="AD10" s="708"/>
      <c r="AE10" s="708"/>
      <c r="AF10" s="708"/>
      <c r="AG10" s="708"/>
      <c r="AH10" s="708"/>
      <c r="AI10" s="708"/>
      <c r="AJ10" s="708"/>
      <c r="AK10" s="708"/>
      <c r="AL10" s="715"/>
      <c r="AM10" s="715"/>
      <c r="AN10" s="716"/>
    </row>
    <row r="11" spans="1:58" s="696" customFormat="1" ht="24" customHeight="1" x14ac:dyDescent="0.25">
      <c r="A11" s="3105"/>
      <c r="B11" s="3105"/>
      <c r="C11" s="3652"/>
      <c r="D11" s="3653"/>
      <c r="E11" s="662">
        <v>1</v>
      </c>
      <c r="F11" s="717" t="s">
        <v>1537</v>
      </c>
      <c r="G11" s="718"/>
      <c r="H11" s="719"/>
      <c r="I11" s="717"/>
      <c r="J11" s="717"/>
      <c r="K11" s="717"/>
      <c r="L11" s="718"/>
      <c r="M11" s="719"/>
      <c r="N11" s="720"/>
      <c r="O11" s="721"/>
      <c r="P11" s="719"/>
      <c r="Q11" s="719"/>
      <c r="R11" s="719"/>
      <c r="S11" s="722"/>
      <c r="T11" s="723"/>
      <c r="U11" s="718"/>
      <c r="V11" s="717"/>
      <c r="W11" s="717"/>
      <c r="X11" s="717"/>
      <c r="Y11" s="717"/>
      <c r="Z11" s="717"/>
      <c r="AA11" s="717"/>
      <c r="AB11" s="717"/>
      <c r="AC11" s="717"/>
      <c r="AD11" s="717"/>
      <c r="AE11" s="717"/>
      <c r="AF11" s="717"/>
      <c r="AG11" s="717"/>
      <c r="AH11" s="717"/>
      <c r="AI11" s="717"/>
      <c r="AJ11" s="717"/>
      <c r="AK11" s="717"/>
      <c r="AL11" s="724"/>
      <c r="AM11" s="724"/>
      <c r="AN11" s="725"/>
    </row>
    <row r="12" spans="1:58" s="696" customFormat="1" ht="24" customHeight="1" x14ac:dyDescent="0.25">
      <c r="A12" s="3105"/>
      <c r="B12" s="3105"/>
      <c r="C12" s="3654"/>
      <c r="D12" s="3655"/>
      <c r="E12" s="3636"/>
      <c r="F12" s="3656"/>
      <c r="G12" s="3398">
        <v>1</v>
      </c>
      <c r="H12" s="3402" t="s">
        <v>1538</v>
      </c>
      <c r="I12" s="3402" t="s">
        <v>1539</v>
      </c>
      <c r="J12" s="3398">
        <v>1</v>
      </c>
      <c r="K12" s="3107" t="s">
        <v>1540</v>
      </c>
      <c r="L12" s="3429" t="s">
        <v>1541</v>
      </c>
      <c r="M12" s="3402" t="s">
        <v>1542</v>
      </c>
      <c r="N12" s="3658">
        <f>+(S12+S13)/O12</f>
        <v>7.0570319609263285E-2</v>
      </c>
      <c r="O12" s="3660">
        <v>134617500</v>
      </c>
      <c r="P12" s="3402" t="s">
        <v>1543</v>
      </c>
      <c r="Q12" s="3402" t="s">
        <v>1544</v>
      </c>
      <c r="R12" s="2008" t="s">
        <v>1545</v>
      </c>
      <c r="S12" s="2453">
        <v>4500000</v>
      </c>
      <c r="T12" s="1148">
        <v>20</v>
      </c>
      <c r="U12" s="1859" t="s">
        <v>1546</v>
      </c>
      <c r="V12" s="3661">
        <v>35373</v>
      </c>
      <c r="W12" s="3429">
        <v>33985</v>
      </c>
      <c r="X12" s="3429">
        <v>16632</v>
      </c>
      <c r="Y12" s="3429">
        <v>3361</v>
      </c>
      <c r="Z12" s="3429">
        <v>39432</v>
      </c>
      <c r="AA12" s="3429">
        <v>9933</v>
      </c>
      <c r="AB12" s="3429"/>
      <c r="AC12" s="3429"/>
      <c r="AD12" s="3429"/>
      <c r="AE12" s="3429"/>
      <c r="AF12" s="3429"/>
      <c r="AG12" s="3429"/>
      <c r="AH12" s="3429"/>
      <c r="AI12" s="3429"/>
      <c r="AJ12" s="3429"/>
      <c r="AK12" s="3429">
        <f>V12+W12</f>
        <v>69358</v>
      </c>
      <c r="AL12" s="3663">
        <v>43466</v>
      </c>
      <c r="AM12" s="3663">
        <v>43830</v>
      </c>
      <c r="AN12" s="3629" t="s">
        <v>1547</v>
      </c>
    </row>
    <row r="13" spans="1:58" s="696" customFormat="1" ht="24" customHeight="1" x14ac:dyDescent="0.25">
      <c r="A13" s="3105"/>
      <c r="B13" s="3105"/>
      <c r="C13" s="3654"/>
      <c r="D13" s="3655"/>
      <c r="E13" s="3657"/>
      <c r="F13" s="3400"/>
      <c r="G13" s="3412"/>
      <c r="H13" s="3403"/>
      <c r="I13" s="3403"/>
      <c r="J13" s="3412"/>
      <c r="K13" s="3107"/>
      <c r="L13" s="3429"/>
      <c r="M13" s="3406"/>
      <c r="N13" s="3659"/>
      <c r="O13" s="3660"/>
      <c r="P13" s="3406"/>
      <c r="Q13" s="3406"/>
      <c r="R13" s="2437" t="s">
        <v>1548</v>
      </c>
      <c r="S13" s="2453">
        <v>5000000</v>
      </c>
      <c r="T13" s="1566">
        <v>20</v>
      </c>
      <c r="U13" s="726" t="s">
        <v>1546</v>
      </c>
      <c r="V13" s="3661"/>
      <c r="W13" s="3429"/>
      <c r="X13" s="3429"/>
      <c r="Y13" s="3429"/>
      <c r="Z13" s="3429"/>
      <c r="AA13" s="3429"/>
      <c r="AB13" s="3429"/>
      <c r="AC13" s="3429"/>
      <c r="AD13" s="3429"/>
      <c r="AE13" s="3429"/>
      <c r="AF13" s="3429"/>
      <c r="AG13" s="3429"/>
      <c r="AH13" s="3429"/>
      <c r="AI13" s="3429"/>
      <c r="AJ13" s="3429"/>
      <c r="AK13" s="3429"/>
      <c r="AL13" s="3663"/>
      <c r="AM13" s="3663"/>
      <c r="AN13" s="3629"/>
    </row>
    <row r="14" spans="1:58" s="696" customFormat="1" ht="42.75" x14ac:dyDescent="0.25">
      <c r="A14" s="3105"/>
      <c r="B14" s="3105"/>
      <c r="C14" s="3654"/>
      <c r="D14" s="3655"/>
      <c r="E14" s="3657"/>
      <c r="F14" s="3400"/>
      <c r="G14" s="1767">
        <v>2</v>
      </c>
      <c r="H14" s="1809" t="s">
        <v>1549</v>
      </c>
      <c r="I14" s="1809" t="s">
        <v>1550</v>
      </c>
      <c r="J14" s="727">
        <v>4</v>
      </c>
      <c r="K14" s="3107"/>
      <c r="L14" s="3429"/>
      <c r="M14" s="3406"/>
      <c r="N14" s="728">
        <f>+(S14)/O12</f>
        <v>0.19982543131465078</v>
      </c>
      <c r="O14" s="3660"/>
      <c r="P14" s="3406"/>
      <c r="Q14" s="3406"/>
      <c r="R14" s="1810" t="s">
        <v>1551</v>
      </c>
      <c r="S14" s="2453">
        <v>26900000</v>
      </c>
      <c r="T14" s="1566">
        <v>20</v>
      </c>
      <c r="U14" s="1767" t="s">
        <v>1546</v>
      </c>
      <c r="V14" s="3661"/>
      <c r="W14" s="3429"/>
      <c r="X14" s="3429"/>
      <c r="Y14" s="3429"/>
      <c r="Z14" s="3429"/>
      <c r="AA14" s="3429"/>
      <c r="AB14" s="3429"/>
      <c r="AC14" s="3429"/>
      <c r="AD14" s="3429"/>
      <c r="AE14" s="3429"/>
      <c r="AF14" s="3429"/>
      <c r="AG14" s="3429"/>
      <c r="AH14" s="3429"/>
      <c r="AI14" s="3429"/>
      <c r="AJ14" s="3429"/>
      <c r="AK14" s="3429"/>
      <c r="AL14" s="3663"/>
      <c r="AM14" s="3663"/>
      <c r="AN14" s="3629"/>
    </row>
    <row r="15" spans="1:58" s="696" customFormat="1" ht="76.5" customHeight="1" x14ac:dyDescent="0.25">
      <c r="A15" s="3105"/>
      <c r="B15" s="3105"/>
      <c r="C15" s="3654"/>
      <c r="D15" s="3655"/>
      <c r="E15" s="3657"/>
      <c r="F15" s="3400"/>
      <c r="G15" s="1767">
        <v>3</v>
      </c>
      <c r="H15" s="1809" t="s">
        <v>1552</v>
      </c>
      <c r="I15" s="1809" t="s">
        <v>1553</v>
      </c>
      <c r="J15" s="727">
        <v>1</v>
      </c>
      <c r="K15" s="3107"/>
      <c r="L15" s="3429"/>
      <c r="M15" s="3406"/>
      <c r="N15" s="728">
        <f>+(S15)/O12</f>
        <v>0.15228332126209446</v>
      </c>
      <c r="O15" s="3660"/>
      <c r="P15" s="3406"/>
      <c r="Q15" s="3427" t="s">
        <v>1554</v>
      </c>
      <c r="R15" s="1810" t="s">
        <v>1555</v>
      </c>
      <c r="S15" s="2453">
        <v>20500000</v>
      </c>
      <c r="T15" s="1152">
        <v>20</v>
      </c>
      <c r="U15" s="1805" t="s">
        <v>1546</v>
      </c>
      <c r="V15" s="3661"/>
      <c r="W15" s="3429"/>
      <c r="X15" s="3429"/>
      <c r="Y15" s="3429"/>
      <c r="Z15" s="3429"/>
      <c r="AA15" s="3429"/>
      <c r="AB15" s="3429"/>
      <c r="AC15" s="3429"/>
      <c r="AD15" s="3429"/>
      <c r="AE15" s="3429"/>
      <c r="AF15" s="3429"/>
      <c r="AG15" s="3429"/>
      <c r="AH15" s="3429"/>
      <c r="AI15" s="3429"/>
      <c r="AJ15" s="3429"/>
      <c r="AK15" s="3429"/>
      <c r="AL15" s="3663"/>
      <c r="AM15" s="3663"/>
      <c r="AN15" s="3629"/>
    </row>
    <row r="16" spans="1:58" s="696" customFormat="1" ht="80.25" customHeight="1" x14ac:dyDescent="0.25">
      <c r="A16" s="3105"/>
      <c r="B16" s="3105"/>
      <c r="C16" s="3654"/>
      <c r="D16" s="3655"/>
      <c r="E16" s="3657"/>
      <c r="F16" s="3400"/>
      <c r="G16" s="1767">
        <v>4</v>
      </c>
      <c r="H16" s="1809" t="s">
        <v>1556</v>
      </c>
      <c r="I16" s="1809" t="s">
        <v>1557</v>
      </c>
      <c r="J16" s="727">
        <v>1</v>
      </c>
      <c r="K16" s="3107"/>
      <c r="L16" s="3429"/>
      <c r="M16" s="3406"/>
      <c r="N16" s="728">
        <f>+(S16)/O12</f>
        <v>0.49399223726484298</v>
      </c>
      <c r="O16" s="3660"/>
      <c r="P16" s="3406"/>
      <c r="Q16" s="3427"/>
      <c r="R16" s="1810" t="s">
        <v>1558</v>
      </c>
      <c r="S16" s="2453">
        <v>66500000</v>
      </c>
      <c r="T16" s="1152">
        <v>20</v>
      </c>
      <c r="U16" s="1805" t="s">
        <v>1546</v>
      </c>
      <c r="V16" s="3661"/>
      <c r="W16" s="3429"/>
      <c r="X16" s="3429"/>
      <c r="Y16" s="3429"/>
      <c r="Z16" s="3429"/>
      <c r="AA16" s="3429"/>
      <c r="AB16" s="3429"/>
      <c r="AC16" s="3429"/>
      <c r="AD16" s="3429"/>
      <c r="AE16" s="3429"/>
      <c r="AF16" s="3429"/>
      <c r="AG16" s="3429"/>
      <c r="AH16" s="3429"/>
      <c r="AI16" s="3429"/>
      <c r="AJ16" s="3429"/>
      <c r="AK16" s="3429"/>
      <c r="AL16" s="3663"/>
      <c r="AM16" s="3663"/>
      <c r="AN16" s="3629"/>
    </row>
    <row r="17" spans="1:40" s="696" customFormat="1" ht="85.5" customHeight="1" x14ac:dyDescent="0.25">
      <c r="A17" s="3105"/>
      <c r="B17" s="3105"/>
      <c r="C17" s="3654"/>
      <c r="D17" s="3655"/>
      <c r="E17" s="3637"/>
      <c r="F17" s="3435"/>
      <c r="G17" s="1803">
        <v>6</v>
      </c>
      <c r="H17" s="1801" t="s">
        <v>1559</v>
      </c>
      <c r="I17" s="1801" t="s">
        <v>1560</v>
      </c>
      <c r="J17" s="727">
        <v>12</v>
      </c>
      <c r="K17" s="3398"/>
      <c r="L17" s="3618"/>
      <c r="M17" s="3403"/>
      <c r="N17" s="728">
        <f>+S17/O12</f>
        <v>8.3328690549148515E-2</v>
      </c>
      <c r="O17" s="3607"/>
      <c r="P17" s="3406"/>
      <c r="Q17" s="3402"/>
      <c r="R17" s="1827" t="s">
        <v>1561</v>
      </c>
      <c r="S17" s="2453">
        <v>11217500</v>
      </c>
      <c r="T17" s="2447">
        <v>20</v>
      </c>
      <c r="U17" s="1804" t="s">
        <v>1546</v>
      </c>
      <c r="V17" s="3662"/>
      <c r="W17" s="3618"/>
      <c r="X17" s="3618"/>
      <c r="Y17" s="3618"/>
      <c r="Z17" s="3618"/>
      <c r="AA17" s="3618"/>
      <c r="AB17" s="3618"/>
      <c r="AC17" s="3618"/>
      <c r="AD17" s="3618"/>
      <c r="AE17" s="3618"/>
      <c r="AF17" s="3618"/>
      <c r="AG17" s="3618"/>
      <c r="AH17" s="3618"/>
      <c r="AI17" s="3618"/>
      <c r="AJ17" s="3618"/>
      <c r="AK17" s="3618"/>
      <c r="AL17" s="3598"/>
      <c r="AM17" s="3598"/>
      <c r="AN17" s="3383"/>
    </row>
    <row r="18" spans="1:40" s="696" customFormat="1" ht="24" customHeight="1" x14ac:dyDescent="0.25">
      <c r="A18" s="3105"/>
      <c r="B18" s="3105"/>
      <c r="C18" s="3654"/>
      <c r="D18" s="3655"/>
      <c r="E18" s="729">
        <v>2</v>
      </c>
      <c r="F18" s="3417" t="s">
        <v>1562</v>
      </c>
      <c r="G18" s="3418"/>
      <c r="H18" s="3418"/>
      <c r="I18" s="3606"/>
      <c r="J18" s="730"/>
      <c r="K18" s="730"/>
      <c r="L18" s="730"/>
      <c r="M18" s="732"/>
      <c r="N18" s="731"/>
      <c r="O18" s="2428"/>
      <c r="P18" s="732"/>
      <c r="Q18" s="732"/>
      <c r="R18" s="2438"/>
      <c r="S18" s="2454"/>
      <c r="T18" s="2448"/>
      <c r="U18" s="733"/>
      <c r="V18" s="734"/>
      <c r="W18" s="735"/>
      <c r="X18" s="735"/>
      <c r="Y18" s="735"/>
      <c r="Z18" s="735"/>
      <c r="AA18" s="735"/>
      <c r="AB18" s="736"/>
      <c r="AC18" s="736"/>
      <c r="AD18" s="736"/>
      <c r="AE18" s="737"/>
      <c r="AF18" s="737"/>
      <c r="AG18" s="737"/>
      <c r="AH18" s="736"/>
      <c r="AI18" s="736"/>
      <c r="AJ18" s="735"/>
      <c r="AK18" s="738"/>
      <c r="AL18" s="739"/>
      <c r="AM18" s="739"/>
      <c r="AN18" s="740"/>
    </row>
    <row r="19" spans="1:40" s="696" customFormat="1" ht="39.75" customHeight="1" x14ac:dyDescent="0.25">
      <c r="A19" s="3105"/>
      <c r="B19" s="3105"/>
      <c r="C19" s="3654"/>
      <c r="D19" s="3655"/>
      <c r="E19" s="3107"/>
      <c r="F19" s="3107"/>
      <c r="G19" s="1804">
        <v>7</v>
      </c>
      <c r="H19" s="1801" t="s">
        <v>1563</v>
      </c>
      <c r="I19" s="1802" t="s">
        <v>1564</v>
      </c>
      <c r="J19" s="727">
        <v>1</v>
      </c>
      <c r="K19" s="3107" t="s">
        <v>1565</v>
      </c>
      <c r="L19" s="3398" t="s">
        <v>1566</v>
      </c>
      <c r="M19" s="3402" t="s">
        <v>1567</v>
      </c>
      <c r="N19" s="1826">
        <f>+S19/O19</f>
        <v>0.79984028770363513</v>
      </c>
      <c r="O19" s="3607">
        <v>158373529</v>
      </c>
      <c r="P19" s="3609" t="s">
        <v>1568</v>
      </c>
      <c r="Q19" s="3609" t="s">
        <v>1569</v>
      </c>
      <c r="R19" s="2036" t="s">
        <v>1570</v>
      </c>
      <c r="S19" s="2453">
        <v>126673529</v>
      </c>
      <c r="T19" s="2447">
        <v>20</v>
      </c>
      <c r="U19" s="1804" t="s">
        <v>1546</v>
      </c>
      <c r="V19" s="3662">
        <v>252568</v>
      </c>
      <c r="W19" s="3618">
        <v>243650</v>
      </c>
      <c r="X19" s="3618">
        <v>97896</v>
      </c>
      <c r="Y19" s="3618">
        <v>53351</v>
      </c>
      <c r="Z19" s="3618">
        <v>140316</v>
      </c>
      <c r="AA19" s="3618">
        <v>30825</v>
      </c>
      <c r="AB19" s="3618"/>
      <c r="AC19" s="3618"/>
      <c r="AD19" s="3618"/>
      <c r="AE19" s="3618"/>
      <c r="AF19" s="3618"/>
      <c r="AG19" s="3618"/>
      <c r="AH19" s="3618"/>
      <c r="AI19" s="3618"/>
      <c r="AJ19" s="3618"/>
      <c r="AK19" s="3618">
        <f>V19+W19</f>
        <v>496218</v>
      </c>
      <c r="AL19" s="3663">
        <v>43466</v>
      </c>
      <c r="AM19" s="3663">
        <v>43830</v>
      </c>
      <c r="AN19" s="3629" t="s">
        <v>1547</v>
      </c>
    </row>
    <row r="20" spans="1:40" ht="57" x14ac:dyDescent="0.25">
      <c r="A20" s="3105"/>
      <c r="B20" s="3105"/>
      <c r="C20" s="3654"/>
      <c r="D20" s="3655"/>
      <c r="E20" s="3107"/>
      <c r="F20" s="3107"/>
      <c r="G20" s="1815">
        <v>8</v>
      </c>
      <c r="H20" s="1809" t="s">
        <v>1571</v>
      </c>
      <c r="I20" s="1809" t="s">
        <v>1572</v>
      </c>
      <c r="J20" s="727">
        <v>1</v>
      </c>
      <c r="K20" s="3107"/>
      <c r="L20" s="3412"/>
      <c r="M20" s="3403"/>
      <c r="N20" s="728">
        <f>+S20/O19</f>
        <v>0.20015971229636487</v>
      </c>
      <c r="O20" s="3608"/>
      <c r="P20" s="3610"/>
      <c r="Q20" s="3610"/>
      <c r="R20" s="855" t="s">
        <v>1573</v>
      </c>
      <c r="S20" s="2455">
        <v>31700000</v>
      </c>
      <c r="T20" s="1562">
        <v>20</v>
      </c>
      <c r="U20" s="1836" t="s">
        <v>1546</v>
      </c>
      <c r="V20" s="3667"/>
      <c r="W20" s="3630"/>
      <c r="X20" s="3630"/>
      <c r="Y20" s="3630"/>
      <c r="Z20" s="3630"/>
      <c r="AA20" s="3630"/>
      <c r="AB20" s="3630"/>
      <c r="AC20" s="3630"/>
      <c r="AD20" s="3630"/>
      <c r="AE20" s="3630"/>
      <c r="AF20" s="3630"/>
      <c r="AG20" s="3630"/>
      <c r="AH20" s="3630"/>
      <c r="AI20" s="3630"/>
      <c r="AJ20" s="3630"/>
      <c r="AK20" s="3630"/>
      <c r="AL20" s="3663"/>
      <c r="AM20" s="3663"/>
      <c r="AN20" s="3629"/>
    </row>
    <row r="21" spans="1:40" ht="15" x14ac:dyDescent="0.25">
      <c r="A21" s="3105"/>
      <c r="B21" s="3105"/>
      <c r="C21" s="3654"/>
      <c r="D21" s="3655"/>
      <c r="E21" s="665">
        <v>3</v>
      </c>
      <c r="F21" s="663" t="s">
        <v>1574</v>
      </c>
      <c r="G21" s="742"/>
      <c r="H21" s="743"/>
      <c r="I21" s="744"/>
      <c r="J21" s="744"/>
      <c r="K21" s="745"/>
      <c r="L21" s="742"/>
      <c r="M21" s="743"/>
      <c r="N21" s="746"/>
      <c r="O21" s="2429"/>
      <c r="P21" s="1067"/>
      <c r="Q21" s="1067"/>
      <c r="R21" s="1067"/>
      <c r="S21" s="2456"/>
      <c r="T21" s="747"/>
      <c r="U21" s="742"/>
      <c r="V21" s="744"/>
      <c r="W21" s="744"/>
      <c r="X21" s="744"/>
      <c r="Y21" s="744"/>
      <c r="Z21" s="744"/>
      <c r="AA21" s="744"/>
      <c r="AB21" s="744"/>
      <c r="AC21" s="744"/>
      <c r="AD21" s="744"/>
      <c r="AE21" s="744"/>
      <c r="AF21" s="744"/>
      <c r="AG21" s="744"/>
      <c r="AH21" s="744"/>
      <c r="AI21" s="744"/>
      <c r="AJ21" s="744"/>
      <c r="AK21" s="744"/>
      <c r="AL21" s="1077"/>
      <c r="AM21" s="1077"/>
      <c r="AN21" s="1078"/>
    </row>
    <row r="22" spans="1:40" ht="36" customHeight="1" x14ac:dyDescent="0.25">
      <c r="A22" s="3105"/>
      <c r="B22" s="3105"/>
      <c r="C22" s="3654"/>
      <c r="D22" s="3655"/>
      <c r="E22" s="3611"/>
      <c r="F22" s="3612"/>
      <c r="G22" s="3594">
        <v>14</v>
      </c>
      <c r="H22" s="3413" t="s">
        <v>1575</v>
      </c>
      <c r="I22" s="2899" t="s">
        <v>1576</v>
      </c>
      <c r="J22" s="3615">
        <v>6</v>
      </c>
      <c r="K22" s="3583" t="s">
        <v>1577</v>
      </c>
      <c r="L22" s="3398" t="s">
        <v>1578</v>
      </c>
      <c r="M22" s="3583" t="s">
        <v>1579</v>
      </c>
      <c r="N22" s="3601">
        <f>+(S22+S23+S24)/O22</f>
        <v>0.18742090844306694</v>
      </c>
      <c r="O22" s="3580">
        <f>SUM(S22:S26)</f>
        <v>1693514361</v>
      </c>
      <c r="P22" s="3583" t="s">
        <v>1580</v>
      </c>
      <c r="Q22" s="3583" t="s">
        <v>1544</v>
      </c>
      <c r="R22" s="3603" t="s">
        <v>1581</v>
      </c>
      <c r="S22" s="2457">
        <v>133700000</v>
      </c>
      <c r="T22" s="1561">
        <v>20</v>
      </c>
      <c r="U22" s="1406" t="s">
        <v>1582</v>
      </c>
      <c r="V22" s="3566">
        <v>35373</v>
      </c>
      <c r="W22" s="3566">
        <v>33985</v>
      </c>
      <c r="X22" s="3566">
        <v>16632</v>
      </c>
      <c r="Y22" s="3566">
        <v>3361</v>
      </c>
      <c r="Z22" s="3566">
        <v>39432</v>
      </c>
      <c r="AA22" s="3566">
        <v>9933</v>
      </c>
      <c r="AB22" s="3566"/>
      <c r="AC22" s="3566"/>
      <c r="AD22" s="3566"/>
      <c r="AE22" s="3566"/>
      <c r="AF22" s="3566"/>
      <c r="AG22" s="3566"/>
      <c r="AH22" s="3566"/>
      <c r="AI22" s="3566"/>
      <c r="AJ22" s="3566"/>
      <c r="AK22" s="3566">
        <f>V22+W22</f>
        <v>69358</v>
      </c>
      <c r="AL22" s="3598">
        <v>43466</v>
      </c>
      <c r="AM22" s="3598">
        <v>43830</v>
      </c>
      <c r="AN22" s="3383" t="s">
        <v>1547</v>
      </c>
    </row>
    <row r="23" spans="1:40" ht="36" customHeight="1" x14ac:dyDescent="0.25">
      <c r="A23" s="3105"/>
      <c r="B23" s="3105"/>
      <c r="C23" s="3654"/>
      <c r="D23" s="3655"/>
      <c r="E23" s="3613"/>
      <c r="F23" s="3614"/>
      <c r="G23" s="3594"/>
      <c r="H23" s="3413"/>
      <c r="I23" s="3397"/>
      <c r="J23" s="3616"/>
      <c r="K23" s="3584"/>
      <c r="L23" s="3399"/>
      <c r="M23" s="3584"/>
      <c r="N23" s="3601"/>
      <c r="O23" s="3581"/>
      <c r="P23" s="3584"/>
      <c r="Q23" s="3584"/>
      <c r="R23" s="3604"/>
      <c r="S23" s="2457">
        <f>0+50000000</f>
        <v>50000000</v>
      </c>
      <c r="T23" s="1561">
        <v>88</v>
      </c>
      <c r="U23" s="1406" t="s">
        <v>1528</v>
      </c>
      <c r="V23" s="3567"/>
      <c r="W23" s="3567"/>
      <c r="X23" s="3567"/>
      <c r="Y23" s="3567"/>
      <c r="Z23" s="3567"/>
      <c r="AA23" s="3567"/>
      <c r="AB23" s="3567"/>
      <c r="AC23" s="3567"/>
      <c r="AD23" s="3567"/>
      <c r="AE23" s="3567"/>
      <c r="AF23" s="3567"/>
      <c r="AG23" s="3567"/>
      <c r="AH23" s="3567"/>
      <c r="AI23" s="3567"/>
      <c r="AJ23" s="3567"/>
      <c r="AK23" s="3567"/>
      <c r="AL23" s="3599"/>
      <c r="AM23" s="3599"/>
      <c r="AN23" s="3384"/>
    </row>
    <row r="24" spans="1:40" ht="46.5" customHeight="1" x14ac:dyDescent="0.25">
      <c r="A24" s="3105"/>
      <c r="B24" s="3105"/>
      <c r="C24" s="3654"/>
      <c r="D24" s="3655"/>
      <c r="E24" s="3613"/>
      <c r="F24" s="3614"/>
      <c r="G24" s="3594"/>
      <c r="H24" s="3413"/>
      <c r="I24" s="2900"/>
      <c r="J24" s="3617"/>
      <c r="K24" s="3584"/>
      <c r="L24" s="3399"/>
      <c r="M24" s="3584"/>
      <c r="N24" s="3601"/>
      <c r="O24" s="3581"/>
      <c r="P24" s="3584"/>
      <c r="Q24" s="3584"/>
      <c r="R24" s="2437" t="s">
        <v>1583</v>
      </c>
      <c r="S24" s="2457">
        <v>133700000</v>
      </c>
      <c r="T24" s="1561">
        <v>20</v>
      </c>
      <c r="U24" s="1406" t="s">
        <v>1582</v>
      </c>
      <c r="V24" s="3567"/>
      <c r="W24" s="3567"/>
      <c r="X24" s="3567"/>
      <c r="Y24" s="3567"/>
      <c r="Z24" s="3567"/>
      <c r="AA24" s="3567"/>
      <c r="AB24" s="3567"/>
      <c r="AC24" s="3567"/>
      <c r="AD24" s="3567"/>
      <c r="AE24" s="3567"/>
      <c r="AF24" s="3567"/>
      <c r="AG24" s="3567"/>
      <c r="AH24" s="3567"/>
      <c r="AI24" s="3567"/>
      <c r="AJ24" s="3567"/>
      <c r="AK24" s="3567"/>
      <c r="AL24" s="3599"/>
      <c r="AM24" s="3599"/>
      <c r="AN24" s="3384"/>
    </row>
    <row r="25" spans="1:40" ht="71.25" customHeight="1" x14ac:dyDescent="0.25">
      <c r="A25" s="3105"/>
      <c r="B25" s="3105"/>
      <c r="C25" s="3654"/>
      <c r="D25" s="3655"/>
      <c r="E25" s="3613"/>
      <c r="F25" s="3614"/>
      <c r="G25" s="3566">
        <v>17</v>
      </c>
      <c r="H25" s="2899" t="s">
        <v>1584</v>
      </c>
      <c r="I25" s="3402" t="s">
        <v>1585</v>
      </c>
      <c r="J25" s="3615">
        <v>270</v>
      </c>
      <c r="K25" s="1373" t="s">
        <v>1586</v>
      </c>
      <c r="L25" s="3399"/>
      <c r="M25" s="3584"/>
      <c r="N25" s="3578">
        <f>SUM(S25:S26)/O22</f>
        <v>0.81257909155693309</v>
      </c>
      <c r="O25" s="3581"/>
      <c r="P25" s="3584"/>
      <c r="Q25" s="3584"/>
      <c r="R25" s="3434" t="s">
        <v>1587</v>
      </c>
      <c r="S25" s="2457">
        <v>550114361</v>
      </c>
      <c r="T25" s="1561">
        <v>20</v>
      </c>
      <c r="U25" s="1406" t="s">
        <v>1582</v>
      </c>
      <c r="V25" s="3567"/>
      <c r="W25" s="3567"/>
      <c r="X25" s="3567"/>
      <c r="Y25" s="3567"/>
      <c r="Z25" s="3567"/>
      <c r="AA25" s="3567"/>
      <c r="AB25" s="3568"/>
      <c r="AC25" s="3568"/>
      <c r="AD25" s="3568"/>
      <c r="AE25" s="3568"/>
      <c r="AF25" s="3568"/>
      <c r="AG25" s="3568"/>
      <c r="AH25" s="3568"/>
      <c r="AI25" s="3568"/>
      <c r="AJ25" s="3568"/>
      <c r="AK25" s="3567"/>
      <c r="AL25" s="3599"/>
      <c r="AM25" s="3599"/>
      <c r="AN25" s="3384"/>
    </row>
    <row r="26" spans="1:40" ht="35.25" customHeight="1" x14ac:dyDescent="0.25">
      <c r="A26" s="3105"/>
      <c r="B26" s="3105"/>
      <c r="C26" s="3654"/>
      <c r="D26" s="3655"/>
      <c r="E26" s="3613"/>
      <c r="F26" s="3614"/>
      <c r="G26" s="3568"/>
      <c r="H26" s="2900"/>
      <c r="I26" s="3403"/>
      <c r="J26" s="3617"/>
      <c r="K26" s="1374"/>
      <c r="L26" s="3412"/>
      <c r="M26" s="3585"/>
      <c r="N26" s="3579"/>
      <c r="O26" s="3582"/>
      <c r="P26" s="3585"/>
      <c r="Q26" s="3585"/>
      <c r="R26" s="3602"/>
      <c r="S26" s="2457">
        <v>826000000</v>
      </c>
      <c r="T26" s="1561">
        <v>88</v>
      </c>
      <c r="U26" s="1406" t="s">
        <v>1528</v>
      </c>
      <c r="V26" s="3568"/>
      <c r="W26" s="3568"/>
      <c r="X26" s="3568"/>
      <c r="Y26" s="3568"/>
      <c r="Z26" s="3568"/>
      <c r="AA26" s="3568"/>
      <c r="AB26" s="1813"/>
      <c r="AC26" s="1813"/>
      <c r="AD26" s="1813"/>
      <c r="AE26" s="1813"/>
      <c r="AF26" s="1813"/>
      <c r="AG26" s="1813"/>
      <c r="AH26" s="1813"/>
      <c r="AI26" s="1813"/>
      <c r="AJ26" s="1813"/>
      <c r="AK26" s="3568"/>
      <c r="AL26" s="3600"/>
      <c r="AM26" s="3600"/>
      <c r="AN26" s="3404"/>
    </row>
    <row r="27" spans="1:40" ht="68.25" customHeight="1" x14ac:dyDescent="0.25">
      <c r="A27" s="3105"/>
      <c r="B27" s="3105"/>
      <c r="C27" s="3654"/>
      <c r="D27" s="3655"/>
      <c r="E27" s="3613"/>
      <c r="F27" s="3614"/>
      <c r="G27" s="1815">
        <v>15</v>
      </c>
      <c r="H27" s="1809" t="s">
        <v>1588</v>
      </c>
      <c r="I27" s="2009" t="s">
        <v>1589</v>
      </c>
      <c r="J27" s="1818">
        <v>2</v>
      </c>
      <c r="K27" s="3398" t="s">
        <v>1590</v>
      </c>
      <c r="L27" s="3398" t="s">
        <v>1591</v>
      </c>
      <c r="M27" s="3389" t="s">
        <v>1592</v>
      </c>
      <c r="N27" s="1828">
        <f>S27/O27</f>
        <v>0.28450497361810312</v>
      </c>
      <c r="O27" s="3575">
        <f>SUM(S27:S31)</f>
        <v>63061235</v>
      </c>
      <c r="P27" s="3402" t="s">
        <v>1593</v>
      </c>
      <c r="Q27" s="3402" t="s">
        <v>1594</v>
      </c>
      <c r="R27" s="2439" t="s">
        <v>1595</v>
      </c>
      <c r="S27" s="2458">
        <v>17941235</v>
      </c>
      <c r="T27" s="1561">
        <v>20</v>
      </c>
      <c r="U27" s="1406" t="s">
        <v>1582</v>
      </c>
      <c r="V27" s="3566">
        <v>40906</v>
      </c>
      <c r="W27" s="3566">
        <v>37728</v>
      </c>
      <c r="X27" s="3566">
        <v>16790</v>
      </c>
      <c r="Y27" s="3566">
        <v>8871</v>
      </c>
      <c r="Z27" s="3566">
        <v>46240</v>
      </c>
      <c r="AA27" s="3566">
        <v>10814</v>
      </c>
      <c r="AB27" s="3566"/>
      <c r="AC27" s="3566"/>
      <c r="AD27" s="3566"/>
      <c r="AE27" s="3566"/>
      <c r="AF27" s="3566"/>
      <c r="AG27" s="3566"/>
      <c r="AH27" s="3566"/>
      <c r="AI27" s="3566"/>
      <c r="AJ27" s="3566"/>
      <c r="AK27" s="3566">
        <f>V27+W27</f>
        <v>78634</v>
      </c>
      <c r="AL27" s="3598">
        <v>43466</v>
      </c>
      <c r="AM27" s="3598">
        <v>43830</v>
      </c>
      <c r="AN27" s="3383" t="s">
        <v>1547</v>
      </c>
    </row>
    <row r="28" spans="1:40" ht="57" x14ac:dyDescent="0.25">
      <c r="A28" s="3105"/>
      <c r="B28" s="3105"/>
      <c r="C28" s="3654"/>
      <c r="D28" s="3655"/>
      <c r="E28" s="3613"/>
      <c r="F28" s="3614"/>
      <c r="G28" s="1815">
        <v>16</v>
      </c>
      <c r="H28" s="1809" t="s">
        <v>1596</v>
      </c>
      <c r="I28" s="1809" t="s">
        <v>1597</v>
      </c>
      <c r="J28" s="748">
        <v>5</v>
      </c>
      <c r="K28" s="3399"/>
      <c r="L28" s="3399"/>
      <c r="M28" s="3605"/>
      <c r="N28" s="1828">
        <f>S28/O27</f>
        <v>0.15064722408306783</v>
      </c>
      <c r="O28" s="3576"/>
      <c r="P28" s="3406"/>
      <c r="Q28" s="3406"/>
      <c r="R28" s="2440" t="s">
        <v>1598</v>
      </c>
      <c r="S28" s="2459">
        <v>9500000</v>
      </c>
      <c r="T28" s="1562">
        <v>20</v>
      </c>
      <c r="U28" s="1767" t="s">
        <v>1582</v>
      </c>
      <c r="V28" s="3567"/>
      <c r="W28" s="3567"/>
      <c r="X28" s="3567"/>
      <c r="Y28" s="3567"/>
      <c r="Z28" s="3567"/>
      <c r="AA28" s="3567"/>
      <c r="AB28" s="3567"/>
      <c r="AC28" s="3567"/>
      <c r="AD28" s="3567"/>
      <c r="AE28" s="3567"/>
      <c r="AF28" s="3567"/>
      <c r="AG28" s="3567"/>
      <c r="AH28" s="3567"/>
      <c r="AI28" s="3567"/>
      <c r="AJ28" s="3567"/>
      <c r="AK28" s="3567"/>
      <c r="AL28" s="3599"/>
      <c r="AM28" s="3599"/>
      <c r="AN28" s="3384"/>
    </row>
    <row r="29" spans="1:40" ht="28.5" x14ac:dyDescent="0.25">
      <c r="A29" s="3105"/>
      <c r="B29" s="3105"/>
      <c r="C29" s="3654"/>
      <c r="D29" s="3655"/>
      <c r="E29" s="3613"/>
      <c r="F29" s="3614"/>
      <c r="G29" s="1815">
        <v>18</v>
      </c>
      <c r="H29" s="1809" t="s">
        <v>1599</v>
      </c>
      <c r="I29" s="1809" t="s">
        <v>1600</v>
      </c>
      <c r="J29" s="748">
        <v>10</v>
      </c>
      <c r="K29" s="3399"/>
      <c r="L29" s="3399"/>
      <c r="M29" s="3605"/>
      <c r="N29" s="1828">
        <f>S29/O27</f>
        <v>0.21598054652751408</v>
      </c>
      <c r="O29" s="3576"/>
      <c r="P29" s="3406"/>
      <c r="Q29" s="3406"/>
      <c r="R29" s="2440" t="s">
        <v>1601</v>
      </c>
      <c r="S29" s="2459">
        <v>13620000</v>
      </c>
      <c r="T29" s="1562">
        <v>20</v>
      </c>
      <c r="U29" s="1767" t="s">
        <v>1582</v>
      </c>
      <c r="V29" s="3567"/>
      <c r="W29" s="3567"/>
      <c r="X29" s="3567"/>
      <c r="Y29" s="3567"/>
      <c r="Z29" s="3567"/>
      <c r="AA29" s="3567"/>
      <c r="AB29" s="3567"/>
      <c r="AC29" s="3567"/>
      <c r="AD29" s="3567"/>
      <c r="AE29" s="3567"/>
      <c r="AF29" s="3567"/>
      <c r="AG29" s="3567"/>
      <c r="AH29" s="3567"/>
      <c r="AI29" s="3567"/>
      <c r="AJ29" s="3567"/>
      <c r="AK29" s="3567"/>
      <c r="AL29" s="3599"/>
      <c r="AM29" s="3599"/>
      <c r="AN29" s="3384"/>
    </row>
    <row r="30" spans="1:40" ht="57" x14ac:dyDescent="0.25">
      <c r="A30" s="3105"/>
      <c r="B30" s="3105"/>
      <c r="C30" s="3654"/>
      <c r="D30" s="3655"/>
      <c r="E30" s="3613"/>
      <c r="F30" s="3614"/>
      <c r="G30" s="1815">
        <v>19</v>
      </c>
      <c r="H30" s="1809" t="s">
        <v>1602</v>
      </c>
      <c r="I30" s="1809" t="s">
        <v>1603</v>
      </c>
      <c r="J30" s="748">
        <v>8</v>
      </c>
      <c r="K30" s="3399"/>
      <c r="L30" s="3399"/>
      <c r="M30" s="3605"/>
      <c r="N30" s="1828">
        <f>S30/O27</f>
        <v>0.1744336278856575</v>
      </c>
      <c r="O30" s="3576"/>
      <c r="P30" s="3406"/>
      <c r="Q30" s="3406"/>
      <c r="R30" s="2441" t="s">
        <v>1604</v>
      </c>
      <c r="S30" s="2459">
        <v>11000000</v>
      </c>
      <c r="T30" s="1562">
        <v>20</v>
      </c>
      <c r="U30" s="1767" t="s">
        <v>1582</v>
      </c>
      <c r="V30" s="3567"/>
      <c r="W30" s="3567"/>
      <c r="X30" s="3567"/>
      <c r="Y30" s="3567"/>
      <c r="Z30" s="3567"/>
      <c r="AA30" s="3567"/>
      <c r="AB30" s="3567"/>
      <c r="AC30" s="3567"/>
      <c r="AD30" s="3567"/>
      <c r="AE30" s="3567"/>
      <c r="AF30" s="3567"/>
      <c r="AG30" s="3567"/>
      <c r="AH30" s="3567"/>
      <c r="AI30" s="3567"/>
      <c r="AJ30" s="3567"/>
      <c r="AK30" s="3567"/>
      <c r="AL30" s="3599"/>
      <c r="AM30" s="3599"/>
      <c r="AN30" s="3384"/>
    </row>
    <row r="31" spans="1:40" ht="60" x14ac:dyDescent="0.25">
      <c r="A31" s="3105"/>
      <c r="B31" s="3105"/>
      <c r="C31" s="3654"/>
      <c r="D31" s="3655"/>
      <c r="E31" s="3613"/>
      <c r="F31" s="3614"/>
      <c r="G31" s="1812">
        <v>20</v>
      </c>
      <c r="H31" s="1068" t="s">
        <v>1605</v>
      </c>
      <c r="I31" s="1801" t="s">
        <v>1606</v>
      </c>
      <c r="J31" s="748">
        <v>60</v>
      </c>
      <c r="K31" s="3399"/>
      <c r="L31" s="3399"/>
      <c r="M31" s="3426"/>
      <c r="N31" s="1814">
        <f>S31/O27</f>
        <v>0.1744336278856575</v>
      </c>
      <c r="O31" s="3576"/>
      <c r="P31" s="3406"/>
      <c r="Q31" s="3406"/>
      <c r="R31" s="2442" t="s">
        <v>1607</v>
      </c>
      <c r="S31" s="2459">
        <v>11000000</v>
      </c>
      <c r="T31" s="1667">
        <v>20</v>
      </c>
      <c r="U31" s="1803" t="s">
        <v>1582</v>
      </c>
      <c r="V31" s="3567"/>
      <c r="W31" s="3567"/>
      <c r="X31" s="3567"/>
      <c r="Y31" s="3567"/>
      <c r="Z31" s="3567"/>
      <c r="AA31" s="3567"/>
      <c r="AB31" s="3567"/>
      <c r="AC31" s="3567"/>
      <c r="AD31" s="3567"/>
      <c r="AE31" s="3567"/>
      <c r="AF31" s="3567"/>
      <c r="AG31" s="3567"/>
      <c r="AH31" s="3567"/>
      <c r="AI31" s="3567"/>
      <c r="AJ31" s="3567"/>
      <c r="AK31" s="3567"/>
      <c r="AL31" s="3599"/>
      <c r="AM31" s="3599"/>
      <c r="AN31" s="3384"/>
    </row>
    <row r="32" spans="1:40" ht="15" x14ac:dyDescent="0.25">
      <c r="A32" s="749">
        <v>2</v>
      </c>
      <c r="B32" s="652" t="s">
        <v>835</v>
      </c>
      <c r="C32" s="750"/>
      <c r="D32" s="750"/>
      <c r="E32" s="750"/>
      <c r="F32" s="750"/>
      <c r="G32" s="751"/>
      <c r="H32" s="752"/>
      <c r="I32" s="753"/>
      <c r="J32" s="753"/>
      <c r="K32" s="753"/>
      <c r="L32" s="754"/>
      <c r="M32" s="752"/>
      <c r="N32" s="755"/>
      <c r="O32" s="2430"/>
      <c r="P32" s="752"/>
      <c r="Q32" s="752"/>
      <c r="R32" s="752"/>
      <c r="S32" s="2460"/>
      <c r="T32" s="756"/>
      <c r="U32" s="754"/>
      <c r="V32" s="753"/>
      <c r="W32" s="753"/>
      <c r="X32" s="753"/>
      <c r="Y32" s="753"/>
      <c r="Z32" s="753"/>
      <c r="AA32" s="753"/>
      <c r="AB32" s="753"/>
      <c r="AC32" s="753"/>
      <c r="AD32" s="753"/>
      <c r="AE32" s="753"/>
      <c r="AF32" s="753"/>
      <c r="AG32" s="753"/>
      <c r="AH32" s="753"/>
      <c r="AI32" s="753"/>
      <c r="AJ32" s="753"/>
      <c r="AK32" s="753"/>
      <c r="AL32" s="757"/>
      <c r="AM32" s="758"/>
      <c r="AN32" s="759"/>
    </row>
    <row r="33" spans="1:40" ht="15" x14ac:dyDescent="0.25">
      <c r="A33" s="3669"/>
      <c r="B33" s="3670"/>
      <c r="C33" s="760">
        <v>2</v>
      </c>
      <c r="D33" s="708" t="s">
        <v>836</v>
      </c>
      <c r="E33" s="708"/>
      <c r="F33" s="708"/>
      <c r="G33" s="761"/>
      <c r="H33" s="762"/>
      <c r="I33" s="763"/>
      <c r="J33" s="763"/>
      <c r="K33" s="763"/>
      <c r="L33" s="764"/>
      <c r="M33" s="762"/>
      <c r="N33" s="765"/>
      <c r="O33" s="2431"/>
      <c r="P33" s="762"/>
      <c r="Q33" s="762"/>
      <c r="R33" s="762"/>
      <c r="S33" s="2461"/>
      <c r="T33" s="766"/>
      <c r="U33" s="764"/>
      <c r="V33" s="763"/>
      <c r="W33" s="763"/>
      <c r="X33" s="763"/>
      <c r="Y33" s="763"/>
      <c r="Z33" s="763"/>
      <c r="AA33" s="763"/>
      <c r="AB33" s="763"/>
      <c r="AC33" s="763"/>
      <c r="AD33" s="763"/>
      <c r="AE33" s="763"/>
      <c r="AF33" s="763"/>
      <c r="AG33" s="763"/>
      <c r="AH33" s="763"/>
      <c r="AI33" s="763"/>
      <c r="AJ33" s="763"/>
      <c r="AK33" s="763"/>
      <c r="AL33" s="767"/>
      <c r="AM33" s="768"/>
      <c r="AN33" s="769"/>
    </row>
    <row r="34" spans="1:40" ht="15" x14ac:dyDescent="0.25">
      <c r="A34" s="3671"/>
      <c r="B34" s="3672"/>
      <c r="C34" s="3668"/>
      <c r="D34" s="3668"/>
      <c r="E34" s="665">
        <v>4</v>
      </c>
      <c r="F34" s="663" t="s">
        <v>1608</v>
      </c>
      <c r="G34" s="663"/>
      <c r="H34" s="770"/>
      <c r="I34" s="717"/>
      <c r="J34" s="717"/>
      <c r="K34" s="717"/>
      <c r="L34" s="717"/>
      <c r="M34" s="771"/>
      <c r="N34" s="772"/>
      <c r="O34" s="2432"/>
      <c r="P34" s="771"/>
      <c r="Q34" s="771"/>
      <c r="R34" s="771"/>
      <c r="S34" s="2456"/>
      <c r="T34" s="773"/>
      <c r="U34" s="774"/>
      <c r="V34" s="775"/>
      <c r="W34" s="775"/>
      <c r="X34" s="775"/>
      <c r="Y34" s="775"/>
      <c r="Z34" s="775"/>
      <c r="AA34" s="775"/>
      <c r="AB34" s="775"/>
      <c r="AC34" s="775"/>
      <c r="AD34" s="775"/>
      <c r="AE34" s="775"/>
      <c r="AF34" s="775"/>
      <c r="AG34" s="775"/>
      <c r="AH34" s="775"/>
      <c r="AI34" s="775"/>
      <c r="AJ34" s="775"/>
      <c r="AK34" s="775"/>
      <c r="AL34" s="776"/>
      <c r="AM34" s="777"/>
      <c r="AN34" s="778"/>
    </row>
    <row r="35" spans="1:40" ht="42.75" x14ac:dyDescent="0.25">
      <c r="A35" s="3671"/>
      <c r="B35" s="3672"/>
      <c r="C35" s="3668"/>
      <c r="D35" s="3668"/>
      <c r="E35" s="3594"/>
      <c r="F35" s="3594"/>
      <c r="G35" s="3568">
        <v>21</v>
      </c>
      <c r="H35" s="3427" t="s">
        <v>1609</v>
      </c>
      <c r="I35" s="3413" t="s">
        <v>1610</v>
      </c>
      <c r="J35" s="3615">
        <v>100</v>
      </c>
      <c r="K35" s="3594" t="s">
        <v>1611</v>
      </c>
      <c r="L35" s="3594" t="s">
        <v>1612</v>
      </c>
      <c r="M35" s="3595" t="s">
        <v>1613</v>
      </c>
      <c r="N35" s="3601">
        <f>+(S35+S36)/O35</f>
        <v>0.1707026589791501</v>
      </c>
      <c r="O35" s="3589">
        <v>364259118</v>
      </c>
      <c r="P35" s="2791" t="s">
        <v>1614</v>
      </c>
      <c r="Q35" s="2791" t="s">
        <v>1615</v>
      </c>
      <c r="R35" s="2443" t="s">
        <v>1616</v>
      </c>
      <c r="S35" s="2462">
        <f>54000000-3500000-2790000</f>
        <v>47710000</v>
      </c>
      <c r="T35" s="2449">
        <v>20</v>
      </c>
      <c r="U35" s="1051" t="s">
        <v>1582</v>
      </c>
      <c r="V35" s="3594">
        <v>40</v>
      </c>
      <c r="W35" s="3594">
        <v>60</v>
      </c>
      <c r="X35" s="3594">
        <v>10</v>
      </c>
      <c r="Y35" s="3594">
        <v>20</v>
      </c>
      <c r="Z35" s="3594">
        <v>30</v>
      </c>
      <c r="AA35" s="3566">
        <v>40</v>
      </c>
      <c r="AB35" s="3566">
        <v>5</v>
      </c>
      <c r="AC35" s="3566"/>
      <c r="AD35" s="3566"/>
      <c r="AE35" s="3566"/>
      <c r="AF35" s="3566"/>
      <c r="AG35" s="3566"/>
      <c r="AH35" s="3566">
        <v>5</v>
      </c>
      <c r="AI35" s="3566"/>
      <c r="AJ35" s="3566"/>
      <c r="AK35" s="3566">
        <f>V35+W35</f>
        <v>100</v>
      </c>
      <c r="AL35" s="3591">
        <v>43466</v>
      </c>
      <c r="AM35" s="3591">
        <v>43465</v>
      </c>
      <c r="AN35" s="3583" t="s">
        <v>1617</v>
      </c>
    </row>
    <row r="36" spans="1:40" ht="41.25" customHeight="1" x14ac:dyDescent="0.25">
      <c r="A36" s="3671"/>
      <c r="B36" s="3672"/>
      <c r="C36" s="3668"/>
      <c r="D36" s="3668"/>
      <c r="E36" s="3594"/>
      <c r="F36" s="3594"/>
      <c r="G36" s="3594"/>
      <c r="H36" s="3427"/>
      <c r="I36" s="3413"/>
      <c r="J36" s="3617"/>
      <c r="K36" s="3594"/>
      <c r="L36" s="3594"/>
      <c r="M36" s="3596"/>
      <c r="N36" s="3601"/>
      <c r="O36" s="3589"/>
      <c r="P36" s="2786"/>
      <c r="Q36" s="2786"/>
      <c r="R36" s="1646" t="s">
        <v>1618</v>
      </c>
      <c r="S36" s="2455">
        <f>15680000-4000000+2790000</f>
        <v>14470000</v>
      </c>
      <c r="T36" s="1562">
        <v>20</v>
      </c>
      <c r="U36" s="1767" t="s">
        <v>1582</v>
      </c>
      <c r="V36" s="3594"/>
      <c r="W36" s="3594"/>
      <c r="X36" s="3594"/>
      <c r="Y36" s="3594"/>
      <c r="Z36" s="3594"/>
      <c r="AA36" s="3567"/>
      <c r="AB36" s="3567"/>
      <c r="AC36" s="3567"/>
      <c r="AD36" s="3567"/>
      <c r="AE36" s="3567"/>
      <c r="AF36" s="3567"/>
      <c r="AG36" s="3567"/>
      <c r="AH36" s="3567"/>
      <c r="AI36" s="3567"/>
      <c r="AJ36" s="3567"/>
      <c r="AK36" s="3567"/>
      <c r="AL36" s="3592"/>
      <c r="AM36" s="3592"/>
      <c r="AN36" s="3584"/>
    </row>
    <row r="37" spans="1:40" ht="99" customHeight="1" x14ac:dyDescent="0.25">
      <c r="A37" s="3671"/>
      <c r="B37" s="3672"/>
      <c r="C37" s="3668"/>
      <c r="D37" s="3668"/>
      <c r="E37" s="3594"/>
      <c r="F37" s="3594"/>
      <c r="G37" s="3594">
        <v>22</v>
      </c>
      <c r="H37" s="3427" t="s">
        <v>1619</v>
      </c>
      <c r="I37" s="3413" t="s">
        <v>1620</v>
      </c>
      <c r="J37" s="3615">
        <v>3</v>
      </c>
      <c r="K37" s="3594"/>
      <c r="L37" s="3594"/>
      <c r="M37" s="3596"/>
      <c r="N37" s="3559">
        <f>SUM(S37:S39)/O35</f>
        <v>0.14220646084142771</v>
      </c>
      <c r="O37" s="3589"/>
      <c r="P37" s="2786"/>
      <c r="Q37" s="2786"/>
      <c r="R37" s="1646" t="s">
        <v>1621</v>
      </c>
      <c r="S37" s="2455">
        <f>30000000-17500000</f>
        <v>12500000</v>
      </c>
      <c r="T37" s="1562">
        <v>20</v>
      </c>
      <c r="U37" s="1767" t="s">
        <v>1582</v>
      </c>
      <c r="V37" s="3594"/>
      <c r="W37" s="3594"/>
      <c r="X37" s="3594"/>
      <c r="Y37" s="3594"/>
      <c r="Z37" s="3594"/>
      <c r="AA37" s="3567"/>
      <c r="AB37" s="3567"/>
      <c r="AC37" s="3567"/>
      <c r="AD37" s="3567"/>
      <c r="AE37" s="3567"/>
      <c r="AF37" s="3567"/>
      <c r="AG37" s="3567"/>
      <c r="AH37" s="3567"/>
      <c r="AI37" s="3567"/>
      <c r="AJ37" s="3567"/>
      <c r="AK37" s="3567"/>
      <c r="AL37" s="3592"/>
      <c r="AM37" s="3592"/>
      <c r="AN37" s="3584"/>
    </row>
    <row r="38" spans="1:40" ht="99" customHeight="1" x14ac:dyDescent="0.25">
      <c r="A38" s="3671"/>
      <c r="B38" s="3672"/>
      <c r="C38" s="3668"/>
      <c r="D38" s="3668"/>
      <c r="E38" s="3594"/>
      <c r="F38" s="3594"/>
      <c r="G38" s="3594"/>
      <c r="H38" s="3427"/>
      <c r="I38" s="3413"/>
      <c r="J38" s="3616"/>
      <c r="K38" s="3594"/>
      <c r="L38" s="3594"/>
      <c r="M38" s="3596"/>
      <c r="N38" s="3559"/>
      <c r="O38" s="3589"/>
      <c r="P38" s="2786"/>
      <c r="Q38" s="2786"/>
      <c r="R38" s="2046" t="s">
        <v>1622</v>
      </c>
      <c r="S38" s="2455">
        <f>14300000-6300000</f>
        <v>8000000</v>
      </c>
      <c r="T38" s="1667">
        <v>20</v>
      </c>
      <c r="U38" s="1803" t="s">
        <v>1582</v>
      </c>
      <c r="V38" s="3594"/>
      <c r="W38" s="3594"/>
      <c r="X38" s="3594"/>
      <c r="Y38" s="3594"/>
      <c r="Z38" s="3594"/>
      <c r="AA38" s="3567"/>
      <c r="AB38" s="3567"/>
      <c r="AC38" s="3567"/>
      <c r="AD38" s="3567"/>
      <c r="AE38" s="3567"/>
      <c r="AF38" s="3567"/>
      <c r="AG38" s="3567"/>
      <c r="AH38" s="3567"/>
      <c r="AI38" s="3567"/>
      <c r="AJ38" s="3567"/>
      <c r="AK38" s="3567"/>
      <c r="AL38" s="3592"/>
      <c r="AM38" s="3592"/>
      <c r="AN38" s="3584"/>
    </row>
    <row r="39" spans="1:40" ht="84" customHeight="1" x14ac:dyDescent="0.25">
      <c r="A39" s="3671"/>
      <c r="B39" s="3672"/>
      <c r="C39" s="3668"/>
      <c r="D39" s="3668"/>
      <c r="E39" s="3594"/>
      <c r="F39" s="3594"/>
      <c r="G39" s="3594"/>
      <c r="H39" s="3427"/>
      <c r="I39" s="3413"/>
      <c r="J39" s="3617"/>
      <c r="K39" s="3594"/>
      <c r="L39" s="3594"/>
      <c r="M39" s="3596"/>
      <c r="N39" s="3559"/>
      <c r="O39" s="3589"/>
      <c r="P39" s="2786"/>
      <c r="Q39" s="3590"/>
      <c r="R39" s="2444" t="s">
        <v>1623</v>
      </c>
      <c r="S39" s="2463">
        <f>0+31300000</f>
        <v>31300000</v>
      </c>
      <c r="T39" s="1667">
        <v>20</v>
      </c>
      <c r="U39" s="1803" t="s">
        <v>1582</v>
      </c>
      <c r="V39" s="3664"/>
      <c r="W39" s="3594"/>
      <c r="X39" s="3594"/>
      <c r="Y39" s="3594"/>
      <c r="Z39" s="3594"/>
      <c r="AA39" s="3567"/>
      <c r="AB39" s="3567"/>
      <c r="AC39" s="3567"/>
      <c r="AD39" s="3567"/>
      <c r="AE39" s="3567"/>
      <c r="AF39" s="3567"/>
      <c r="AG39" s="3567"/>
      <c r="AH39" s="3567"/>
      <c r="AI39" s="3567"/>
      <c r="AJ39" s="3567"/>
      <c r="AK39" s="3567"/>
      <c r="AL39" s="3592"/>
      <c r="AM39" s="3592"/>
      <c r="AN39" s="3584"/>
    </row>
    <row r="40" spans="1:40" ht="76.5" customHeight="1" x14ac:dyDescent="0.25">
      <c r="A40" s="3671"/>
      <c r="B40" s="3672"/>
      <c r="C40" s="3668"/>
      <c r="D40" s="3668"/>
      <c r="E40" s="3594"/>
      <c r="F40" s="3594"/>
      <c r="G40" s="3594">
        <v>23</v>
      </c>
      <c r="H40" s="3427" t="s">
        <v>1624</v>
      </c>
      <c r="I40" s="3413" t="s">
        <v>1625</v>
      </c>
      <c r="J40" s="3615">
        <v>1</v>
      </c>
      <c r="K40" s="3594"/>
      <c r="L40" s="3594"/>
      <c r="M40" s="3596"/>
      <c r="N40" s="3559">
        <f>+(S40+S41+S42)/O35</f>
        <v>0.19129239751796687</v>
      </c>
      <c r="O40" s="3589"/>
      <c r="P40" s="2786"/>
      <c r="Q40" s="3560" t="s">
        <v>1626</v>
      </c>
      <c r="R40" s="2047" t="s">
        <v>1627</v>
      </c>
      <c r="S40" s="2455">
        <v>18000000</v>
      </c>
      <c r="T40" s="2450">
        <v>20</v>
      </c>
      <c r="U40" s="1805" t="s">
        <v>1582</v>
      </c>
      <c r="V40" s="3594"/>
      <c r="W40" s="3594"/>
      <c r="X40" s="3594"/>
      <c r="Y40" s="3594"/>
      <c r="Z40" s="3594"/>
      <c r="AA40" s="3567"/>
      <c r="AB40" s="3567"/>
      <c r="AC40" s="3567"/>
      <c r="AD40" s="3567"/>
      <c r="AE40" s="3567"/>
      <c r="AF40" s="3567"/>
      <c r="AG40" s="3567"/>
      <c r="AH40" s="3567"/>
      <c r="AI40" s="3567"/>
      <c r="AJ40" s="3567"/>
      <c r="AK40" s="3567"/>
      <c r="AL40" s="3592"/>
      <c r="AM40" s="3592"/>
      <c r="AN40" s="3584"/>
    </row>
    <row r="41" spans="1:40" ht="74.25" customHeight="1" x14ac:dyDescent="0.25">
      <c r="A41" s="3671"/>
      <c r="B41" s="3672"/>
      <c r="C41" s="3668"/>
      <c r="D41" s="3668"/>
      <c r="E41" s="3594"/>
      <c r="F41" s="3594"/>
      <c r="G41" s="3594"/>
      <c r="H41" s="3427"/>
      <c r="I41" s="3413"/>
      <c r="J41" s="3616"/>
      <c r="K41" s="3594"/>
      <c r="L41" s="3594"/>
      <c r="M41" s="3596"/>
      <c r="N41" s="3559"/>
      <c r="O41" s="3589"/>
      <c r="P41" s="2786"/>
      <c r="Q41" s="3561"/>
      <c r="R41" s="1646" t="s">
        <v>1628</v>
      </c>
      <c r="S41" s="2455">
        <f>5000000+2860000</f>
        <v>7860000</v>
      </c>
      <c r="T41" s="1562">
        <v>20</v>
      </c>
      <c r="U41" s="1767" t="s">
        <v>1582</v>
      </c>
      <c r="V41" s="3594"/>
      <c r="W41" s="3594"/>
      <c r="X41" s="3594"/>
      <c r="Y41" s="3594"/>
      <c r="Z41" s="3594"/>
      <c r="AA41" s="3567"/>
      <c r="AB41" s="3567"/>
      <c r="AC41" s="3567"/>
      <c r="AD41" s="3567"/>
      <c r="AE41" s="3567"/>
      <c r="AF41" s="3567"/>
      <c r="AG41" s="3567"/>
      <c r="AH41" s="3567"/>
      <c r="AI41" s="3567"/>
      <c r="AJ41" s="3567"/>
      <c r="AK41" s="3567"/>
      <c r="AL41" s="3592"/>
      <c r="AM41" s="3592"/>
      <c r="AN41" s="3584"/>
    </row>
    <row r="42" spans="1:40" ht="48.75" customHeight="1" x14ac:dyDescent="0.25">
      <c r="A42" s="3671"/>
      <c r="B42" s="3672"/>
      <c r="C42" s="3668"/>
      <c r="D42" s="3668"/>
      <c r="E42" s="3594"/>
      <c r="F42" s="3594"/>
      <c r="G42" s="3594"/>
      <c r="H42" s="3427"/>
      <c r="I42" s="3413"/>
      <c r="J42" s="3617"/>
      <c r="K42" s="3594"/>
      <c r="L42" s="3594"/>
      <c r="M42" s="3596"/>
      <c r="N42" s="3559"/>
      <c r="O42" s="3589"/>
      <c r="P42" s="2786"/>
      <c r="Q42" s="3561"/>
      <c r="R42" s="1646" t="s">
        <v>1629</v>
      </c>
      <c r="S42" s="2455">
        <f>46680000-2860000</f>
        <v>43820000</v>
      </c>
      <c r="T42" s="1562">
        <v>20</v>
      </c>
      <c r="U42" s="1767" t="s">
        <v>1582</v>
      </c>
      <c r="V42" s="3594"/>
      <c r="W42" s="3594"/>
      <c r="X42" s="3594"/>
      <c r="Y42" s="3594"/>
      <c r="Z42" s="3594"/>
      <c r="AA42" s="3567"/>
      <c r="AB42" s="3567"/>
      <c r="AC42" s="3567"/>
      <c r="AD42" s="3567"/>
      <c r="AE42" s="3567"/>
      <c r="AF42" s="3567"/>
      <c r="AG42" s="3567"/>
      <c r="AH42" s="3567"/>
      <c r="AI42" s="3567"/>
      <c r="AJ42" s="3567"/>
      <c r="AK42" s="3567"/>
      <c r="AL42" s="3592"/>
      <c r="AM42" s="3592"/>
      <c r="AN42" s="3584"/>
    </row>
    <row r="43" spans="1:40" ht="69" customHeight="1" x14ac:dyDescent="0.25">
      <c r="A43" s="3671"/>
      <c r="B43" s="3672"/>
      <c r="C43" s="3668"/>
      <c r="D43" s="3668"/>
      <c r="E43" s="3594"/>
      <c r="F43" s="3594"/>
      <c r="G43" s="1812">
        <v>24</v>
      </c>
      <c r="H43" s="1809" t="s">
        <v>1630</v>
      </c>
      <c r="I43" s="1809" t="s">
        <v>1631</v>
      </c>
      <c r="J43" s="748">
        <v>1</v>
      </c>
      <c r="K43" s="3594"/>
      <c r="L43" s="3594"/>
      <c r="M43" s="3597"/>
      <c r="N43" s="1828">
        <f>S43/O35</f>
        <v>0.49579848266145532</v>
      </c>
      <c r="O43" s="3589"/>
      <c r="P43" s="2783"/>
      <c r="Q43" s="3562"/>
      <c r="R43" s="1646" t="s">
        <v>1632</v>
      </c>
      <c r="S43" s="2455">
        <v>180599118</v>
      </c>
      <c r="T43" s="1562">
        <v>20</v>
      </c>
      <c r="U43" s="1767" t="s">
        <v>1582</v>
      </c>
      <c r="V43" s="3594"/>
      <c r="W43" s="3594"/>
      <c r="X43" s="3594"/>
      <c r="Y43" s="3594"/>
      <c r="Z43" s="3594"/>
      <c r="AA43" s="3568"/>
      <c r="AB43" s="3568"/>
      <c r="AC43" s="3568"/>
      <c r="AD43" s="3568"/>
      <c r="AE43" s="3568"/>
      <c r="AF43" s="3568"/>
      <c r="AG43" s="3568"/>
      <c r="AH43" s="3568"/>
      <c r="AI43" s="3568"/>
      <c r="AJ43" s="3568"/>
      <c r="AK43" s="3568"/>
      <c r="AL43" s="3593"/>
      <c r="AM43" s="3593"/>
      <c r="AN43" s="3585"/>
    </row>
    <row r="44" spans="1:40" ht="15" x14ac:dyDescent="0.25">
      <c r="A44" s="3671"/>
      <c r="B44" s="3672"/>
      <c r="C44" s="3668"/>
      <c r="D44" s="3668"/>
      <c r="E44" s="665">
        <v>5</v>
      </c>
      <c r="F44" s="663" t="s">
        <v>1633</v>
      </c>
      <c r="G44" s="663"/>
      <c r="H44" s="779"/>
      <c r="I44" s="779"/>
      <c r="J44" s="779"/>
      <c r="K44" s="779"/>
      <c r="L44" s="779"/>
      <c r="M44" s="771"/>
      <c r="N44" s="772"/>
      <c r="O44" s="2432"/>
      <c r="P44" s="771"/>
      <c r="Q44" s="771"/>
      <c r="R44" s="771"/>
      <c r="S44" s="2456"/>
      <c r="T44" s="773"/>
      <c r="U44" s="774"/>
      <c r="V44" s="775"/>
      <c r="W44" s="775"/>
      <c r="X44" s="775"/>
      <c r="Y44" s="775"/>
      <c r="Z44" s="775"/>
      <c r="AA44" s="775"/>
      <c r="AB44" s="775"/>
      <c r="AC44" s="775"/>
      <c r="AD44" s="775"/>
      <c r="AE44" s="775"/>
      <c r="AF44" s="775"/>
      <c r="AG44" s="775"/>
      <c r="AH44" s="775"/>
      <c r="AI44" s="775"/>
      <c r="AJ44" s="775"/>
      <c r="AK44" s="775"/>
      <c r="AL44" s="776"/>
      <c r="AM44" s="777"/>
      <c r="AN44" s="778"/>
    </row>
    <row r="45" spans="1:40" ht="28.5" customHeight="1" x14ac:dyDescent="0.25">
      <c r="A45" s="3671"/>
      <c r="B45" s="3672"/>
      <c r="C45" s="3668"/>
      <c r="D45" s="3668"/>
      <c r="E45" s="3594"/>
      <c r="F45" s="3594"/>
      <c r="G45" s="3566">
        <v>25</v>
      </c>
      <c r="H45" s="3398" t="s">
        <v>1634</v>
      </c>
      <c r="I45" s="3398" t="s">
        <v>1635</v>
      </c>
      <c r="J45" s="3569">
        <v>2</v>
      </c>
      <c r="K45" s="3398" t="s">
        <v>1636</v>
      </c>
      <c r="L45" s="3569" t="s">
        <v>1637</v>
      </c>
      <c r="M45" s="3402" t="s">
        <v>1638</v>
      </c>
      <c r="N45" s="3572">
        <f>SUM(S45:S50)/O45</f>
        <v>0.78747316303728698</v>
      </c>
      <c r="O45" s="3575">
        <f>SUM(S45:S53)</f>
        <v>365168000</v>
      </c>
      <c r="P45" s="3402" t="s">
        <v>1639</v>
      </c>
      <c r="Q45" s="3402" t="s">
        <v>1640</v>
      </c>
      <c r="R45" s="855" t="s">
        <v>1641</v>
      </c>
      <c r="S45" s="2457">
        <f>118780000-54780000</f>
        <v>64000000</v>
      </c>
      <c r="T45" s="1562">
        <v>20</v>
      </c>
      <c r="U45" s="1836" t="s">
        <v>1546</v>
      </c>
      <c r="V45" s="3566">
        <v>600</v>
      </c>
      <c r="W45" s="3566">
        <v>600</v>
      </c>
      <c r="X45" s="3566">
        <v>125</v>
      </c>
      <c r="Y45" s="3566">
        <v>75</v>
      </c>
      <c r="Z45" s="3566">
        <v>300</v>
      </c>
      <c r="AA45" s="3566">
        <v>700</v>
      </c>
      <c r="AB45" s="3566">
        <v>50</v>
      </c>
      <c r="AC45" s="3566">
        <v>30</v>
      </c>
      <c r="AD45" s="3566"/>
      <c r="AE45" s="3566"/>
      <c r="AF45" s="3566"/>
      <c r="AG45" s="3566"/>
      <c r="AH45" s="3566"/>
      <c r="AI45" s="3566">
        <v>10</v>
      </c>
      <c r="AJ45" s="3566">
        <v>10</v>
      </c>
      <c r="AK45" s="3566">
        <f>V45+W45</f>
        <v>1200</v>
      </c>
      <c r="AL45" s="3591">
        <v>43466</v>
      </c>
      <c r="AM45" s="3591">
        <v>43830</v>
      </c>
      <c r="AN45" s="3583" t="s">
        <v>1617</v>
      </c>
    </row>
    <row r="46" spans="1:40" ht="28.5" customHeight="1" x14ac:dyDescent="0.25">
      <c r="A46" s="3671"/>
      <c r="B46" s="3672"/>
      <c r="C46" s="3668"/>
      <c r="D46" s="3668"/>
      <c r="E46" s="3594"/>
      <c r="F46" s="3594"/>
      <c r="G46" s="3567"/>
      <c r="H46" s="3399"/>
      <c r="I46" s="3399"/>
      <c r="J46" s="3570"/>
      <c r="K46" s="3399"/>
      <c r="L46" s="3570"/>
      <c r="M46" s="3406"/>
      <c r="N46" s="3573"/>
      <c r="O46" s="3576"/>
      <c r="P46" s="3406"/>
      <c r="Q46" s="3406"/>
      <c r="R46" s="2442" t="s">
        <v>1642</v>
      </c>
      <c r="S46" s="2457">
        <f>0+54780000</f>
        <v>54780000</v>
      </c>
      <c r="T46" s="1562">
        <v>20</v>
      </c>
      <c r="U46" s="1836" t="s">
        <v>1546</v>
      </c>
      <c r="V46" s="3567"/>
      <c r="W46" s="3567"/>
      <c r="X46" s="3567"/>
      <c r="Y46" s="3567"/>
      <c r="Z46" s="3567"/>
      <c r="AA46" s="3567"/>
      <c r="AB46" s="3567"/>
      <c r="AC46" s="3567"/>
      <c r="AD46" s="3567"/>
      <c r="AE46" s="3567"/>
      <c r="AF46" s="3567"/>
      <c r="AG46" s="3567"/>
      <c r="AH46" s="3567"/>
      <c r="AI46" s="3567"/>
      <c r="AJ46" s="3567"/>
      <c r="AK46" s="3567"/>
      <c r="AL46" s="3592"/>
      <c r="AM46" s="3592"/>
      <c r="AN46" s="3584"/>
    </row>
    <row r="47" spans="1:40" ht="28.5" customHeight="1" x14ac:dyDescent="0.25">
      <c r="A47" s="3671"/>
      <c r="B47" s="3672"/>
      <c r="C47" s="3668"/>
      <c r="D47" s="3668"/>
      <c r="E47" s="3594"/>
      <c r="F47" s="3594"/>
      <c r="G47" s="3567"/>
      <c r="H47" s="3399"/>
      <c r="I47" s="3399"/>
      <c r="J47" s="3570"/>
      <c r="K47" s="3570"/>
      <c r="L47" s="3570"/>
      <c r="M47" s="3406"/>
      <c r="N47" s="3573"/>
      <c r="O47" s="3576"/>
      <c r="P47" s="3406"/>
      <c r="Q47" s="3406"/>
      <c r="R47" s="3433" t="s">
        <v>1643</v>
      </c>
      <c r="S47" s="2457">
        <f>118780000-26739532+4032000</f>
        <v>96072468</v>
      </c>
      <c r="T47" s="1561">
        <v>20</v>
      </c>
      <c r="U47" s="1405" t="s">
        <v>1546</v>
      </c>
      <c r="V47" s="3567"/>
      <c r="W47" s="3567"/>
      <c r="X47" s="3567"/>
      <c r="Y47" s="3567"/>
      <c r="Z47" s="3567"/>
      <c r="AA47" s="3567"/>
      <c r="AB47" s="3567"/>
      <c r="AC47" s="3567"/>
      <c r="AD47" s="3567"/>
      <c r="AE47" s="3567"/>
      <c r="AF47" s="3567"/>
      <c r="AG47" s="3567"/>
      <c r="AH47" s="3567"/>
      <c r="AI47" s="3567"/>
      <c r="AJ47" s="3567"/>
      <c r="AK47" s="3567"/>
      <c r="AL47" s="3592"/>
      <c r="AM47" s="3592"/>
      <c r="AN47" s="3584"/>
    </row>
    <row r="48" spans="1:40" ht="28.5" customHeight="1" x14ac:dyDescent="0.25">
      <c r="A48" s="3671"/>
      <c r="B48" s="3672"/>
      <c r="C48" s="3668"/>
      <c r="D48" s="3668"/>
      <c r="E48" s="3594"/>
      <c r="F48" s="3594"/>
      <c r="G48" s="3567"/>
      <c r="H48" s="3399"/>
      <c r="I48" s="3399"/>
      <c r="J48" s="3570"/>
      <c r="K48" s="3570"/>
      <c r="L48" s="3570"/>
      <c r="M48" s="3406"/>
      <c r="N48" s="3573"/>
      <c r="O48" s="3576"/>
      <c r="P48" s="3406"/>
      <c r="Q48" s="3406"/>
      <c r="R48" s="3631"/>
      <c r="S48" s="2457">
        <f>50000000-50000000</f>
        <v>0</v>
      </c>
      <c r="T48" s="1561">
        <v>88</v>
      </c>
      <c r="U48" s="1406" t="s">
        <v>1528</v>
      </c>
      <c r="V48" s="3567"/>
      <c r="W48" s="3567"/>
      <c r="X48" s="3567"/>
      <c r="Y48" s="3567"/>
      <c r="Z48" s="3567"/>
      <c r="AA48" s="3567"/>
      <c r="AB48" s="3567"/>
      <c r="AC48" s="3567"/>
      <c r="AD48" s="3567"/>
      <c r="AE48" s="3567"/>
      <c r="AF48" s="3567"/>
      <c r="AG48" s="3567"/>
      <c r="AH48" s="3567"/>
      <c r="AI48" s="3567"/>
      <c r="AJ48" s="3567"/>
      <c r="AK48" s="3567"/>
      <c r="AL48" s="3592"/>
      <c r="AM48" s="3592"/>
      <c r="AN48" s="3584"/>
    </row>
    <row r="49" spans="1:40" ht="28.5" customHeight="1" x14ac:dyDescent="0.25">
      <c r="A49" s="3671"/>
      <c r="B49" s="3672"/>
      <c r="C49" s="3668"/>
      <c r="D49" s="3668"/>
      <c r="E49" s="3594"/>
      <c r="F49" s="3594"/>
      <c r="G49" s="3567"/>
      <c r="H49" s="3399"/>
      <c r="I49" s="3399"/>
      <c r="J49" s="3570"/>
      <c r="K49" s="3570"/>
      <c r="L49" s="3570"/>
      <c r="M49" s="3406"/>
      <c r="N49" s="3573"/>
      <c r="O49" s="3576"/>
      <c r="P49" s="3406"/>
      <c r="Q49" s="3647"/>
      <c r="R49" s="3632" t="s">
        <v>1644</v>
      </c>
      <c r="S49" s="2457">
        <f>0+26739532-4032000</f>
        <v>22707532</v>
      </c>
      <c r="T49" s="1561">
        <v>20</v>
      </c>
      <c r="U49" s="1405" t="s">
        <v>1546</v>
      </c>
      <c r="V49" s="3567"/>
      <c r="W49" s="3567"/>
      <c r="X49" s="3567"/>
      <c r="Y49" s="3567"/>
      <c r="Z49" s="3567"/>
      <c r="AA49" s="3567"/>
      <c r="AB49" s="3567"/>
      <c r="AC49" s="3567"/>
      <c r="AD49" s="3567"/>
      <c r="AE49" s="3567"/>
      <c r="AF49" s="3567"/>
      <c r="AG49" s="3567"/>
      <c r="AH49" s="3567"/>
      <c r="AI49" s="3567"/>
      <c r="AJ49" s="3567"/>
      <c r="AK49" s="3567"/>
      <c r="AL49" s="3592"/>
      <c r="AM49" s="3592"/>
      <c r="AN49" s="3584"/>
    </row>
    <row r="50" spans="1:40" ht="34.5" customHeight="1" x14ac:dyDescent="0.25">
      <c r="A50" s="3671"/>
      <c r="B50" s="3672"/>
      <c r="C50" s="3668"/>
      <c r="D50" s="3668"/>
      <c r="E50" s="3594"/>
      <c r="F50" s="3594"/>
      <c r="G50" s="3568"/>
      <c r="H50" s="3412"/>
      <c r="I50" s="3412"/>
      <c r="J50" s="3571"/>
      <c r="K50" s="3570"/>
      <c r="L50" s="3570"/>
      <c r="M50" s="3406"/>
      <c r="N50" s="3574"/>
      <c r="O50" s="3576"/>
      <c r="P50" s="3406"/>
      <c r="Q50" s="3647"/>
      <c r="R50" s="3632"/>
      <c r="S50" s="2457">
        <f>0+50000000</f>
        <v>50000000</v>
      </c>
      <c r="T50" s="1561">
        <v>88</v>
      </c>
      <c r="U50" s="1406" t="s">
        <v>1528</v>
      </c>
      <c r="V50" s="3567"/>
      <c r="W50" s="3567"/>
      <c r="X50" s="3567"/>
      <c r="Y50" s="3567"/>
      <c r="Z50" s="3567"/>
      <c r="AA50" s="3567"/>
      <c r="AB50" s="3567"/>
      <c r="AC50" s="3567"/>
      <c r="AD50" s="3567"/>
      <c r="AE50" s="3567"/>
      <c r="AF50" s="3567"/>
      <c r="AG50" s="3567"/>
      <c r="AH50" s="3567"/>
      <c r="AI50" s="3567"/>
      <c r="AJ50" s="3567"/>
      <c r="AK50" s="3567"/>
      <c r="AL50" s="3592"/>
      <c r="AM50" s="3592"/>
      <c r="AN50" s="3584"/>
    </row>
    <row r="51" spans="1:40" ht="103.5" customHeight="1" x14ac:dyDescent="0.25">
      <c r="A51" s="3671"/>
      <c r="B51" s="3672"/>
      <c r="C51" s="3668"/>
      <c r="D51" s="3668"/>
      <c r="E51" s="3594"/>
      <c r="F51" s="3594"/>
      <c r="G51" s="1815">
        <v>26</v>
      </c>
      <c r="H51" s="1809" t="s">
        <v>1645</v>
      </c>
      <c r="I51" s="1809" t="s">
        <v>1646</v>
      </c>
      <c r="J51" s="727">
        <v>2</v>
      </c>
      <c r="K51" s="3570"/>
      <c r="L51" s="3570"/>
      <c r="M51" s="3406"/>
      <c r="N51" s="1828">
        <f>S51/O45</f>
        <v>0.12145094860447794</v>
      </c>
      <c r="O51" s="3576"/>
      <c r="P51" s="3406"/>
      <c r="Q51" s="3403"/>
      <c r="R51" s="2004" t="s">
        <v>1647</v>
      </c>
      <c r="S51" s="2457">
        <v>44350000</v>
      </c>
      <c r="T51" s="1562">
        <v>20</v>
      </c>
      <c r="U51" s="1836" t="s">
        <v>1546</v>
      </c>
      <c r="V51" s="3567"/>
      <c r="W51" s="3567"/>
      <c r="X51" s="3567"/>
      <c r="Y51" s="3567"/>
      <c r="Z51" s="3567"/>
      <c r="AA51" s="3567"/>
      <c r="AB51" s="3567"/>
      <c r="AC51" s="3567"/>
      <c r="AD51" s="3567"/>
      <c r="AE51" s="3567"/>
      <c r="AF51" s="3567"/>
      <c r="AG51" s="3567"/>
      <c r="AH51" s="3567"/>
      <c r="AI51" s="3567"/>
      <c r="AJ51" s="3567"/>
      <c r="AK51" s="3567"/>
      <c r="AL51" s="3592"/>
      <c r="AM51" s="3592"/>
      <c r="AN51" s="3584"/>
    </row>
    <row r="52" spans="1:40" ht="64.5" customHeight="1" x14ac:dyDescent="0.25">
      <c r="A52" s="3671"/>
      <c r="B52" s="3672"/>
      <c r="C52" s="3668"/>
      <c r="D52" s="3668"/>
      <c r="E52" s="3594"/>
      <c r="F52" s="3594"/>
      <c r="G52" s="1815">
        <v>27</v>
      </c>
      <c r="H52" s="1809" t="s">
        <v>1648</v>
      </c>
      <c r="I52" s="1809" t="s">
        <v>1649</v>
      </c>
      <c r="J52" s="1393">
        <f>3+1.5</f>
        <v>4.5</v>
      </c>
      <c r="K52" s="3570"/>
      <c r="L52" s="3570"/>
      <c r="M52" s="3406"/>
      <c r="N52" s="1828">
        <f>S52/O45</f>
        <v>0</v>
      </c>
      <c r="O52" s="3576"/>
      <c r="P52" s="3406"/>
      <c r="Q52" s="1809" t="s">
        <v>1650</v>
      </c>
      <c r="R52" s="855" t="s">
        <v>1651</v>
      </c>
      <c r="S52" s="2455">
        <f>1000000000-1000000000</f>
        <v>0</v>
      </c>
      <c r="T52" s="1562">
        <v>46</v>
      </c>
      <c r="U52" s="1809" t="s">
        <v>1652</v>
      </c>
      <c r="V52" s="3567"/>
      <c r="W52" s="3567"/>
      <c r="X52" s="3567"/>
      <c r="Y52" s="3567"/>
      <c r="Z52" s="3567"/>
      <c r="AA52" s="3567"/>
      <c r="AB52" s="3567"/>
      <c r="AC52" s="3567"/>
      <c r="AD52" s="3567"/>
      <c r="AE52" s="3567"/>
      <c r="AF52" s="3567"/>
      <c r="AG52" s="3567"/>
      <c r="AH52" s="3567"/>
      <c r="AI52" s="3567"/>
      <c r="AJ52" s="3567"/>
      <c r="AK52" s="3567"/>
      <c r="AL52" s="3592"/>
      <c r="AM52" s="3592"/>
      <c r="AN52" s="3584"/>
    </row>
    <row r="53" spans="1:40" ht="71.25" customHeight="1" x14ac:dyDescent="0.25">
      <c r="A53" s="3671"/>
      <c r="B53" s="3672"/>
      <c r="C53" s="3668"/>
      <c r="D53" s="3668"/>
      <c r="E53" s="3594"/>
      <c r="F53" s="3594"/>
      <c r="G53" s="1815">
        <v>28</v>
      </c>
      <c r="H53" s="1809" t="s">
        <v>1653</v>
      </c>
      <c r="I53" s="1809" t="s">
        <v>1654</v>
      </c>
      <c r="J53" s="727">
        <v>2</v>
      </c>
      <c r="K53" s="3571"/>
      <c r="L53" s="3571"/>
      <c r="M53" s="3403"/>
      <c r="N53" s="1828">
        <f>S53/O45</f>
        <v>9.1075888358235116E-2</v>
      </c>
      <c r="O53" s="3577"/>
      <c r="P53" s="3403"/>
      <c r="Q53" s="1809" t="s">
        <v>1655</v>
      </c>
      <c r="R53" s="855" t="s">
        <v>1656</v>
      </c>
      <c r="S53" s="2455">
        <v>33258000</v>
      </c>
      <c r="T53" s="1667">
        <v>20</v>
      </c>
      <c r="U53" s="1816" t="s">
        <v>1546</v>
      </c>
      <c r="V53" s="3568"/>
      <c r="W53" s="3568"/>
      <c r="X53" s="3568"/>
      <c r="Y53" s="3568"/>
      <c r="Z53" s="3568"/>
      <c r="AA53" s="3568"/>
      <c r="AB53" s="3568"/>
      <c r="AC53" s="3568"/>
      <c r="AD53" s="3568"/>
      <c r="AE53" s="3568"/>
      <c r="AF53" s="3568"/>
      <c r="AG53" s="3568"/>
      <c r="AH53" s="3568"/>
      <c r="AI53" s="3568"/>
      <c r="AJ53" s="3568"/>
      <c r="AK53" s="3568"/>
      <c r="AL53" s="3593"/>
      <c r="AM53" s="3593"/>
      <c r="AN53" s="3585"/>
    </row>
    <row r="54" spans="1:40" ht="70.5" customHeight="1" x14ac:dyDescent="0.25">
      <c r="A54" s="3671"/>
      <c r="B54" s="3672"/>
      <c r="C54" s="3668"/>
      <c r="D54" s="3668"/>
      <c r="E54" s="3594"/>
      <c r="F54" s="3594"/>
      <c r="G54" s="3566">
        <v>29</v>
      </c>
      <c r="H54" s="3398" t="s">
        <v>1657</v>
      </c>
      <c r="I54" s="3398" t="s">
        <v>1658</v>
      </c>
      <c r="J54" s="3569">
        <v>1</v>
      </c>
      <c r="K54" s="1375" t="s">
        <v>1659</v>
      </c>
      <c r="L54" s="3569" t="s">
        <v>1660</v>
      </c>
      <c r="M54" s="3398" t="s">
        <v>1661</v>
      </c>
      <c r="N54" s="3572">
        <f>SUM(S54:S56)/O54</f>
        <v>1</v>
      </c>
      <c r="O54" s="3575">
        <f>SUM(S54:S56)</f>
        <v>122170000</v>
      </c>
      <c r="P54" s="3402" t="s">
        <v>1662</v>
      </c>
      <c r="Q54" s="3633" t="s">
        <v>1663</v>
      </c>
      <c r="R54" s="855" t="s">
        <v>1664</v>
      </c>
      <c r="S54" s="2457">
        <v>15000000</v>
      </c>
      <c r="T54" s="2451">
        <v>20</v>
      </c>
      <c r="U54" s="1567" t="s">
        <v>1582</v>
      </c>
      <c r="V54" s="3638">
        <v>210</v>
      </c>
      <c r="W54" s="3586">
        <v>140</v>
      </c>
      <c r="X54" s="3586"/>
      <c r="Y54" s="3563"/>
      <c r="Z54" s="3563"/>
      <c r="AA54" s="3563"/>
      <c r="AB54" s="3563"/>
      <c r="AC54" s="3563"/>
      <c r="AD54" s="3563"/>
      <c r="AE54" s="3563"/>
      <c r="AF54" s="3563"/>
      <c r="AG54" s="3563"/>
      <c r="AH54" s="3563"/>
      <c r="AI54" s="3563"/>
      <c r="AJ54" s="3563"/>
      <c r="AK54" s="3563">
        <f>V54+W54</f>
        <v>350</v>
      </c>
      <c r="AL54" s="3591">
        <v>43466</v>
      </c>
      <c r="AM54" s="3591">
        <v>43830</v>
      </c>
      <c r="AN54" s="3583" t="s">
        <v>1665</v>
      </c>
    </row>
    <row r="55" spans="1:40" ht="45.75" customHeight="1" x14ac:dyDescent="0.25">
      <c r="A55" s="3671"/>
      <c r="B55" s="3672"/>
      <c r="C55" s="3668"/>
      <c r="D55" s="3668"/>
      <c r="E55" s="3594"/>
      <c r="F55" s="3594"/>
      <c r="G55" s="3567"/>
      <c r="H55" s="3399"/>
      <c r="I55" s="3399"/>
      <c r="J55" s="3570"/>
      <c r="K55" s="1376" t="s">
        <v>1666</v>
      </c>
      <c r="L55" s="3570"/>
      <c r="M55" s="3399"/>
      <c r="N55" s="3573"/>
      <c r="O55" s="3576"/>
      <c r="P55" s="3406"/>
      <c r="Q55" s="3634"/>
      <c r="R55" s="3636" t="s">
        <v>1667</v>
      </c>
      <c r="S55" s="2457">
        <v>7170000</v>
      </c>
      <c r="T55" s="2451">
        <v>20</v>
      </c>
      <c r="U55" s="1567" t="s">
        <v>1582</v>
      </c>
      <c r="V55" s="3639"/>
      <c r="W55" s="3588"/>
      <c r="X55" s="3587"/>
      <c r="Y55" s="3565"/>
      <c r="Z55" s="3565"/>
      <c r="AA55" s="3565"/>
      <c r="AB55" s="3565"/>
      <c r="AC55" s="3565"/>
      <c r="AD55" s="3565"/>
      <c r="AE55" s="3565"/>
      <c r="AF55" s="3565"/>
      <c r="AG55" s="3565"/>
      <c r="AH55" s="3565"/>
      <c r="AI55" s="3565"/>
      <c r="AJ55" s="3565"/>
      <c r="AK55" s="3564"/>
      <c r="AL55" s="3592"/>
      <c r="AM55" s="3592"/>
      <c r="AN55" s="3584"/>
    </row>
    <row r="56" spans="1:40" ht="45.75" customHeight="1" x14ac:dyDescent="0.25">
      <c r="A56" s="3671"/>
      <c r="B56" s="3672"/>
      <c r="C56" s="3668"/>
      <c r="D56" s="3668"/>
      <c r="E56" s="3594"/>
      <c r="F56" s="3594"/>
      <c r="G56" s="3568"/>
      <c r="H56" s="3412"/>
      <c r="I56" s="3412"/>
      <c r="J56" s="3571"/>
      <c r="K56" s="1377"/>
      <c r="L56" s="3571"/>
      <c r="M56" s="3412"/>
      <c r="N56" s="3574"/>
      <c r="O56" s="3577"/>
      <c r="P56" s="3403"/>
      <c r="Q56" s="3635"/>
      <c r="R56" s="3637"/>
      <c r="S56" s="2457">
        <v>100000000</v>
      </c>
      <c r="T56" s="2451">
        <v>88</v>
      </c>
      <c r="U56" s="1567" t="s">
        <v>1528</v>
      </c>
      <c r="V56" s="3640"/>
      <c r="W56" s="3587"/>
      <c r="X56" s="1817"/>
      <c r="Y56" s="1830"/>
      <c r="Z56" s="1830"/>
      <c r="AA56" s="1830"/>
      <c r="AB56" s="1830"/>
      <c r="AC56" s="1830"/>
      <c r="AD56" s="1830"/>
      <c r="AE56" s="1830"/>
      <c r="AF56" s="1830"/>
      <c r="AG56" s="1830"/>
      <c r="AH56" s="1830"/>
      <c r="AI56" s="1830"/>
      <c r="AJ56" s="1830"/>
      <c r="AK56" s="3565"/>
      <c r="AL56" s="3593"/>
      <c r="AM56" s="3593"/>
      <c r="AN56" s="3585"/>
    </row>
    <row r="57" spans="1:40" ht="96.75" customHeight="1" x14ac:dyDescent="0.25">
      <c r="A57" s="3671"/>
      <c r="B57" s="3672"/>
      <c r="C57" s="3668"/>
      <c r="D57" s="3668"/>
      <c r="E57" s="3594"/>
      <c r="F57" s="3594"/>
      <c r="G57" s="3594">
        <v>30</v>
      </c>
      <c r="H57" s="3402" t="s">
        <v>1668</v>
      </c>
      <c r="I57" s="3402" t="s">
        <v>1669</v>
      </c>
      <c r="J57" s="3569">
        <v>1</v>
      </c>
      <c r="K57" s="3569" t="s">
        <v>1670</v>
      </c>
      <c r="L57" s="3569" t="s">
        <v>1671</v>
      </c>
      <c r="M57" s="3402" t="s">
        <v>1672</v>
      </c>
      <c r="N57" s="3572">
        <f>S57/O57</f>
        <v>1</v>
      </c>
      <c r="O57" s="3575">
        <v>22169913</v>
      </c>
      <c r="P57" s="3402" t="s">
        <v>1673</v>
      </c>
      <c r="Q57" s="1801" t="s">
        <v>1674</v>
      </c>
      <c r="R57" s="3520" t="s">
        <v>1675</v>
      </c>
      <c r="S57" s="3680">
        <v>22169913</v>
      </c>
      <c r="T57" s="3681">
        <v>20</v>
      </c>
      <c r="U57" s="3682" t="s">
        <v>1582</v>
      </c>
      <c r="V57" s="3683">
        <v>8</v>
      </c>
      <c r="W57" s="3645">
        <v>12</v>
      </c>
      <c r="X57" s="3645"/>
      <c r="Y57" s="3645"/>
      <c r="Z57" s="3645"/>
      <c r="AA57" s="3645"/>
      <c r="AB57" s="3645"/>
      <c r="AC57" s="3645"/>
      <c r="AD57" s="3645"/>
      <c r="AE57" s="3645"/>
      <c r="AF57" s="3645"/>
      <c r="AG57" s="3645"/>
      <c r="AH57" s="3645"/>
      <c r="AI57" s="3645"/>
      <c r="AJ57" s="3645"/>
      <c r="AK57" s="3645">
        <f>+V57+W57</f>
        <v>20</v>
      </c>
      <c r="AL57" s="3591">
        <v>43101</v>
      </c>
      <c r="AM57" s="3591">
        <v>43465</v>
      </c>
      <c r="AN57" s="3583" t="s">
        <v>1617</v>
      </c>
    </row>
    <row r="58" spans="1:40" ht="80.25" customHeight="1" x14ac:dyDescent="0.25">
      <c r="A58" s="3671"/>
      <c r="B58" s="3672"/>
      <c r="C58" s="3668"/>
      <c r="D58" s="3668"/>
      <c r="E58" s="3594"/>
      <c r="F58" s="3594"/>
      <c r="G58" s="3566"/>
      <c r="H58" s="3406"/>
      <c r="I58" s="3406"/>
      <c r="J58" s="3570"/>
      <c r="K58" s="3570"/>
      <c r="L58" s="3570"/>
      <c r="M58" s="3406"/>
      <c r="N58" s="3573"/>
      <c r="O58" s="3576"/>
      <c r="P58" s="3406"/>
      <c r="Q58" s="1801" t="s">
        <v>1676</v>
      </c>
      <c r="R58" s="3517"/>
      <c r="S58" s="3680"/>
      <c r="T58" s="3681"/>
      <c r="U58" s="3682"/>
      <c r="V58" s="3684"/>
      <c r="W58" s="3646"/>
      <c r="X58" s="3646"/>
      <c r="Y58" s="3646"/>
      <c r="Z58" s="3646"/>
      <c r="AA58" s="3646"/>
      <c r="AB58" s="3646"/>
      <c r="AC58" s="3646"/>
      <c r="AD58" s="3646"/>
      <c r="AE58" s="3646"/>
      <c r="AF58" s="3646"/>
      <c r="AG58" s="3646"/>
      <c r="AH58" s="3646"/>
      <c r="AI58" s="3646"/>
      <c r="AJ58" s="3646"/>
      <c r="AK58" s="3646"/>
      <c r="AL58" s="3592"/>
      <c r="AM58" s="3592"/>
      <c r="AN58" s="3584"/>
    </row>
    <row r="59" spans="1:40" ht="15" x14ac:dyDescent="0.25">
      <c r="A59" s="3671"/>
      <c r="B59" s="3672"/>
      <c r="C59" s="3668"/>
      <c r="D59" s="3668"/>
      <c r="E59" s="665">
        <v>6</v>
      </c>
      <c r="F59" s="1915" t="s">
        <v>1677</v>
      </c>
      <c r="G59" s="1916"/>
      <c r="H59" s="1916"/>
      <c r="I59" s="1916"/>
      <c r="J59" s="1916"/>
      <c r="K59" s="1916"/>
      <c r="L59" s="1916"/>
      <c r="M59" s="1916"/>
      <c r="N59" s="1916"/>
      <c r="O59" s="2433"/>
      <c r="P59" s="1916"/>
      <c r="Q59" s="1916"/>
      <c r="R59" s="1916"/>
      <c r="S59" s="2464"/>
      <c r="T59" s="1916"/>
      <c r="U59" s="1916"/>
      <c r="V59" s="1916"/>
      <c r="W59" s="1916"/>
      <c r="X59" s="1916"/>
      <c r="Y59" s="1916"/>
      <c r="Z59" s="1916"/>
      <c r="AA59" s="1916"/>
      <c r="AB59" s="1916"/>
      <c r="AC59" s="1916"/>
      <c r="AD59" s="1916"/>
      <c r="AE59" s="1916"/>
      <c r="AF59" s="1916"/>
      <c r="AG59" s="1916"/>
      <c r="AH59" s="1916"/>
      <c r="AI59" s="1916"/>
      <c r="AJ59" s="1916"/>
      <c r="AK59" s="1916"/>
      <c r="AL59" s="1916"/>
      <c r="AM59" s="1916"/>
      <c r="AN59" s="1917"/>
    </row>
    <row r="60" spans="1:40" ht="114" x14ac:dyDescent="0.25">
      <c r="A60" s="3671"/>
      <c r="B60" s="3672"/>
      <c r="C60" s="3668"/>
      <c r="D60" s="3668"/>
      <c r="E60" s="3594"/>
      <c r="F60" s="3594"/>
      <c r="G60" s="1815">
        <v>31</v>
      </c>
      <c r="H60" s="1809" t="s">
        <v>1678</v>
      </c>
      <c r="I60" s="1768" t="s">
        <v>1679</v>
      </c>
      <c r="J60" s="780">
        <v>4</v>
      </c>
      <c r="K60" s="3569" t="s">
        <v>1680</v>
      </c>
      <c r="L60" s="3569" t="s">
        <v>1681</v>
      </c>
      <c r="M60" s="3402" t="s">
        <v>1682</v>
      </c>
      <c r="N60" s="1828">
        <f>S60/O60</f>
        <v>0.23406268389278892</v>
      </c>
      <c r="O60" s="3575">
        <v>475120588</v>
      </c>
      <c r="P60" s="3389" t="s">
        <v>1683</v>
      </c>
      <c r="Q60" s="1809" t="s">
        <v>1684</v>
      </c>
      <c r="R60" s="855" t="s">
        <v>1685</v>
      </c>
      <c r="S60" s="2455">
        <f>164708000-50000000-3500000</f>
        <v>111208000</v>
      </c>
      <c r="T60" s="1562">
        <v>20</v>
      </c>
      <c r="U60" s="1767" t="s">
        <v>1582</v>
      </c>
      <c r="V60" s="3566">
        <v>170</v>
      </c>
      <c r="W60" s="3566">
        <v>200</v>
      </c>
      <c r="X60" s="3566"/>
      <c r="Y60" s="3566"/>
      <c r="Z60" s="3566">
        <v>300</v>
      </c>
      <c r="AA60" s="3566">
        <v>10</v>
      </c>
      <c r="AB60" s="3566"/>
      <c r="AC60" s="3566"/>
      <c r="AD60" s="3566"/>
      <c r="AE60" s="3566"/>
      <c r="AF60" s="3566"/>
      <c r="AG60" s="3566"/>
      <c r="AH60" s="3566"/>
      <c r="AI60" s="3566"/>
      <c r="AJ60" s="3566"/>
      <c r="AK60" s="3566">
        <f>V60+W60</f>
        <v>370</v>
      </c>
      <c r="AL60" s="3591">
        <v>43466</v>
      </c>
      <c r="AM60" s="3591">
        <v>43830</v>
      </c>
      <c r="AN60" s="3583" t="s">
        <v>1665</v>
      </c>
    </row>
    <row r="61" spans="1:40" ht="128.25" x14ac:dyDescent="0.25">
      <c r="A61" s="3671"/>
      <c r="B61" s="3672"/>
      <c r="C61" s="3668"/>
      <c r="D61" s="3668"/>
      <c r="E61" s="3594"/>
      <c r="F61" s="3594"/>
      <c r="G61" s="1815">
        <v>32</v>
      </c>
      <c r="H61" s="1809" t="s">
        <v>1686</v>
      </c>
      <c r="I61" s="1768" t="s">
        <v>1687</v>
      </c>
      <c r="J61" s="748">
        <v>25</v>
      </c>
      <c r="K61" s="3570"/>
      <c r="L61" s="3570"/>
      <c r="M61" s="3406"/>
      <c r="N61" s="1828">
        <f>S61/O60</f>
        <v>0.63965358621756885</v>
      </c>
      <c r="O61" s="3576"/>
      <c r="P61" s="3605"/>
      <c r="Q61" s="1809" t="s">
        <v>1688</v>
      </c>
      <c r="R61" s="855" t="s">
        <v>1689</v>
      </c>
      <c r="S61" s="2455">
        <f>250412588+50000000+3500000</f>
        <v>303912588</v>
      </c>
      <c r="T61" s="1562">
        <v>20</v>
      </c>
      <c r="U61" s="1767" t="s">
        <v>1582</v>
      </c>
      <c r="V61" s="3567"/>
      <c r="W61" s="3567"/>
      <c r="X61" s="3567"/>
      <c r="Y61" s="3567"/>
      <c r="Z61" s="3567"/>
      <c r="AA61" s="3567"/>
      <c r="AB61" s="3567"/>
      <c r="AC61" s="3567"/>
      <c r="AD61" s="3567"/>
      <c r="AE61" s="3567"/>
      <c r="AF61" s="3567"/>
      <c r="AG61" s="3567"/>
      <c r="AH61" s="3567"/>
      <c r="AI61" s="3567"/>
      <c r="AJ61" s="3567"/>
      <c r="AK61" s="3567"/>
      <c r="AL61" s="3592"/>
      <c r="AM61" s="3592"/>
      <c r="AN61" s="3584"/>
    </row>
    <row r="62" spans="1:40" ht="52.5" customHeight="1" x14ac:dyDescent="0.25">
      <c r="A62" s="3671"/>
      <c r="B62" s="3672"/>
      <c r="C62" s="3668"/>
      <c r="D62" s="3668"/>
      <c r="E62" s="3594"/>
      <c r="F62" s="3594"/>
      <c r="G62" s="1815">
        <v>33</v>
      </c>
      <c r="H62" s="1809" t="s">
        <v>1690</v>
      </c>
      <c r="I62" s="1768" t="s">
        <v>1691</v>
      </c>
      <c r="J62" s="748">
        <v>200</v>
      </c>
      <c r="K62" s="3570"/>
      <c r="L62" s="3570"/>
      <c r="M62" s="3406"/>
      <c r="N62" s="1828">
        <f>S62/O60</f>
        <v>6.314186494482113E-2</v>
      </c>
      <c r="O62" s="3576"/>
      <c r="P62" s="3605"/>
      <c r="Q62" s="3402" t="s">
        <v>1692</v>
      </c>
      <c r="R62" s="855" t="s">
        <v>1693</v>
      </c>
      <c r="S62" s="2455">
        <v>30000000</v>
      </c>
      <c r="T62" s="1562">
        <v>20</v>
      </c>
      <c r="U62" s="1767" t="s">
        <v>1582</v>
      </c>
      <c r="V62" s="3567"/>
      <c r="W62" s="3567"/>
      <c r="X62" s="3567"/>
      <c r="Y62" s="3567"/>
      <c r="Z62" s="3567"/>
      <c r="AA62" s="3567"/>
      <c r="AB62" s="3567"/>
      <c r="AC62" s="3567"/>
      <c r="AD62" s="3567"/>
      <c r="AE62" s="3567"/>
      <c r="AF62" s="3567"/>
      <c r="AG62" s="3567"/>
      <c r="AH62" s="3567"/>
      <c r="AI62" s="3567"/>
      <c r="AJ62" s="3567"/>
      <c r="AK62" s="3567"/>
      <c r="AL62" s="3592"/>
      <c r="AM62" s="3592"/>
      <c r="AN62" s="3584"/>
    </row>
    <row r="63" spans="1:40" ht="113.25" customHeight="1" x14ac:dyDescent="0.25">
      <c r="A63" s="3671"/>
      <c r="B63" s="3672"/>
      <c r="C63" s="3668"/>
      <c r="D63" s="3668"/>
      <c r="E63" s="3594"/>
      <c r="F63" s="3594"/>
      <c r="G63" s="1812">
        <v>34</v>
      </c>
      <c r="H63" s="1801" t="s">
        <v>1694</v>
      </c>
      <c r="I63" s="1766" t="s">
        <v>1695</v>
      </c>
      <c r="J63" s="781">
        <v>600</v>
      </c>
      <c r="K63" s="3570"/>
      <c r="L63" s="3570"/>
      <c r="M63" s="3403"/>
      <c r="N63" s="1814">
        <f>S63/O60</f>
        <v>6.314186494482113E-2</v>
      </c>
      <c r="O63" s="3576"/>
      <c r="P63" s="3426"/>
      <c r="Q63" s="3403"/>
      <c r="R63" s="2442" t="s">
        <v>1696</v>
      </c>
      <c r="S63" s="2455">
        <v>30000000</v>
      </c>
      <c r="T63" s="1667">
        <v>20</v>
      </c>
      <c r="U63" s="1803" t="s">
        <v>1582</v>
      </c>
      <c r="V63" s="3567"/>
      <c r="W63" s="3567"/>
      <c r="X63" s="3567"/>
      <c r="Y63" s="3567"/>
      <c r="Z63" s="3567"/>
      <c r="AA63" s="3567"/>
      <c r="AB63" s="3567"/>
      <c r="AC63" s="3567"/>
      <c r="AD63" s="3567"/>
      <c r="AE63" s="3567"/>
      <c r="AF63" s="3567"/>
      <c r="AG63" s="3567"/>
      <c r="AH63" s="3567"/>
      <c r="AI63" s="3567"/>
      <c r="AJ63" s="3567"/>
      <c r="AK63" s="3567"/>
      <c r="AL63" s="3592"/>
      <c r="AM63" s="3592"/>
      <c r="AN63" s="3585"/>
    </row>
    <row r="64" spans="1:40" ht="15" x14ac:dyDescent="0.25">
      <c r="A64" s="3671"/>
      <c r="B64" s="3672"/>
      <c r="C64" s="3668"/>
      <c r="D64" s="3668"/>
      <c r="E64" s="665">
        <v>7</v>
      </c>
      <c r="F64" s="663" t="s">
        <v>1697</v>
      </c>
      <c r="G64" s="665"/>
      <c r="H64" s="782"/>
      <c r="I64" s="717"/>
      <c r="J64" s="775"/>
      <c r="K64" s="775"/>
      <c r="L64" s="774"/>
      <c r="M64" s="953"/>
      <c r="N64" s="772"/>
      <c r="O64" s="2432"/>
      <c r="P64" s="771"/>
      <c r="Q64" s="771"/>
      <c r="R64" s="771"/>
      <c r="S64" s="2456"/>
      <c r="T64" s="773"/>
      <c r="U64" s="774"/>
      <c r="V64" s="775"/>
      <c r="W64" s="775"/>
      <c r="X64" s="775"/>
      <c r="Y64" s="775"/>
      <c r="Z64" s="775"/>
      <c r="AA64" s="775"/>
      <c r="AB64" s="775"/>
      <c r="AC64" s="775"/>
      <c r="AD64" s="775"/>
      <c r="AE64" s="775"/>
      <c r="AF64" s="775"/>
      <c r="AG64" s="775"/>
      <c r="AH64" s="775"/>
      <c r="AI64" s="775"/>
      <c r="AJ64" s="775"/>
      <c r="AK64" s="775"/>
      <c r="AL64" s="776"/>
      <c r="AM64" s="777"/>
      <c r="AN64" s="778"/>
    </row>
    <row r="65" spans="1:40" ht="56.25" customHeight="1" x14ac:dyDescent="0.25">
      <c r="A65" s="3671"/>
      <c r="B65" s="3672"/>
      <c r="C65" s="3668"/>
      <c r="D65" s="3668"/>
      <c r="E65" s="3675"/>
      <c r="F65" s="3676"/>
      <c r="G65" s="1815">
        <v>35</v>
      </c>
      <c r="H65" s="1809" t="s">
        <v>1698</v>
      </c>
      <c r="I65" s="1809" t="s">
        <v>1646</v>
      </c>
      <c r="J65" s="783">
        <v>5</v>
      </c>
      <c r="K65" s="3569" t="s">
        <v>1699</v>
      </c>
      <c r="L65" s="3569" t="s">
        <v>1700</v>
      </c>
      <c r="M65" s="3402" t="s">
        <v>1701</v>
      </c>
      <c r="N65" s="1828">
        <f>S65/O65</f>
        <v>0.2509712330108983</v>
      </c>
      <c r="O65" s="3575">
        <v>197966912</v>
      </c>
      <c r="P65" s="3389" t="s">
        <v>1702</v>
      </c>
      <c r="Q65" s="624" t="s">
        <v>1703</v>
      </c>
      <c r="R65" s="2445" t="s">
        <v>1704</v>
      </c>
      <c r="S65" s="2458">
        <f>69684000-20000000</f>
        <v>49684000</v>
      </c>
      <c r="T65" s="1562">
        <v>20</v>
      </c>
      <c r="U65" s="1767" t="s">
        <v>1582</v>
      </c>
      <c r="V65" s="3665">
        <v>100</v>
      </c>
      <c r="W65" s="3665">
        <v>60</v>
      </c>
      <c r="X65" s="3665"/>
      <c r="Y65" s="3665"/>
      <c r="Z65" s="3665">
        <v>110</v>
      </c>
      <c r="AA65" s="3665">
        <v>50</v>
      </c>
      <c r="AB65" s="3665"/>
      <c r="AC65" s="3665"/>
      <c r="AD65" s="3665"/>
      <c r="AE65" s="3665"/>
      <c r="AF65" s="3665"/>
      <c r="AG65" s="3665"/>
      <c r="AH65" s="3665"/>
      <c r="AI65" s="3665"/>
      <c r="AJ65" s="3665"/>
      <c r="AK65" s="3665">
        <f>V65+W65</f>
        <v>160</v>
      </c>
      <c r="AL65" s="3591">
        <v>43466</v>
      </c>
      <c r="AM65" s="3591">
        <v>43830</v>
      </c>
      <c r="AN65" s="3583" t="s">
        <v>1665</v>
      </c>
    </row>
    <row r="66" spans="1:40" ht="57" x14ac:dyDescent="0.25">
      <c r="A66" s="3673"/>
      <c r="B66" s="3674"/>
      <c r="C66" s="3668"/>
      <c r="D66" s="3668"/>
      <c r="E66" s="3677"/>
      <c r="F66" s="3678"/>
      <c r="G66" s="1815">
        <v>37</v>
      </c>
      <c r="H66" s="1809" t="s">
        <v>1705</v>
      </c>
      <c r="I66" s="1809" t="s">
        <v>1706</v>
      </c>
      <c r="J66" s="784">
        <v>1</v>
      </c>
      <c r="K66" s="3571"/>
      <c r="L66" s="3571"/>
      <c r="M66" s="3403"/>
      <c r="N66" s="1828">
        <f>S66/O65</f>
        <v>0.7490287669891017</v>
      </c>
      <c r="O66" s="3577"/>
      <c r="P66" s="3426"/>
      <c r="Q66" s="1809" t="s">
        <v>1707</v>
      </c>
      <c r="R66" s="2445" t="s">
        <v>1708</v>
      </c>
      <c r="S66" s="2458">
        <f>128282912+20000000</f>
        <v>148282912</v>
      </c>
      <c r="T66" s="1562">
        <v>20</v>
      </c>
      <c r="U66" s="1767" t="s">
        <v>1582</v>
      </c>
      <c r="V66" s="3666"/>
      <c r="W66" s="3666"/>
      <c r="X66" s="3666"/>
      <c r="Y66" s="3666"/>
      <c r="Z66" s="3666"/>
      <c r="AA66" s="3666"/>
      <c r="AB66" s="3666"/>
      <c r="AC66" s="3666"/>
      <c r="AD66" s="3666"/>
      <c r="AE66" s="3666"/>
      <c r="AF66" s="3666"/>
      <c r="AG66" s="3666"/>
      <c r="AH66" s="3666"/>
      <c r="AI66" s="3666"/>
      <c r="AJ66" s="3666"/>
      <c r="AK66" s="3666"/>
      <c r="AL66" s="3593"/>
      <c r="AM66" s="3593"/>
      <c r="AN66" s="3585"/>
    </row>
    <row r="67" spans="1:40" ht="15" x14ac:dyDescent="0.25">
      <c r="A67" s="785">
        <v>3</v>
      </c>
      <c r="B67" s="652" t="s">
        <v>1709</v>
      </c>
      <c r="C67" s="786"/>
      <c r="D67" s="786"/>
      <c r="E67" s="787"/>
      <c r="F67" s="788"/>
      <c r="G67" s="789"/>
      <c r="H67" s="790"/>
      <c r="I67" s="788"/>
      <c r="J67" s="788"/>
      <c r="K67" s="788"/>
      <c r="L67" s="789"/>
      <c r="M67" s="790"/>
      <c r="N67" s="791"/>
      <c r="O67" s="2434"/>
      <c r="P67" s="790"/>
      <c r="Q67" s="790"/>
      <c r="R67" s="790"/>
      <c r="S67" s="2460"/>
      <c r="T67" s="792"/>
      <c r="U67" s="789"/>
      <c r="V67" s="788"/>
      <c r="W67" s="788"/>
      <c r="X67" s="788"/>
      <c r="Y67" s="788"/>
      <c r="Z67" s="788"/>
      <c r="AA67" s="788"/>
      <c r="AB67" s="788"/>
      <c r="AC67" s="788"/>
      <c r="AD67" s="788"/>
      <c r="AE67" s="788"/>
      <c r="AF67" s="788"/>
      <c r="AG67" s="788"/>
      <c r="AH67" s="788"/>
      <c r="AI67" s="788"/>
      <c r="AJ67" s="788"/>
      <c r="AK67" s="788"/>
      <c r="AL67" s="793"/>
      <c r="AM67" s="794"/>
      <c r="AN67" s="795"/>
    </row>
    <row r="68" spans="1:40" ht="21" customHeight="1" x14ac:dyDescent="0.25">
      <c r="A68" s="3668"/>
      <c r="B68" s="3668"/>
      <c r="C68" s="796">
        <v>11</v>
      </c>
      <c r="D68" s="797" t="s">
        <v>166</v>
      </c>
      <c r="E68" s="798"/>
      <c r="F68" s="797"/>
      <c r="G68" s="799"/>
      <c r="H68" s="800"/>
      <c r="I68" s="801"/>
      <c r="J68" s="801"/>
      <c r="K68" s="801"/>
      <c r="L68" s="799"/>
      <c r="M68" s="800"/>
      <c r="N68" s="802"/>
      <c r="O68" s="2435"/>
      <c r="P68" s="800"/>
      <c r="Q68" s="800"/>
      <c r="R68" s="800"/>
      <c r="S68" s="2465"/>
      <c r="T68" s="803"/>
      <c r="U68" s="799"/>
      <c r="V68" s="801"/>
      <c r="W68" s="801"/>
      <c r="X68" s="801"/>
      <c r="Y68" s="801"/>
      <c r="Z68" s="801"/>
      <c r="AA68" s="801"/>
      <c r="AB68" s="801"/>
      <c r="AC68" s="801"/>
      <c r="AD68" s="801"/>
      <c r="AE68" s="801"/>
      <c r="AF68" s="801"/>
      <c r="AG68" s="801"/>
      <c r="AH68" s="801"/>
      <c r="AI68" s="801"/>
      <c r="AJ68" s="801"/>
      <c r="AK68" s="801"/>
      <c r="AL68" s="804"/>
      <c r="AM68" s="805"/>
      <c r="AN68" s="806"/>
    </row>
    <row r="69" spans="1:40" ht="22.5" customHeight="1" x14ac:dyDescent="0.25">
      <c r="A69" s="3668"/>
      <c r="B69" s="3668"/>
      <c r="C69" s="3594"/>
      <c r="D69" s="3594"/>
      <c r="E69" s="807">
        <v>34</v>
      </c>
      <c r="F69" s="717" t="s">
        <v>1710</v>
      </c>
      <c r="G69" s="774"/>
      <c r="H69" s="771"/>
      <c r="I69" s="775"/>
      <c r="J69" s="775"/>
      <c r="K69" s="775"/>
      <c r="L69" s="774"/>
      <c r="M69" s="771"/>
      <c r="N69" s="772"/>
      <c r="O69" s="2432"/>
      <c r="P69" s="771"/>
      <c r="Q69" s="771"/>
      <c r="R69" s="771"/>
      <c r="S69" s="2456"/>
      <c r="T69" s="773"/>
      <c r="U69" s="774"/>
      <c r="V69" s="775"/>
      <c r="W69" s="775"/>
      <c r="X69" s="775"/>
      <c r="Y69" s="775"/>
      <c r="Z69" s="775"/>
      <c r="AA69" s="775"/>
      <c r="AB69" s="775"/>
      <c r="AC69" s="775"/>
      <c r="AD69" s="775"/>
      <c r="AE69" s="775"/>
      <c r="AF69" s="775"/>
      <c r="AG69" s="775"/>
      <c r="AH69" s="775"/>
      <c r="AI69" s="775"/>
      <c r="AJ69" s="775"/>
      <c r="AK69" s="775"/>
      <c r="AL69" s="776"/>
      <c r="AM69" s="777"/>
      <c r="AN69" s="778"/>
    </row>
    <row r="70" spans="1:40" ht="45" x14ac:dyDescent="0.25">
      <c r="A70" s="3668"/>
      <c r="B70" s="3668"/>
      <c r="C70" s="3594"/>
      <c r="D70" s="3594"/>
      <c r="E70" s="3594"/>
      <c r="F70" s="3594"/>
      <c r="G70" s="1815">
        <v>122</v>
      </c>
      <c r="H70" s="1809" t="s">
        <v>1711</v>
      </c>
      <c r="I70" s="1766" t="s">
        <v>1712</v>
      </c>
      <c r="J70" s="784">
        <v>1</v>
      </c>
      <c r="K70" s="3569" t="s">
        <v>1713</v>
      </c>
      <c r="L70" s="3569" t="s">
        <v>1714</v>
      </c>
      <c r="M70" s="3402" t="s">
        <v>1715</v>
      </c>
      <c r="N70" s="1828">
        <f>S70/O70</f>
        <v>0.24602162822149062</v>
      </c>
      <c r="O70" s="3575">
        <v>168373530</v>
      </c>
      <c r="P70" s="3389" t="s">
        <v>1716</v>
      </c>
      <c r="Q70" s="1774" t="s">
        <v>1717</v>
      </c>
      <c r="R70" s="855" t="s">
        <v>1718</v>
      </c>
      <c r="S70" s="2455">
        <v>41423530</v>
      </c>
      <c r="T70" s="1562">
        <v>20</v>
      </c>
      <c r="U70" s="1767" t="s">
        <v>1582</v>
      </c>
      <c r="V70" s="3566">
        <v>4608</v>
      </c>
      <c r="W70" s="3566">
        <v>4992</v>
      </c>
      <c r="X70" s="3566">
        <v>2714</v>
      </c>
      <c r="Y70" s="3566">
        <v>765</v>
      </c>
      <c r="Z70" s="3566">
        <v>5500</v>
      </c>
      <c r="AA70" s="3566">
        <v>594</v>
      </c>
      <c r="AB70" s="3566">
        <v>40</v>
      </c>
      <c r="AC70" s="3566">
        <v>50</v>
      </c>
      <c r="AD70" s="3566"/>
      <c r="AE70" s="3566"/>
      <c r="AF70" s="3566"/>
      <c r="AG70" s="3566"/>
      <c r="AH70" s="3566">
        <v>100</v>
      </c>
      <c r="AI70" s="3566">
        <v>10</v>
      </c>
      <c r="AJ70" s="3566"/>
      <c r="AK70" s="3566">
        <f>V70+W70</f>
        <v>9600</v>
      </c>
      <c r="AL70" s="3591">
        <v>43466</v>
      </c>
      <c r="AM70" s="3591">
        <v>43830</v>
      </c>
      <c r="AN70" s="3583" t="s">
        <v>1617</v>
      </c>
    </row>
    <row r="71" spans="1:40" ht="84.75" customHeight="1" x14ac:dyDescent="0.25">
      <c r="A71" s="3668"/>
      <c r="B71" s="3668"/>
      <c r="C71" s="3594"/>
      <c r="D71" s="3594"/>
      <c r="E71" s="3594"/>
      <c r="F71" s="3594"/>
      <c r="G71" s="1815">
        <v>123</v>
      </c>
      <c r="H71" s="1809" t="s">
        <v>1719</v>
      </c>
      <c r="I71" s="1768" t="s">
        <v>1720</v>
      </c>
      <c r="J71" s="1835">
        <v>4</v>
      </c>
      <c r="K71" s="3570"/>
      <c r="L71" s="3570"/>
      <c r="M71" s="3406"/>
      <c r="N71" s="1828">
        <f>S71/O70</f>
        <v>0.11225042321082179</v>
      </c>
      <c r="O71" s="3576"/>
      <c r="P71" s="3605"/>
      <c r="Q71" s="1769" t="s">
        <v>1721</v>
      </c>
      <c r="R71" s="855" t="s">
        <v>1722</v>
      </c>
      <c r="S71" s="2455">
        <f>19000000-100000</f>
        <v>18900000</v>
      </c>
      <c r="T71" s="1562">
        <v>20</v>
      </c>
      <c r="U71" s="1767" t="s">
        <v>1582</v>
      </c>
      <c r="V71" s="3567"/>
      <c r="W71" s="3567"/>
      <c r="X71" s="3567"/>
      <c r="Y71" s="3567"/>
      <c r="Z71" s="3567"/>
      <c r="AA71" s="3567"/>
      <c r="AB71" s="3567"/>
      <c r="AC71" s="3567"/>
      <c r="AD71" s="3567"/>
      <c r="AE71" s="3567"/>
      <c r="AF71" s="3567"/>
      <c r="AG71" s="3567"/>
      <c r="AH71" s="3567"/>
      <c r="AI71" s="3567"/>
      <c r="AJ71" s="3567"/>
      <c r="AK71" s="3567"/>
      <c r="AL71" s="3592"/>
      <c r="AM71" s="3592"/>
      <c r="AN71" s="3584"/>
    </row>
    <row r="72" spans="1:40" ht="84.75" customHeight="1" x14ac:dyDescent="0.25">
      <c r="A72" s="3668"/>
      <c r="B72" s="3668"/>
      <c r="C72" s="3594"/>
      <c r="D72" s="3594"/>
      <c r="E72" s="3594"/>
      <c r="F72" s="3594"/>
      <c r="G72" s="1815">
        <v>124</v>
      </c>
      <c r="H72" s="1809" t="s">
        <v>1723</v>
      </c>
      <c r="I72" s="1766" t="s">
        <v>1724</v>
      </c>
      <c r="J72" s="1835">
        <v>150</v>
      </c>
      <c r="K72" s="3570"/>
      <c r="L72" s="3570"/>
      <c r="M72" s="3406"/>
      <c r="N72" s="1828">
        <f>S72/O70</f>
        <v>0.26340244811639929</v>
      </c>
      <c r="O72" s="3576"/>
      <c r="P72" s="3605"/>
      <c r="Q72" s="1766" t="s">
        <v>1721</v>
      </c>
      <c r="R72" s="855" t="s">
        <v>1725</v>
      </c>
      <c r="S72" s="2455">
        <v>44350000</v>
      </c>
      <c r="T72" s="1562">
        <v>20</v>
      </c>
      <c r="U72" s="1767" t="s">
        <v>1582</v>
      </c>
      <c r="V72" s="3567"/>
      <c r="W72" s="3567"/>
      <c r="X72" s="3567"/>
      <c r="Y72" s="3567"/>
      <c r="Z72" s="3567"/>
      <c r="AA72" s="3567"/>
      <c r="AB72" s="3567"/>
      <c r="AC72" s="3567"/>
      <c r="AD72" s="3567"/>
      <c r="AE72" s="3567"/>
      <c r="AF72" s="3567"/>
      <c r="AG72" s="3567"/>
      <c r="AH72" s="3567"/>
      <c r="AI72" s="3567"/>
      <c r="AJ72" s="3567"/>
      <c r="AK72" s="3567"/>
      <c r="AL72" s="3592"/>
      <c r="AM72" s="3592"/>
      <c r="AN72" s="3584"/>
    </row>
    <row r="73" spans="1:40" ht="84.75" customHeight="1" x14ac:dyDescent="0.25">
      <c r="A73" s="3668"/>
      <c r="B73" s="3668"/>
      <c r="C73" s="3594"/>
      <c r="D73" s="3594"/>
      <c r="E73" s="3594"/>
      <c r="F73" s="3594"/>
      <c r="G73" s="1815">
        <v>125</v>
      </c>
      <c r="H73" s="1809" t="s">
        <v>1726</v>
      </c>
      <c r="I73" s="1768" t="s">
        <v>1727</v>
      </c>
      <c r="J73" s="808">
        <v>760</v>
      </c>
      <c r="K73" s="3570"/>
      <c r="L73" s="3570"/>
      <c r="M73" s="3406"/>
      <c r="N73" s="1828">
        <f>S73/O70</f>
        <v>0.2619176541585842</v>
      </c>
      <c r="O73" s="3576"/>
      <c r="P73" s="3605"/>
      <c r="Q73" s="1768" t="s">
        <v>1728</v>
      </c>
      <c r="R73" s="855" t="s">
        <v>1729</v>
      </c>
      <c r="S73" s="2455">
        <v>44100000</v>
      </c>
      <c r="T73" s="1562">
        <v>20</v>
      </c>
      <c r="U73" s="1767" t="s">
        <v>1582</v>
      </c>
      <c r="V73" s="3567"/>
      <c r="W73" s="3567"/>
      <c r="X73" s="3567"/>
      <c r="Y73" s="3567"/>
      <c r="Z73" s="3567"/>
      <c r="AA73" s="3567"/>
      <c r="AB73" s="3567"/>
      <c r="AC73" s="3567"/>
      <c r="AD73" s="3567"/>
      <c r="AE73" s="3567"/>
      <c r="AF73" s="3567"/>
      <c r="AG73" s="3567"/>
      <c r="AH73" s="3567"/>
      <c r="AI73" s="3567"/>
      <c r="AJ73" s="3567"/>
      <c r="AK73" s="3567"/>
      <c r="AL73" s="3592"/>
      <c r="AM73" s="3592"/>
      <c r="AN73" s="3584"/>
    </row>
    <row r="74" spans="1:40" ht="60" x14ac:dyDescent="0.25">
      <c r="A74" s="3668"/>
      <c r="B74" s="3668"/>
      <c r="C74" s="3594"/>
      <c r="D74" s="3594"/>
      <c r="E74" s="3594"/>
      <c r="F74" s="3594"/>
      <c r="G74" s="1815">
        <v>126</v>
      </c>
      <c r="H74" s="1809" t="s">
        <v>1730</v>
      </c>
      <c r="I74" s="1768" t="s">
        <v>1731</v>
      </c>
      <c r="J74" s="1835">
        <v>3326</v>
      </c>
      <c r="K74" s="3571"/>
      <c r="L74" s="3571"/>
      <c r="M74" s="3403"/>
      <c r="N74" s="1828">
        <f>S74/O70</f>
        <v>0.11640784629270408</v>
      </c>
      <c r="O74" s="3577"/>
      <c r="P74" s="3426"/>
      <c r="Q74" s="1768" t="s">
        <v>1732</v>
      </c>
      <c r="R74" s="855" t="s">
        <v>1733</v>
      </c>
      <c r="S74" s="2455">
        <f>19500000+100000</f>
        <v>19600000</v>
      </c>
      <c r="T74" s="1562">
        <v>20</v>
      </c>
      <c r="U74" s="1767" t="s">
        <v>1582</v>
      </c>
      <c r="V74" s="3568"/>
      <c r="W74" s="3568"/>
      <c r="X74" s="3568"/>
      <c r="Y74" s="3568"/>
      <c r="Z74" s="3568"/>
      <c r="AA74" s="3568"/>
      <c r="AB74" s="3568"/>
      <c r="AC74" s="3568"/>
      <c r="AD74" s="3568"/>
      <c r="AE74" s="3568"/>
      <c r="AF74" s="3568"/>
      <c r="AG74" s="3568"/>
      <c r="AH74" s="3568"/>
      <c r="AI74" s="3568"/>
      <c r="AJ74" s="3568"/>
      <c r="AK74" s="3568"/>
      <c r="AL74" s="3593"/>
      <c r="AM74" s="3593"/>
      <c r="AN74" s="3585"/>
    </row>
    <row r="75" spans="1:40" ht="32.25" customHeight="1" x14ac:dyDescent="0.25">
      <c r="A75" s="3554" t="s">
        <v>945</v>
      </c>
      <c r="B75" s="3555"/>
      <c r="C75" s="3556"/>
      <c r="D75" s="3557"/>
      <c r="E75" s="3556"/>
      <c r="F75" s="3557"/>
      <c r="G75" s="1770"/>
      <c r="H75" s="1069"/>
      <c r="I75" s="1070"/>
      <c r="J75" s="1071"/>
      <c r="K75" s="1071"/>
      <c r="L75" s="1072"/>
      <c r="M75" s="1069"/>
      <c r="N75" s="1073"/>
      <c r="O75" s="2436">
        <f>SUM(O8:O74)</f>
        <v>3764794686</v>
      </c>
      <c r="P75" s="1069"/>
      <c r="Q75" s="1076"/>
      <c r="R75" s="2446"/>
      <c r="S75" s="2436">
        <f>SUM(S8:S74)</f>
        <v>3764794686</v>
      </c>
      <c r="T75" s="2452"/>
      <c r="U75" s="1072"/>
      <c r="V75" s="616"/>
      <c r="W75" s="616"/>
      <c r="X75" s="616"/>
      <c r="Y75" s="616"/>
      <c r="Z75" s="616"/>
      <c r="AA75" s="616"/>
      <c r="AB75" s="616"/>
      <c r="AC75" s="616"/>
      <c r="AD75" s="616"/>
      <c r="AE75" s="616"/>
      <c r="AF75" s="616"/>
      <c r="AG75" s="616"/>
      <c r="AH75" s="616"/>
      <c r="AI75" s="616"/>
      <c r="AJ75" s="616"/>
      <c r="AK75" s="616"/>
      <c r="AL75" s="1074"/>
      <c r="AM75" s="1075"/>
      <c r="AN75" s="816"/>
    </row>
    <row r="76" spans="1:40" ht="15" x14ac:dyDescent="0.25">
      <c r="I76" s="812"/>
      <c r="J76" s="697"/>
      <c r="L76" s="1811"/>
      <c r="S76" s="697"/>
      <c r="U76" s="1811"/>
    </row>
    <row r="77" spans="1:40" ht="15" x14ac:dyDescent="0.25">
      <c r="I77" s="812"/>
      <c r="L77" s="1811"/>
      <c r="U77" s="1811"/>
    </row>
    <row r="78" spans="1:40" ht="15" x14ac:dyDescent="0.25">
      <c r="I78" s="686"/>
      <c r="L78" s="1811"/>
      <c r="U78" s="1811"/>
      <c r="W78" s="813"/>
      <c r="X78" s="813"/>
      <c r="Y78" s="814"/>
      <c r="Z78" s="815"/>
      <c r="AA78" s="815"/>
      <c r="AB78" s="815"/>
      <c r="AC78" s="815"/>
      <c r="AD78" s="815"/>
    </row>
    <row r="79" spans="1:40" ht="15" x14ac:dyDescent="0.25">
      <c r="I79" s="686"/>
      <c r="L79" s="1811"/>
      <c r="U79" s="1811"/>
    </row>
    <row r="81" spans="8:21" x14ac:dyDescent="0.25">
      <c r="L81" s="1811"/>
      <c r="U81" s="1811"/>
    </row>
    <row r="82" spans="8:21" x14ac:dyDescent="0.25">
      <c r="L82" s="1811"/>
      <c r="U82" s="1811"/>
    </row>
    <row r="83" spans="8:21" x14ac:dyDescent="0.25">
      <c r="L83" s="1811"/>
      <c r="U83" s="1811"/>
    </row>
    <row r="84" spans="8:21" ht="15" x14ac:dyDescent="0.25">
      <c r="H84" s="3679" t="s">
        <v>1734</v>
      </c>
      <c r="I84" s="3679"/>
      <c r="J84" s="3679"/>
      <c r="L84" s="1811"/>
      <c r="U84" s="1811"/>
    </row>
    <row r="85" spans="8:21" x14ac:dyDescent="0.25">
      <c r="H85" s="696" t="s">
        <v>1735</v>
      </c>
      <c r="L85" s="1811"/>
      <c r="U85" s="1811"/>
    </row>
  </sheetData>
  <sheetProtection password="A60F" sheet="1" objects="1" scenarios="1"/>
  <mergeCells count="379">
    <mergeCell ref="H84:J84"/>
    <mergeCell ref="AI70:AI74"/>
    <mergeCell ref="AJ70:AJ74"/>
    <mergeCell ref="AK70:AK74"/>
    <mergeCell ref="AL70:AL74"/>
    <mergeCell ref="AM70:AM74"/>
    <mergeCell ref="AM60:AM63"/>
    <mergeCell ref="AA57:AA58"/>
    <mergeCell ref="AB57:AB58"/>
    <mergeCell ref="AC57:AC58"/>
    <mergeCell ref="Y60:Y63"/>
    <mergeCell ref="Z60:Z63"/>
    <mergeCell ref="AA60:AA63"/>
    <mergeCell ref="M57:M58"/>
    <mergeCell ref="N57:N58"/>
    <mergeCell ref="O57:O58"/>
    <mergeCell ref="P57:P58"/>
    <mergeCell ref="R57:R58"/>
    <mergeCell ref="S57:S58"/>
    <mergeCell ref="T57:T58"/>
    <mergeCell ref="U57:U58"/>
    <mergeCell ref="V57:V58"/>
    <mergeCell ref="W57:W58"/>
    <mergeCell ref="X57:X58"/>
    <mergeCell ref="AN70:AN74"/>
    <mergeCell ref="AI65:AI66"/>
    <mergeCell ref="AJ65:AJ66"/>
    <mergeCell ref="AK65:AK66"/>
    <mergeCell ref="AL65:AL66"/>
    <mergeCell ref="AM65:AM66"/>
    <mergeCell ref="AN65:AN66"/>
    <mergeCell ref="W70:W74"/>
    <mergeCell ref="X70:X74"/>
    <mergeCell ref="Y70:Y74"/>
    <mergeCell ref="Z70:Z74"/>
    <mergeCell ref="AA70:AA74"/>
    <mergeCell ref="AB70:AB74"/>
    <mergeCell ref="AC70:AC74"/>
    <mergeCell ref="AD70:AD74"/>
    <mergeCell ref="AE70:AE74"/>
    <mergeCell ref="AH65:AH66"/>
    <mergeCell ref="Y65:Y66"/>
    <mergeCell ref="Z65:Z66"/>
    <mergeCell ref="AA65:AA66"/>
    <mergeCell ref="AB65:AB66"/>
    <mergeCell ref="AD65:AD66"/>
    <mergeCell ref="AE65:AE66"/>
    <mergeCell ref="AF65:AF66"/>
    <mergeCell ref="W65:W66"/>
    <mergeCell ref="X65:X66"/>
    <mergeCell ref="A33:B66"/>
    <mergeCell ref="C34:D66"/>
    <mergeCell ref="E35:F43"/>
    <mergeCell ref="G35:G36"/>
    <mergeCell ref="E65:F66"/>
    <mergeCell ref="H35:H36"/>
    <mergeCell ref="I35:I36"/>
    <mergeCell ref="J35:J36"/>
    <mergeCell ref="A68:B74"/>
    <mergeCell ref="C69:D74"/>
    <mergeCell ref="E70:F74"/>
    <mergeCell ref="K70:K74"/>
    <mergeCell ref="L70:L74"/>
    <mergeCell ref="M70:M74"/>
    <mergeCell ref="O70:O74"/>
    <mergeCell ref="P70:P74"/>
    <mergeCell ref="V70:V74"/>
    <mergeCell ref="AC65:AC66"/>
    <mergeCell ref="K65:K66"/>
    <mergeCell ref="L65:L66"/>
    <mergeCell ref="AK19:AK20"/>
    <mergeCell ref="K45:K53"/>
    <mergeCell ref="L45:L53"/>
    <mergeCell ref="AH60:AH63"/>
    <mergeCell ref="AI60:AI63"/>
    <mergeCell ref="AJ60:AJ63"/>
    <mergeCell ref="Y35:Y43"/>
    <mergeCell ref="AE27:AE31"/>
    <mergeCell ref="AA19:AA20"/>
    <mergeCell ref="AB19:AB20"/>
    <mergeCell ref="V19:V20"/>
    <mergeCell ref="W19:W20"/>
    <mergeCell ref="X19:X20"/>
    <mergeCell ref="Y19:Y20"/>
    <mergeCell ref="Z19:Z20"/>
    <mergeCell ref="AJ19:AJ20"/>
    <mergeCell ref="AG65:AG66"/>
    <mergeCell ref="M65:M66"/>
    <mergeCell ref="O65:O66"/>
    <mergeCell ref="P65:P66"/>
    <mergeCell ref="V65:V66"/>
    <mergeCell ref="AM57:AM58"/>
    <mergeCell ref="AN57:AN58"/>
    <mergeCell ref="AH27:AH31"/>
    <mergeCell ref="AI27:AI31"/>
    <mergeCell ref="K35:K43"/>
    <mergeCell ref="L35:L43"/>
    <mergeCell ref="H37:H39"/>
    <mergeCell ref="I37:I39"/>
    <mergeCell ref="J37:J39"/>
    <mergeCell ref="AN19:AN20"/>
    <mergeCell ref="AM27:AM31"/>
    <mergeCell ref="AN27:AN31"/>
    <mergeCell ref="AM22:AM26"/>
    <mergeCell ref="AN22:AN26"/>
    <mergeCell ref="AJ22:AJ25"/>
    <mergeCell ref="AJ27:AJ31"/>
    <mergeCell ref="Y27:Y31"/>
    <mergeCell ref="Z27:Z31"/>
    <mergeCell ref="AA27:AA31"/>
    <mergeCell ref="AB27:AB31"/>
    <mergeCell ref="AC27:AC31"/>
    <mergeCell ref="AD27:AD31"/>
    <mergeCell ref="AM19:AM20"/>
    <mergeCell ref="AH22:AH25"/>
    <mergeCell ref="AC19:AC20"/>
    <mergeCell ref="AL12:AL17"/>
    <mergeCell ref="AM12:AM17"/>
    <mergeCell ref="Y12:Y17"/>
    <mergeCell ref="G57:G58"/>
    <mergeCell ref="K57:K58"/>
    <mergeCell ref="L57:L58"/>
    <mergeCell ref="G45:G50"/>
    <mergeCell ref="H45:H50"/>
    <mergeCell ref="G37:G39"/>
    <mergeCell ref="G40:G42"/>
    <mergeCell ref="H40:H42"/>
    <mergeCell ref="I40:I42"/>
    <mergeCell ref="J40:J42"/>
    <mergeCell ref="H57:H58"/>
    <mergeCell ref="I57:I58"/>
    <mergeCell ref="J57:J58"/>
    <mergeCell ref="AL19:AL20"/>
    <mergeCell ref="V35:V43"/>
    <mergeCell ref="Y57:Y58"/>
    <mergeCell ref="Z57:Z58"/>
    <mergeCell ref="AC45:AC53"/>
    <mergeCell ref="AD45:AD53"/>
    <mergeCell ref="W45:W53"/>
    <mergeCell ref="AI19:AI20"/>
    <mergeCell ref="V27:V31"/>
    <mergeCell ref="AL7:AL8"/>
    <mergeCell ref="X12:X17"/>
    <mergeCell ref="W27:W31"/>
    <mergeCell ref="AM7:AM8"/>
    <mergeCell ref="AN7:AN8"/>
    <mergeCell ref="B9:D9"/>
    <mergeCell ref="A10:B31"/>
    <mergeCell ref="C11:D31"/>
    <mergeCell ref="E12:F17"/>
    <mergeCell ref="G12:G13"/>
    <mergeCell ref="H12:H13"/>
    <mergeCell ref="I12:I13"/>
    <mergeCell ref="J12:J13"/>
    <mergeCell ref="K12:K17"/>
    <mergeCell ref="L12:L17"/>
    <mergeCell ref="M12:M17"/>
    <mergeCell ref="N12:N13"/>
    <mergeCell ref="O12:O17"/>
    <mergeCell ref="P12:P17"/>
    <mergeCell ref="Q12:Q14"/>
    <mergeCell ref="V12:V17"/>
    <mergeCell ref="AF60:AF63"/>
    <mergeCell ref="AG60:AG63"/>
    <mergeCell ref="M60:M63"/>
    <mergeCell ref="O60:O63"/>
    <mergeCell ref="P60:P63"/>
    <mergeCell ref="V60:V63"/>
    <mergeCell ref="A1:AL4"/>
    <mergeCell ref="AF70:AF74"/>
    <mergeCell ref="AG70:AG74"/>
    <mergeCell ref="AH70:AH74"/>
    <mergeCell ref="AD57:AD58"/>
    <mergeCell ref="AE57:AE58"/>
    <mergeCell ref="AF57:AF58"/>
    <mergeCell ref="AG57:AG58"/>
    <mergeCell ref="AH57:AH58"/>
    <mergeCell ref="AI57:AI58"/>
    <mergeCell ref="AJ57:AJ58"/>
    <mergeCell ref="AK57:AK58"/>
    <mergeCell ref="AL57:AL58"/>
    <mergeCell ref="M45:M53"/>
    <mergeCell ref="O45:O53"/>
    <mergeCell ref="P45:P53"/>
    <mergeCell ref="Q45:Q51"/>
    <mergeCell ref="V45:V53"/>
    <mergeCell ref="R55:R56"/>
    <mergeCell ref="V54:V56"/>
    <mergeCell ref="E60:F63"/>
    <mergeCell ref="K60:K63"/>
    <mergeCell ref="L60:L63"/>
    <mergeCell ref="AB60:AB63"/>
    <mergeCell ref="AC60:AC63"/>
    <mergeCell ref="AD60:AD63"/>
    <mergeCell ref="AE60:AE63"/>
    <mergeCell ref="AH19:AH20"/>
    <mergeCell ref="AD19:AD20"/>
    <mergeCell ref="AN60:AN63"/>
    <mergeCell ref="Q62:Q63"/>
    <mergeCell ref="AK60:AK63"/>
    <mergeCell ref="AL60:AL63"/>
    <mergeCell ref="X60:X63"/>
    <mergeCell ref="E45:F58"/>
    <mergeCell ref="AE45:AE53"/>
    <mergeCell ref="AF45:AF53"/>
    <mergeCell ref="W60:W63"/>
    <mergeCell ref="AG45:AG53"/>
    <mergeCell ref="AH45:AH53"/>
    <mergeCell ref="AI45:AI53"/>
    <mergeCell ref="R47:R48"/>
    <mergeCell ref="R49:R50"/>
    <mergeCell ref="AK45:AK53"/>
    <mergeCell ref="Y45:Y53"/>
    <mergeCell ref="X45:X53"/>
    <mergeCell ref="AB45:AB53"/>
    <mergeCell ref="AL54:AL56"/>
    <mergeCell ref="AN54:AN56"/>
    <mergeCell ref="AM54:AM56"/>
    <mergeCell ref="Q54:Q56"/>
    <mergeCell ref="AF27:AF31"/>
    <mergeCell ref="AG27:AG31"/>
    <mergeCell ref="AC22:AC25"/>
    <mergeCell ref="AD22:AD25"/>
    <mergeCell ref="AE22:AE25"/>
    <mergeCell ref="AF22:AF25"/>
    <mergeCell ref="AG22:AG25"/>
    <mergeCell ref="AE19:AE20"/>
    <mergeCell ref="AF19:AF20"/>
    <mergeCell ref="AG19:AG20"/>
    <mergeCell ref="Q15:Q17"/>
    <mergeCell ref="AA12:AA17"/>
    <mergeCell ref="A5:J6"/>
    <mergeCell ref="A7:A8"/>
    <mergeCell ref="B7:B8"/>
    <mergeCell ref="C7:C8"/>
    <mergeCell ref="D7:D8"/>
    <mergeCell ref="E7:E8"/>
    <mergeCell ref="F7:F8"/>
    <mergeCell ref="G7:G8"/>
    <mergeCell ref="H7:H8"/>
    <mergeCell ref="I7:I8"/>
    <mergeCell ref="K5:AN5"/>
    <mergeCell ref="V6:AJ6"/>
    <mergeCell ref="K7:K8"/>
    <mergeCell ref="L7:L8"/>
    <mergeCell ref="M7:M8"/>
    <mergeCell ref="N7:N8"/>
    <mergeCell ref="O7:O8"/>
    <mergeCell ref="P7:P8"/>
    <mergeCell ref="Z12:Z17"/>
    <mergeCell ref="AN12:AN17"/>
    <mergeCell ref="AK12:AK17"/>
    <mergeCell ref="Q7:Q8"/>
    <mergeCell ref="AI12:AI17"/>
    <mergeCell ref="AJ12:AJ17"/>
    <mergeCell ref="R7:R8"/>
    <mergeCell ref="S7:S8"/>
    <mergeCell ref="U7:U8"/>
    <mergeCell ref="V7:W7"/>
    <mergeCell ref="X7:AA7"/>
    <mergeCell ref="AB7:AG7"/>
    <mergeCell ref="AH7:AJ7"/>
    <mergeCell ref="AB12:AB17"/>
    <mergeCell ref="AC12:AC17"/>
    <mergeCell ref="AD12:AD17"/>
    <mergeCell ref="AE12:AE17"/>
    <mergeCell ref="AF12:AF17"/>
    <mergeCell ref="AG12:AG17"/>
    <mergeCell ref="AH12:AH17"/>
    <mergeCell ref="W12:W17"/>
    <mergeCell ref="F18:I18"/>
    <mergeCell ref="E19:F20"/>
    <mergeCell ref="K19:K20"/>
    <mergeCell ref="L19:L20"/>
    <mergeCell ref="M19:M20"/>
    <mergeCell ref="O19:O20"/>
    <mergeCell ref="P19:P20"/>
    <mergeCell ref="Q19:Q20"/>
    <mergeCell ref="E22:F31"/>
    <mergeCell ref="G22:G24"/>
    <mergeCell ref="H22:H24"/>
    <mergeCell ref="I22:I24"/>
    <mergeCell ref="J22:J24"/>
    <mergeCell ref="N22:N24"/>
    <mergeCell ref="G25:G26"/>
    <mergeCell ref="H25:H26"/>
    <mergeCell ref="Q27:Q31"/>
    <mergeCell ref="K27:K31"/>
    <mergeCell ref="L27:L31"/>
    <mergeCell ref="I25:I26"/>
    <mergeCell ref="J25:J26"/>
    <mergeCell ref="K22:K24"/>
    <mergeCell ref="L22:L26"/>
    <mergeCell ref="M35:M43"/>
    <mergeCell ref="P27:P31"/>
    <mergeCell ref="AL22:AL26"/>
    <mergeCell ref="V22:V26"/>
    <mergeCell ref="W22:W26"/>
    <mergeCell ref="X22:X26"/>
    <mergeCell ref="Y22:Y26"/>
    <mergeCell ref="AB22:AB25"/>
    <mergeCell ref="AI22:AI25"/>
    <mergeCell ref="Z22:Z26"/>
    <mergeCell ref="AA22:AA26"/>
    <mergeCell ref="AK22:AK26"/>
    <mergeCell ref="AI35:AI43"/>
    <mergeCell ref="AJ35:AJ43"/>
    <mergeCell ref="N35:N36"/>
    <mergeCell ref="X27:X31"/>
    <mergeCell ref="AK27:AK31"/>
    <mergeCell ref="AL27:AL31"/>
    <mergeCell ref="Q22:Q26"/>
    <mergeCell ref="R25:R26"/>
    <mergeCell ref="R22:R23"/>
    <mergeCell ref="M22:M26"/>
    <mergeCell ref="M27:M31"/>
    <mergeCell ref="O27:O31"/>
    <mergeCell ref="O35:O43"/>
    <mergeCell ref="P35:P43"/>
    <mergeCell ref="Q35:Q39"/>
    <mergeCell ref="AN35:AN43"/>
    <mergeCell ref="AK35:AK43"/>
    <mergeCell ref="AL35:AL43"/>
    <mergeCell ref="AN45:AN53"/>
    <mergeCell ref="W35:W43"/>
    <mergeCell ref="X35:X43"/>
    <mergeCell ref="AM45:AM53"/>
    <mergeCell ref="AM35:AM43"/>
    <mergeCell ref="AA45:AA53"/>
    <mergeCell ref="AL45:AL53"/>
    <mergeCell ref="Z45:Z53"/>
    <mergeCell ref="AJ45:AJ53"/>
    <mergeCell ref="Z35:Z43"/>
    <mergeCell ref="AA35:AA43"/>
    <mergeCell ref="AB35:AB43"/>
    <mergeCell ref="AC35:AC43"/>
    <mergeCell ref="AD35:AD43"/>
    <mergeCell ref="AE35:AE43"/>
    <mergeCell ref="AF35:AF43"/>
    <mergeCell ref="AG35:AG43"/>
    <mergeCell ref="AH35:AH43"/>
    <mergeCell ref="X54:X55"/>
    <mergeCell ref="Y54:Y55"/>
    <mergeCell ref="Z54:Z55"/>
    <mergeCell ref="AA54:AA55"/>
    <mergeCell ref="AB54:AB55"/>
    <mergeCell ref="AJ54:AJ55"/>
    <mergeCell ref="AI54:AI55"/>
    <mergeCell ref="AC54:AC55"/>
    <mergeCell ref="W54:W56"/>
    <mergeCell ref="AF54:AF55"/>
    <mergeCell ref="AG54:AG55"/>
    <mergeCell ref="AH54:AH55"/>
    <mergeCell ref="AD54:AD55"/>
    <mergeCell ref="AE54:AE55"/>
    <mergeCell ref="AK7:AK8"/>
    <mergeCell ref="A75:B75"/>
    <mergeCell ref="C75:D75"/>
    <mergeCell ref="E75:F75"/>
    <mergeCell ref="J7:J8"/>
    <mergeCell ref="N37:N39"/>
    <mergeCell ref="N40:N42"/>
    <mergeCell ref="Q40:Q43"/>
    <mergeCell ref="AK54:AK56"/>
    <mergeCell ref="G54:G56"/>
    <mergeCell ref="H54:H56"/>
    <mergeCell ref="I54:I56"/>
    <mergeCell ref="J54:J56"/>
    <mergeCell ref="L54:L56"/>
    <mergeCell ref="M54:M56"/>
    <mergeCell ref="N54:N56"/>
    <mergeCell ref="O54:O56"/>
    <mergeCell ref="P54:P56"/>
    <mergeCell ref="I45:I50"/>
    <mergeCell ref="J45:J50"/>
    <mergeCell ref="N45:N50"/>
    <mergeCell ref="N25:N26"/>
    <mergeCell ref="O22:O26"/>
    <mergeCell ref="P22:P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showGridLines="0" zoomScale="60" zoomScaleNormal="60" workbookViewId="0">
      <selection activeCell="A7" sqref="A7:A8"/>
    </sheetView>
  </sheetViews>
  <sheetFormatPr baseColWidth="10" defaultColWidth="11.42578125" defaultRowHeight="15" x14ac:dyDescent="0.2"/>
  <cols>
    <col min="1" max="4" width="14.5703125" style="1" customWidth="1"/>
    <col min="5" max="5" width="22.5703125" style="1" customWidth="1"/>
    <col min="6" max="6" width="14.5703125" style="1" customWidth="1"/>
    <col min="7" max="7" width="25.7109375" style="1" customWidth="1"/>
    <col min="8" max="8" width="14.5703125" style="1" customWidth="1"/>
    <col min="9" max="9" width="32.42578125" style="1" customWidth="1"/>
    <col min="10" max="10" width="26.7109375" style="1" customWidth="1"/>
    <col min="11" max="11" width="28.42578125" style="1" customWidth="1"/>
    <col min="12" max="12" width="47.7109375" style="1" customWidth="1"/>
    <col min="13" max="13" width="23.42578125" style="1" customWidth="1"/>
    <col min="14" max="14" width="33.140625" style="1" customWidth="1"/>
    <col min="15" max="15" width="16.85546875" style="1" customWidth="1"/>
    <col min="16" max="16" width="27.140625" style="1" customWidth="1"/>
    <col min="17" max="17" width="47.28515625" style="1" customWidth="1"/>
    <col min="18" max="18" width="51.28515625" style="1" customWidth="1"/>
    <col min="19" max="19" width="34.7109375" style="1" customWidth="1"/>
    <col min="20" max="20" width="27.85546875" style="461" customWidth="1"/>
    <col min="21" max="21" width="18.28515625" style="1" customWidth="1"/>
    <col min="22" max="22" width="28.140625" style="1" customWidth="1"/>
    <col min="23" max="38" width="15.7109375" style="1" customWidth="1"/>
    <col min="39" max="39" width="20.140625" style="1" customWidth="1"/>
    <col min="40" max="40" width="26.28515625" style="1" customWidth="1"/>
    <col min="41" max="41" width="22.140625" style="1" customWidth="1"/>
    <col min="42" max="54" width="14.85546875" style="1" customWidth="1"/>
    <col min="55" max="16384" width="11.42578125" style="1"/>
  </cols>
  <sheetData>
    <row r="1" spans="1:42" ht="30.75" customHeight="1" x14ac:dyDescent="0.2">
      <c r="A1" s="2923" t="s">
        <v>2558</v>
      </c>
      <c r="B1" s="2923"/>
      <c r="C1" s="2923"/>
      <c r="D1" s="2923"/>
      <c r="E1" s="2923"/>
      <c r="F1" s="2923"/>
      <c r="G1" s="2923"/>
      <c r="H1" s="2923"/>
      <c r="I1" s="2923"/>
      <c r="J1" s="2923"/>
      <c r="K1" s="2923"/>
      <c r="L1" s="2923"/>
      <c r="M1" s="2923"/>
      <c r="N1" s="2923"/>
      <c r="O1" s="2923"/>
      <c r="P1" s="2923"/>
      <c r="Q1" s="2923"/>
      <c r="R1" s="2923"/>
      <c r="S1" s="2923"/>
      <c r="T1" s="2923"/>
      <c r="U1" s="2923"/>
      <c r="V1" s="2923"/>
      <c r="W1" s="2923"/>
      <c r="X1" s="2923"/>
      <c r="Y1" s="2923"/>
      <c r="Z1" s="2923"/>
      <c r="AA1" s="2923"/>
      <c r="AB1" s="2923"/>
      <c r="AC1" s="2923"/>
      <c r="AD1" s="2923"/>
      <c r="AE1" s="2923"/>
      <c r="AF1" s="2923"/>
      <c r="AG1" s="2923"/>
      <c r="AH1" s="2923"/>
      <c r="AI1" s="2923"/>
      <c r="AJ1" s="2923"/>
      <c r="AK1" s="2923"/>
      <c r="AL1" s="2923"/>
      <c r="AM1" s="2923"/>
      <c r="AN1" s="3" t="s">
        <v>0</v>
      </c>
      <c r="AO1" s="3" t="s">
        <v>1</v>
      </c>
    </row>
    <row r="2" spans="1:42" ht="30.75" customHeight="1" x14ac:dyDescent="0.2">
      <c r="A2" s="2923"/>
      <c r="B2" s="2923"/>
      <c r="C2" s="2923"/>
      <c r="D2" s="2923"/>
      <c r="E2" s="2923"/>
      <c r="F2" s="2923"/>
      <c r="G2" s="2923"/>
      <c r="H2" s="2923"/>
      <c r="I2" s="2923"/>
      <c r="J2" s="2923"/>
      <c r="K2" s="2923"/>
      <c r="L2" s="2923"/>
      <c r="M2" s="2923"/>
      <c r="N2" s="2923"/>
      <c r="O2" s="2923"/>
      <c r="P2" s="2923"/>
      <c r="Q2" s="2923"/>
      <c r="R2" s="2923"/>
      <c r="S2" s="2923"/>
      <c r="T2" s="2923"/>
      <c r="U2" s="2923"/>
      <c r="V2" s="2923"/>
      <c r="W2" s="2923"/>
      <c r="X2" s="2923"/>
      <c r="Y2" s="2923"/>
      <c r="Z2" s="2923"/>
      <c r="AA2" s="2923"/>
      <c r="AB2" s="2923"/>
      <c r="AC2" s="2923"/>
      <c r="AD2" s="2923"/>
      <c r="AE2" s="2923"/>
      <c r="AF2" s="2923"/>
      <c r="AG2" s="2923"/>
      <c r="AH2" s="2923"/>
      <c r="AI2" s="2923"/>
      <c r="AJ2" s="2923"/>
      <c r="AK2" s="2923"/>
      <c r="AL2" s="2923"/>
      <c r="AM2" s="2923"/>
      <c r="AN2" s="2" t="s">
        <v>2</v>
      </c>
      <c r="AO2" s="426">
        <v>6</v>
      </c>
    </row>
    <row r="3" spans="1:42" ht="30.75" customHeight="1" x14ac:dyDescent="0.2">
      <c r="A3" s="2923"/>
      <c r="B3" s="2923"/>
      <c r="C3" s="2923"/>
      <c r="D3" s="2923"/>
      <c r="E3" s="2923"/>
      <c r="F3" s="2923"/>
      <c r="G3" s="2923"/>
      <c r="H3" s="2923"/>
      <c r="I3" s="2923"/>
      <c r="J3" s="2923"/>
      <c r="K3" s="2923"/>
      <c r="L3" s="2923"/>
      <c r="M3" s="2923"/>
      <c r="N3" s="2923"/>
      <c r="O3" s="2923"/>
      <c r="P3" s="2923"/>
      <c r="Q3" s="2923"/>
      <c r="R3" s="2923"/>
      <c r="S3" s="2923"/>
      <c r="T3" s="2923"/>
      <c r="U3" s="2923"/>
      <c r="V3" s="2923"/>
      <c r="W3" s="2923"/>
      <c r="X3" s="2923"/>
      <c r="Y3" s="2923"/>
      <c r="Z3" s="2923"/>
      <c r="AA3" s="2923"/>
      <c r="AB3" s="2923"/>
      <c r="AC3" s="2923"/>
      <c r="AD3" s="2923"/>
      <c r="AE3" s="2923"/>
      <c r="AF3" s="2923"/>
      <c r="AG3" s="2923"/>
      <c r="AH3" s="2923"/>
      <c r="AI3" s="2923"/>
      <c r="AJ3" s="2923"/>
      <c r="AK3" s="2923"/>
      <c r="AL3" s="2923"/>
      <c r="AM3" s="2923"/>
      <c r="AN3" s="3" t="s">
        <v>4</v>
      </c>
      <c r="AO3" s="427" t="s">
        <v>5</v>
      </c>
    </row>
    <row r="4" spans="1:42" s="6" customFormat="1" ht="30.75" customHeight="1" x14ac:dyDescent="0.2">
      <c r="A4" s="2924"/>
      <c r="B4" s="2924"/>
      <c r="C4" s="2924"/>
      <c r="D4" s="2924"/>
      <c r="E4" s="2924"/>
      <c r="F4" s="2924"/>
      <c r="G4" s="2924"/>
      <c r="H4" s="2924"/>
      <c r="I4" s="2924"/>
      <c r="J4" s="2924"/>
      <c r="K4" s="2924"/>
      <c r="L4" s="2924"/>
      <c r="M4" s="2924"/>
      <c r="N4" s="2924"/>
      <c r="O4" s="2924"/>
      <c r="P4" s="2924"/>
      <c r="Q4" s="2924"/>
      <c r="R4" s="2924"/>
      <c r="S4" s="2924"/>
      <c r="T4" s="2924"/>
      <c r="U4" s="2924"/>
      <c r="V4" s="2924"/>
      <c r="W4" s="2924"/>
      <c r="X4" s="2924"/>
      <c r="Y4" s="2924"/>
      <c r="Z4" s="2924"/>
      <c r="AA4" s="2924"/>
      <c r="AB4" s="2924"/>
      <c r="AC4" s="2924"/>
      <c r="AD4" s="2924"/>
      <c r="AE4" s="2924"/>
      <c r="AF4" s="2924"/>
      <c r="AG4" s="2924"/>
      <c r="AH4" s="2924"/>
      <c r="AI4" s="2924"/>
      <c r="AJ4" s="2924"/>
      <c r="AK4" s="2924"/>
      <c r="AL4" s="2924"/>
      <c r="AM4" s="2924"/>
      <c r="AN4" s="4" t="s">
        <v>6</v>
      </c>
      <c r="AO4" s="428" t="s">
        <v>162</v>
      </c>
    </row>
    <row r="5" spans="1:42" ht="30.75" customHeight="1" x14ac:dyDescent="0.2">
      <c r="A5" s="3685" t="s">
        <v>8</v>
      </c>
      <c r="B5" s="2925"/>
      <c r="C5" s="2925"/>
      <c r="D5" s="2925"/>
      <c r="E5" s="2925"/>
      <c r="F5" s="2925"/>
      <c r="G5" s="2925"/>
      <c r="H5" s="2925"/>
      <c r="I5" s="2925"/>
      <c r="J5" s="2925"/>
      <c r="K5" s="2925"/>
      <c r="L5" s="2176"/>
      <c r="M5" s="2176"/>
      <c r="N5" s="2926" t="s">
        <v>9</v>
      </c>
      <c r="O5" s="2926"/>
      <c r="P5" s="2926"/>
      <c r="Q5" s="2926"/>
      <c r="R5" s="2926"/>
      <c r="S5" s="2926"/>
      <c r="T5" s="2926"/>
      <c r="U5" s="2926"/>
      <c r="V5" s="2926"/>
      <c r="W5" s="2926"/>
      <c r="X5" s="2926"/>
      <c r="Y5" s="2926"/>
      <c r="Z5" s="2926"/>
      <c r="AA5" s="2926"/>
      <c r="AB5" s="2926"/>
      <c r="AC5" s="2926"/>
      <c r="AD5" s="2926"/>
      <c r="AE5" s="2926"/>
      <c r="AF5" s="2926"/>
      <c r="AG5" s="2926"/>
      <c r="AH5" s="2926"/>
      <c r="AI5" s="2926"/>
      <c r="AJ5" s="2926"/>
      <c r="AK5" s="2926"/>
      <c r="AL5" s="2926"/>
      <c r="AM5" s="2926"/>
      <c r="AN5" s="2926"/>
      <c r="AO5" s="2926"/>
    </row>
    <row r="6" spans="1:42" ht="30.75" customHeight="1" x14ac:dyDescent="0.2">
      <c r="A6" s="2984"/>
      <c r="B6" s="2982"/>
      <c r="C6" s="2982"/>
      <c r="D6" s="2982"/>
      <c r="E6" s="2982"/>
      <c r="F6" s="2982"/>
      <c r="G6" s="2982"/>
      <c r="H6" s="2982"/>
      <c r="I6" s="2982"/>
      <c r="J6" s="2982"/>
      <c r="K6" s="2982"/>
      <c r="L6" s="2176"/>
      <c r="M6" s="2205"/>
      <c r="N6" s="3458"/>
      <c r="O6" s="3459"/>
      <c r="P6" s="3459"/>
      <c r="Q6" s="3459"/>
      <c r="R6" s="3459"/>
      <c r="S6" s="3459"/>
      <c r="T6" s="3459"/>
      <c r="U6" s="3459"/>
      <c r="V6" s="3460"/>
      <c r="W6" s="2206"/>
      <c r="X6" s="2206"/>
      <c r="Y6" s="2206"/>
      <c r="Z6" s="2206"/>
      <c r="AA6" s="2206"/>
      <c r="AB6" s="2206"/>
      <c r="AC6" s="2206"/>
      <c r="AD6" s="2206"/>
      <c r="AE6" s="2206"/>
      <c r="AF6" s="2206"/>
      <c r="AG6" s="2206"/>
      <c r="AH6" s="2206"/>
      <c r="AI6" s="2206"/>
      <c r="AJ6" s="2206"/>
      <c r="AK6" s="2206"/>
      <c r="AL6" s="2206"/>
      <c r="AM6" s="3458"/>
      <c r="AN6" s="3459"/>
      <c r="AO6" s="3460"/>
    </row>
    <row r="7" spans="1:42" ht="30.75" customHeight="1" x14ac:dyDescent="0.2">
      <c r="A7" s="3364" t="s">
        <v>11</v>
      </c>
      <c r="B7" s="3364" t="s">
        <v>12</v>
      </c>
      <c r="C7" s="3364"/>
      <c r="D7" s="3364" t="s">
        <v>11</v>
      </c>
      <c r="E7" s="3364" t="s">
        <v>13</v>
      </c>
      <c r="F7" s="3364" t="s">
        <v>11</v>
      </c>
      <c r="G7" s="3364" t="s">
        <v>14</v>
      </c>
      <c r="H7" s="3364" t="s">
        <v>11</v>
      </c>
      <c r="I7" s="3364" t="s">
        <v>15</v>
      </c>
      <c r="J7" s="3364" t="s">
        <v>16</v>
      </c>
      <c r="K7" s="2930" t="s">
        <v>17</v>
      </c>
      <c r="L7" s="3364" t="s">
        <v>18</v>
      </c>
      <c r="M7" s="2934" t="s">
        <v>163</v>
      </c>
      <c r="N7" s="3364" t="s">
        <v>9</v>
      </c>
      <c r="O7" s="3364" t="s">
        <v>20</v>
      </c>
      <c r="P7" s="3364" t="s">
        <v>21</v>
      </c>
      <c r="Q7" s="3364" t="s">
        <v>22</v>
      </c>
      <c r="R7" s="3364" t="s">
        <v>23</v>
      </c>
      <c r="S7" s="3364" t="s">
        <v>24</v>
      </c>
      <c r="T7" s="2930" t="s">
        <v>21</v>
      </c>
      <c r="U7" s="2934" t="s">
        <v>11</v>
      </c>
      <c r="V7" s="3364" t="s">
        <v>25</v>
      </c>
      <c r="W7" s="2942" t="s">
        <v>26</v>
      </c>
      <c r="X7" s="2943"/>
      <c r="Y7" s="2944" t="s">
        <v>27</v>
      </c>
      <c r="Z7" s="2945"/>
      <c r="AA7" s="2945"/>
      <c r="AB7" s="2945"/>
      <c r="AC7" s="2946" t="s">
        <v>28</v>
      </c>
      <c r="AD7" s="2947"/>
      <c r="AE7" s="2947"/>
      <c r="AF7" s="2947"/>
      <c r="AG7" s="2947"/>
      <c r="AH7" s="2947"/>
      <c r="AI7" s="2944" t="s">
        <v>29</v>
      </c>
      <c r="AJ7" s="2945"/>
      <c r="AK7" s="2945"/>
      <c r="AL7" s="2988" t="s">
        <v>30</v>
      </c>
      <c r="AM7" s="3448" t="s">
        <v>31</v>
      </c>
      <c r="AN7" s="3448" t="s">
        <v>32</v>
      </c>
      <c r="AO7" s="3686" t="s">
        <v>33</v>
      </c>
    </row>
    <row r="8" spans="1:42" ht="127.5" customHeight="1" x14ac:dyDescent="0.2">
      <c r="A8" s="3364"/>
      <c r="B8" s="3364"/>
      <c r="C8" s="3364"/>
      <c r="D8" s="3364"/>
      <c r="E8" s="3364"/>
      <c r="F8" s="3364"/>
      <c r="G8" s="3364"/>
      <c r="H8" s="3364"/>
      <c r="I8" s="3364"/>
      <c r="J8" s="3364"/>
      <c r="K8" s="2956"/>
      <c r="L8" s="3364"/>
      <c r="M8" s="2935"/>
      <c r="N8" s="3364"/>
      <c r="O8" s="3364"/>
      <c r="P8" s="3364"/>
      <c r="Q8" s="3364"/>
      <c r="R8" s="3364"/>
      <c r="S8" s="3364"/>
      <c r="T8" s="2932"/>
      <c r="U8" s="2935"/>
      <c r="V8" s="3364"/>
      <c r="W8" s="129" t="s">
        <v>34</v>
      </c>
      <c r="X8" s="429" t="s">
        <v>35</v>
      </c>
      <c r="Y8" s="129" t="s">
        <v>36</v>
      </c>
      <c r="Z8" s="129" t="s">
        <v>121</v>
      </c>
      <c r="AA8" s="129" t="s">
        <v>2564</v>
      </c>
      <c r="AB8" s="129" t="s">
        <v>123</v>
      </c>
      <c r="AC8" s="129" t="s">
        <v>40</v>
      </c>
      <c r="AD8" s="129" t="s">
        <v>41</v>
      </c>
      <c r="AE8" s="129" t="s">
        <v>42</v>
      </c>
      <c r="AF8" s="129" t="s">
        <v>43</v>
      </c>
      <c r="AG8" s="129" t="s">
        <v>44</v>
      </c>
      <c r="AH8" s="129" t="s">
        <v>45</v>
      </c>
      <c r="AI8" s="129" t="s">
        <v>46</v>
      </c>
      <c r="AJ8" s="129" t="s">
        <v>47</v>
      </c>
      <c r="AK8" s="129" t="s">
        <v>48</v>
      </c>
      <c r="AL8" s="2989"/>
      <c r="AM8" s="3449"/>
      <c r="AN8" s="3449"/>
      <c r="AO8" s="3686"/>
    </row>
    <row r="9" spans="1:42" ht="15.75" customHeight="1" x14ac:dyDescent="0.2">
      <c r="A9" s="430">
        <v>5</v>
      </c>
      <c r="B9" s="275" t="s">
        <v>49</v>
      </c>
      <c r="C9" s="275"/>
      <c r="D9" s="275"/>
      <c r="E9" s="275"/>
      <c r="F9" s="275"/>
      <c r="G9" s="275"/>
      <c r="H9" s="275"/>
      <c r="I9" s="317"/>
      <c r="J9" s="317"/>
      <c r="K9" s="275"/>
      <c r="L9" s="318"/>
      <c r="M9" s="317"/>
      <c r="N9" s="2469"/>
      <c r="O9" s="431"/>
      <c r="P9" s="317"/>
      <c r="Q9" s="317"/>
      <c r="R9" s="317"/>
      <c r="S9" s="432"/>
      <c r="T9" s="433"/>
      <c r="U9" s="275"/>
      <c r="V9" s="275"/>
      <c r="W9" s="275"/>
      <c r="X9" s="434"/>
      <c r="Y9" s="434"/>
      <c r="Z9" s="434"/>
      <c r="AA9" s="434"/>
      <c r="AB9" s="434"/>
      <c r="AC9" s="434"/>
      <c r="AD9" s="434"/>
      <c r="AE9" s="434"/>
      <c r="AF9" s="434"/>
      <c r="AG9" s="434"/>
      <c r="AH9" s="434"/>
      <c r="AI9" s="434"/>
      <c r="AJ9" s="434"/>
      <c r="AK9" s="434"/>
      <c r="AL9" s="434"/>
      <c r="AM9" s="434"/>
      <c r="AN9" s="434"/>
      <c r="AO9" s="435"/>
    </row>
    <row r="10" spans="1:42" s="124" customFormat="1" ht="15.75" customHeight="1" x14ac:dyDescent="0.2">
      <c r="A10" s="436"/>
      <c r="B10" s="3687"/>
      <c r="C10" s="3688"/>
      <c r="D10" s="437">
        <v>26</v>
      </c>
      <c r="E10" s="438" t="s">
        <v>949</v>
      </c>
      <c r="F10" s="320"/>
      <c r="G10" s="320"/>
      <c r="H10" s="320"/>
      <c r="I10" s="321"/>
      <c r="J10" s="321"/>
      <c r="K10" s="320"/>
      <c r="L10" s="322"/>
      <c r="M10" s="321"/>
      <c r="N10" s="2470"/>
      <c r="O10" s="439"/>
      <c r="P10" s="321"/>
      <c r="Q10" s="321"/>
      <c r="R10" s="321"/>
      <c r="S10" s="440"/>
      <c r="T10" s="441"/>
      <c r="U10" s="320"/>
      <c r="V10" s="320"/>
      <c r="W10" s="320"/>
      <c r="X10" s="278"/>
      <c r="Y10" s="278"/>
      <c r="Z10" s="278"/>
      <c r="AA10" s="278"/>
      <c r="AB10" s="278"/>
      <c r="AC10" s="406"/>
      <c r="AD10" s="442"/>
      <c r="AE10" s="406"/>
      <c r="AF10" s="406"/>
      <c r="AG10" s="442"/>
      <c r="AH10" s="414"/>
      <c r="AI10" s="406"/>
      <c r="AJ10" s="406"/>
      <c r="AK10" s="442"/>
      <c r="AL10" s="406"/>
      <c r="AM10" s="442"/>
      <c r="AN10" s="442"/>
      <c r="AO10" s="442"/>
    </row>
    <row r="11" spans="1:42" s="124" customFormat="1" ht="15.75" customHeight="1" x14ac:dyDescent="0.2">
      <c r="A11" s="443"/>
      <c r="B11" s="3687"/>
      <c r="C11" s="3688"/>
      <c r="D11" s="3691"/>
      <c r="E11" s="3497"/>
      <c r="F11" s="444">
        <v>83</v>
      </c>
      <c r="G11" s="445" t="s">
        <v>1736</v>
      </c>
      <c r="H11" s="446"/>
      <c r="I11" s="447"/>
      <c r="J11" s="447"/>
      <c r="K11" s="410"/>
      <c r="L11" s="448"/>
      <c r="M11" s="447"/>
      <c r="N11" s="2471"/>
      <c r="O11" s="449"/>
      <c r="P11" s="447"/>
      <c r="Q11" s="447"/>
      <c r="R11" s="447"/>
      <c r="S11" s="450"/>
      <c r="T11" s="1140"/>
      <c r="U11" s="1141"/>
      <c r="V11" s="1141"/>
      <c r="W11" s="410"/>
      <c r="X11" s="410"/>
      <c r="Y11" s="410"/>
      <c r="Z11" s="410"/>
      <c r="AA11" s="410"/>
      <c r="AB11" s="410"/>
      <c r="AC11" s="410"/>
      <c r="AD11" s="451"/>
      <c r="AE11" s="410"/>
      <c r="AF11" s="451"/>
      <c r="AG11" s="447"/>
      <c r="AH11" s="410"/>
      <c r="AI11" s="451"/>
      <c r="AJ11" s="410"/>
      <c r="AK11" s="451"/>
      <c r="AL11" s="447"/>
      <c r="AM11" s="451"/>
      <c r="AN11" s="447"/>
      <c r="AO11" s="447"/>
    </row>
    <row r="12" spans="1:42" s="124" customFormat="1" ht="37.5" customHeight="1" x14ac:dyDescent="0.2">
      <c r="A12" s="443"/>
      <c r="B12" s="3687"/>
      <c r="C12" s="3688"/>
      <c r="D12" s="3692"/>
      <c r="E12" s="3498"/>
      <c r="F12" s="3694"/>
      <c r="G12" s="3695"/>
      <c r="H12" s="3049">
        <v>244</v>
      </c>
      <c r="I12" s="3052" t="s">
        <v>1737</v>
      </c>
      <c r="J12" s="3052" t="s">
        <v>1738</v>
      </c>
      <c r="K12" s="3049">
        <v>12</v>
      </c>
      <c r="L12" s="3049" t="s">
        <v>1739</v>
      </c>
      <c r="M12" s="3049" t="s">
        <v>1740</v>
      </c>
      <c r="N12" s="3052" t="s">
        <v>1741</v>
      </c>
      <c r="O12" s="3697">
        <f>SUM(T12:T15)/P12</f>
        <v>1</v>
      </c>
      <c r="P12" s="3698">
        <f>SUM(T12:T15)</f>
        <v>450000000</v>
      </c>
      <c r="Q12" s="3052" t="s">
        <v>1742</v>
      </c>
      <c r="R12" s="3507" t="s">
        <v>1743</v>
      </c>
      <c r="S12" s="3520" t="s">
        <v>1744</v>
      </c>
      <c r="T12" s="1568">
        <v>328040000</v>
      </c>
      <c r="U12" s="1143">
        <v>20</v>
      </c>
      <c r="V12" s="2242" t="s">
        <v>1526</v>
      </c>
      <c r="W12" s="3699">
        <v>294321</v>
      </c>
      <c r="X12" s="3696">
        <v>283947</v>
      </c>
      <c r="Y12" s="3696">
        <v>135754</v>
      </c>
      <c r="Z12" s="3696">
        <v>44640</v>
      </c>
      <c r="AA12" s="3696">
        <v>308178</v>
      </c>
      <c r="AB12" s="3696">
        <v>89696</v>
      </c>
      <c r="AC12" s="3696">
        <v>2145</v>
      </c>
      <c r="AD12" s="3696">
        <v>12718</v>
      </c>
      <c r="AE12" s="3711">
        <v>26</v>
      </c>
      <c r="AF12" s="3711">
        <v>37</v>
      </c>
      <c r="AG12" s="2803">
        <v>0</v>
      </c>
      <c r="AH12" s="2803">
        <v>0</v>
      </c>
      <c r="AI12" s="3696">
        <v>52505</v>
      </c>
      <c r="AJ12" s="3696">
        <v>16897</v>
      </c>
      <c r="AK12" s="3696">
        <v>61646</v>
      </c>
      <c r="AL12" s="2967">
        <f>+Y12+Z12+AA12+AB12</f>
        <v>578268</v>
      </c>
      <c r="AM12" s="3710">
        <v>43466</v>
      </c>
      <c r="AN12" s="3710">
        <v>43830</v>
      </c>
      <c r="AO12" s="3507" t="s">
        <v>1745</v>
      </c>
      <c r="AP12" s="3700"/>
    </row>
    <row r="13" spans="1:42" s="124" customFormat="1" ht="50.25" customHeight="1" x14ac:dyDescent="0.2">
      <c r="A13" s="443"/>
      <c r="B13" s="3687"/>
      <c r="C13" s="3688"/>
      <c r="D13" s="3692"/>
      <c r="E13" s="3498"/>
      <c r="F13" s="3694"/>
      <c r="G13" s="3695"/>
      <c r="H13" s="3049"/>
      <c r="I13" s="3052"/>
      <c r="J13" s="3052"/>
      <c r="K13" s="3049"/>
      <c r="L13" s="3049"/>
      <c r="M13" s="3049"/>
      <c r="N13" s="3052"/>
      <c r="O13" s="3697"/>
      <c r="P13" s="3698"/>
      <c r="Q13" s="3052"/>
      <c r="R13" s="3507"/>
      <c r="S13" s="3532"/>
      <c r="T13" s="1569">
        <f>0+7645567</f>
        <v>7645567</v>
      </c>
      <c r="U13" s="1143">
        <v>88</v>
      </c>
      <c r="V13" s="2242" t="s">
        <v>135</v>
      </c>
      <c r="W13" s="3699"/>
      <c r="X13" s="3696"/>
      <c r="Y13" s="3696">
        <v>135912</v>
      </c>
      <c r="Z13" s="3696">
        <v>45122</v>
      </c>
      <c r="AA13" s="3696">
        <v>307101</v>
      </c>
      <c r="AB13" s="3696">
        <v>86875</v>
      </c>
      <c r="AC13" s="3696">
        <v>2145</v>
      </c>
      <c r="AD13" s="3696">
        <v>12718</v>
      </c>
      <c r="AE13" s="3711">
        <v>26</v>
      </c>
      <c r="AF13" s="3711">
        <v>37</v>
      </c>
      <c r="AG13" s="2803"/>
      <c r="AH13" s="2803"/>
      <c r="AI13" s="3696">
        <v>53164</v>
      </c>
      <c r="AJ13" s="3696">
        <v>16982</v>
      </c>
      <c r="AK13" s="3696">
        <v>6013</v>
      </c>
      <c r="AL13" s="2967"/>
      <c r="AM13" s="3710"/>
      <c r="AN13" s="3710"/>
      <c r="AO13" s="3507"/>
      <c r="AP13" s="3700"/>
    </row>
    <row r="14" spans="1:42" s="124" customFormat="1" ht="48.75" customHeight="1" x14ac:dyDescent="0.2">
      <c r="A14" s="443"/>
      <c r="B14" s="3687"/>
      <c r="C14" s="3688"/>
      <c r="D14" s="3692"/>
      <c r="E14" s="3498"/>
      <c r="F14" s="3694"/>
      <c r="G14" s="3695"/>
      <c r="H14" s="3049"/>
      <c r="I14" s="3052"/>
      <c r="J14" s="3052"/>
      <c r="K14" s="3049"/>
      <c r="L14" s="3049"/>
      <c r="M14" s="3049"/>
      <c r="N14" s="3052"/>
      <c r="O14" s="3697"/>
      <c r="P14" s="3698"/>
      <c r="Q14" s="3052"/>
      <c r="R14" s="3052" t="s">
        <v>1746</v>
      </c>
      <c r="S14" s="3520" t="s">
        <v>1747</v>
      </c>
      <c r="T14" s="1570">
        <v>71960000</v>
      </c>
      <c r="U14" s="1696">
        <v>20</v>
      </c>
      <c r="V14" s="1142" t="s">
        <v>1526</v>
      </c>
      <c r="W14" s="3699"/>
      <c r="X14" s="3696"/>
      <c r="Y14" s="3696">
        <v>135912</v>
      </c>
      <c r="Z14" s="3696">
        <v>45122</v>
      </c>
      <c r="AA14" s="3696">
        <v>307101</v>
      </c>
      <c r="AB14" s="3696">
        <v>86875</v>
      </c>
      <c r="AC14" s="3696">
        <v>2145</v>
      </c>
      <c r="AD14" s="3696">
        <v>12718</v>
      </c>
      <c r="AE14" s="3711">
        <v>26</v>
      </c>
      <c r="AF14" s="3711">
        <v>37</v>
      </c>
      <c r="AG14" s="2803"/>
      <c r="AH14" s="2803"/>
      <c r="AI14" s="3696">
        <v>53164</v>
      </c>
      <c r="AJ14" s="3696">
        <v>16982</v>
      </c>
      <c r="AK14" s="3696">
        <v>6013</v>
      </c>
      <c r="AL14" s="2967"/>
      <c r="AM14" s="3710"/>
      <c r="AN14" s="3710"/>
      <c r="AO14" s="3507"/>
      <c r="AP14" s="1042"/>
    </row>
    <row r="15" spans="1:42" s="124" customFormat="1" ht="66.75" customHeight="1" x14ac:dyDescent="0.2">
      <c r="A15" s="443"/>
      <c r="B15" s="3687"/>
      <c r="C15" s="3688"/>
      <c r="D15" s="3692"/>
      <c r="E15" s="3498"/>
      <c r="F15" s="3694"/>
      <c r="G15" s="3695"/>
      <c r="H15" s="3049"/>
      <c r="I15" s="3052"/>
      <c r="J15" s="3052"/>
      <c r="K15" s="3049"/>
      <c r="L15" s="3049"/>
      <c r="M15" s="3049"/>
      <c r="N15" s="3052"/>
      <c r="O15" s="3697"/>
      <c r="P15" s="3698"/>
      <c r="Q15" s="3052"/>
      <c r="R15" s="3052"/>
      <c r="S15" s="3532"/>
      <c r="T15" s="1570">
        <f>0+42354433</f>
        <v>42354433</v>
      </c>
      <c r="U15" s="1696">
        <v>88</v>
      </c>
      <c r="V15" s="1142" t="s">
        <v>135</v>
      </c>
      <c r="W15" s="3699"/>
      <c r="X15" s="3696"/>
      <c r="Y15" s="3696">
        <v>135912</v>
      </c>
      <c r="Z15" s="3696">
        <v>45122</v>
      </c>
      <c r="AA15" s="3696">
        <v>307101</v>
      </c>
      <c r="AB15" s="3696">
        <v>86875</v>
      </c>
      <c r="AC15" s="3696">
        <v>2145</v>
      </c>
      <c r="AD15" s="3696">
        <v>12718</v>
      </c>
      <c r="AE15" s="3711">
        <v>26</v>
      </c>
      <c r="AF15" s="3711">
        <v>37</v>
      </c>
      <c r="AG15" s="2803"/>
      <c r="AH15" s="2803"/>
      <c r="AI15" s="3696">
        <v>53164</v>
      </c>
      <c r="AJ15" s="3696">
        <v>16982</v>
      </c>
      <c r="AK15" s="3696">
        <v>6013</v>
      </c>
      <c r="AL15" s="2968"/>
      <c r="AM15" s="3710"/>
      <c r="AN15" s="3710"/>
      <c r="AO15" s="3507"/>
    </row>
    <row r="16" spans="1:42" s="124" customFormat="1" ht="114" customHeight="1" x14ac:dyDescent="0.2">
      <c r="A16" s="443"/>
      <c r="B16" s="3687"/>
      <c r="C16" s="3688"/>
      <c r="D16" s="3693"/>
      <c r="E16" s="3545"/>
      <c r="F16" s="3694"/>
      <c r="G16" s="3695"/>
      <c r="H16" s="2200">
        <v>245</v>
      </c>
      <c r="I16" s="2202" t="s">
        <v>1748</v>
      </c>
      <c r="J16" s="2202" t="s">
        <v>1749</v>
      </c>
      <c r="K16" s="2200">
        <v>1</v>
      </c>
      <c r="L16" s="2200" t="s">
        <v>1750</v>
      </c>
      <c r="M16" s="2200" t="s">
        <v>1751</v>
      </c>
      <c r="N16" s="2202" t="s">
        <v>1752</v>
      </c>
      <c r="O16" s="2472">
        <f>SUM(T16)/P16</f>
        <v>1</v>
      </c>
      <c r="P16" s="2224">
        <f>T16</f>
        <v>40000000</v>
      </c>
      <c r="Q16" s="2202" t="s">
        <v>1753</v>
      </c>
      <c r="R16" s="2202" t="s">
        <v>1754</v>
      </c>
      <c r="S16" s="2202" t="s">
        <v>1755</v>
      </c>
      <c r="T16" s="1571">
        <v>40000000</v>
      </c>
      <c r="U16" s="2264">
        <v>20</v>
      </c>
      <c r="V16" s="2225" t="s">
        <v>61</v>
      </c>
      <c r="W16" s="2223">
        <v>294321</v>
      </c>
      <c r="X16" s="2223">
        <v>283947</v>
      </c>
      <c r="Y16" s="2191">
        <v>13754</v>
      </c>
      <c r="Z16" s="2191">
        <v>44640</v>
      </c>
      <c r="AA16" s="2191">
        <v>308178</v>
      </c>
      <c r="AB16" s="2191">
        <v>89696</v>
      </c>
      <c r="AC16" s="2191">
        <v>2145</v>
      </c>
      <c r="AD16" s="2191">
        <v>12718</v>
      </c>
      <c r="AE16" s="2191">
        <v>26</v>
      </c>
      <c r="AF16" s="2191">
        <v>37</v>
      </c>
      <c r="AG16" s="2191">
        <v>0</v>
      </c>
      <c r="AH16" s="2191">
        <v>0</v>
      </c>
      <c r="AI16" s="2191">
        <v>52505</v>
      </c>
      <c r="AJ16" s="2191">
        <v>16897</v>
      </c>
      <c r="AK16" s="2191">
        <v>61646</v>
      </c>
      <c r="AL16" s="2191">
        <f>+W16+X16</f>
        <v>578268</v>
      </c>
      <c r="AM16" s="2227">
        <v>43466</v>
      </c>
      <c r="AN16" s="2227">
        <v>43830</v>
      </c>
      <c r="AO16" s="2202" t="s">
        <v>1745</v>
      </c>
      <c r="AP16" s="2198"/>
    </row>
    <row r="17" spans="1:49" ht="15.75" x14ac:dyDescent="0.2">
      <c r="A17" s="443"/>
      <c r="B17" s="3687"/>
      <c r="C17" s="3688"/>
      <c r="D17" s="452">
        <v>28</v>
      </c>
      <c r="E17" s="438" t="s">
        <v>1034</v>
      </c>
      <c r="F17" s="319"/>
      <c r="G17" s="319"/>
      <c r="H17" s="453"/>
      <c r="I17" s="414"/>
      <c r="J17" s="414"/>
      <c r="K17" s="406"/>
      <c r="L17" s="454"/>
      <c r="M17" s="414"/>
      <c r="N17" s="2473"/>
      <c r="O17" s="455"/>
      <c r="P17" s="414"/>
      <c r="Q17" s="414"/>
      <c r="R17" s="414"/>
      <c r="S17" s="456"/>
      <c r="T17" s="457"/>
      <c r="U17" s="454"/>
      <c r="V17" s="454"/>
      <c r="W17" s="454"/>
      <c r="X17" s="454"/>
      <c r="Y17" s="454"/>
      <c r="Z17" s="454"/>
      <c r="AA17" s="454"/>
      <c r="AB17" s="454"/>
      <c r="AC17" s="454"/>
      <c r="AD17" s="454"/>
      <c r="AE17" s="454"/>
      <c r="AF17" s="454"/>
      <c r="AG17" s="454"/>
      <c r="AH17" s="454"/>
      <c r="AI17" s="454"/>
      <c r="AJ17" s="454"/>
      <c r="AK17" s="454"/>
      <c r="AL17" s="454"/>
      <c r="AM17" s="454"/>
      <c r="AN17" s="454"/>
      <c r="AO17" s="414"/>
    </row>
    <row r="18" spans="1:49" ht="15.75" x14ac:dyDescent="0.2">
      <c r="A18" s="443"/>
      <c r="B18" s="3687"/>
      <c r="C18" s="3688"/>
      <c r="D18" s="3701"/>
      <c r="E18" s="3704"/>
      <c r="F18" s="458">
        <v>89</v>
      </c>
      <c r="G18" s="3707" t="s">
        <v>1756</v>
      </c>
      <c r="H18" s="3707"/>
      <c r="I18" s="3707"/>
      <c r="J18" s="3707"/>
      <c r="K18" s="3707"/>
      <c r="L18" s="409"/>
      <c r="M18" s="3708"/>
      <c r="N18" s="3708"/>
      <c r="O18" s="3708"/>
      <c r="P18" s="3708"/>
      <c r="Q18" s="3708"/>
      <c r="R18" s="3708"/>
      <c r="S18" s="3708"/>
      <c r="T18" s="2474"/>
      <c r="U18" s="3709"/>
      <c r="V18" s="3708"/>
      <c r="W18" s="3708"/>
      <c r="X18" s="3708"/>
      <c r="Y18" s="3708"/>
      <c r="Z18" s="3708"/>
      <c r="AA18" s="3708"/>
      <c r="AB18" s="3708"/>
      <c r="AC18" s="3708"/>
      <c r="AD18" s="3708"/>
      <c r="AE18" s="3708"/>
      <c r="AF18" s="3708"/>
      <c r="AG18" s="3708"/>
      <c r="AH18" s="3708"/>
      <c r="AI18" s="3708"/>
      <c r="AJ18" s="3708"/>
      <c r="AK18" s="3708"/>
      <c r="AL18" s="3708"/>
      <c r="AM18" s="3708"/>
      <c r="AN18" s="3708"/>
      <c r="AO18" s="3708"/>
    </row>
    <row r="19" spans="1:49" ht="35.25" customHeight="1" x14ac:dyDescent="0.2">
      <c r="A19" s="443"/>
      <c r="B19" s="3687"/>
      <c r="C19" s="3688"/>
      <c r="D19" s="3702"/>
      <c r="E19" s="3705"/>
      <c r="F19" s="3714"/>
      <c r="G19" s="3714"/>
      <c r="H19" s="3049">
        <v>288</v>
      </c>
      <c r="I19" s="3052" t="s">
        <v>1757</v>
      </c>
      <c r="J19" s="3052" t="s">
        <v>1758</v>
      </c>
      <c r="K19" s="3049">
        <v>1</v>
      </c>
      <c r="L19" s="3049" t="s">
        <v>1759</v>
      </c>
      <c r="M19" s="3049" t="s">
        <v>1760</v>
      </c>
      <c r="N19" s="3052" t="s">
        <v>1761</v>
      </c>
      <c r="O19" s="3737">
        <f>SUM(T19:T24)/P19</f>
        <v>1</v>
      </c>
      <c r="P19" s="3739">
        <f>SUM(T19:T24)</f>
        <v>1463092662</v>
      </c>
      <c r="Q19" s="3740" t="s">
        <v>1762</v>
      </c>
      <c r="R19" s="3741" t="s">
        <v>1763</v>
      </c>
      <c r="S19" s="3712" t="s">
        <v>1764</v>
      </c>
      <c r="T19" s="2475">
        <v>262242662</v>
      </c>
      <c r="U19" s="1696" t="s">
        <v>60</v>
      </c>
      <c r="V19" s="2243" t="s">
        <v>98</v>
      </c>
      <c r="W19" s="3724">
        <v>294321</v>
      </c>
      <c r="X19" s="3724">
        <v>283947</v>
      </c>
      <c r="Y19" s="3724">
        <v>13754</v>
      </c>
      <c r="Z19" s="3724">
        <v>44640</v>
      </c>
      <c r="AA19" s="3724">
        <v>308178</v>
      </c>
      <c r="AB19" s="3724">
        <v>89696</v>
      </c>
      <c r="AC19" s="3724">
        <v>2145</v>
      </c>
      <c r="AD19" s="3724">
        <v>12718</v>
      </c>
      <c r="AE19" s="3731">
        <v>26</v>
      </c>
      <c r="AF19" s="3731">
        <v>37</v>
      </c>
      <c r="AG19" s="3733">
        <v>0</v>
      </c>
      <c r="AH19" s="3733">
        <v>0</v>
      </c>
      <c r="AI19" s="3724">
        <v>52505</v>
      </c>
      <c r="AJ19" s="3724">
        <v>16897</v>
      </c>
      <c r="AK19" s="3724">
        <v>61646</v>
      </c>
      <c r="AL19" s="3724">
        <f>+W19+X19</f>
        <v>578268</v>
      </c>
      <c r="AM19" s="3726">
        <v>43466</v>
      </c>
      <c r="AN19" s="3729">
        <v>43830</v>
      </c>
      <c r="AO19" s="3531" t="s">
        <v>1745</v>
      </c>
      <c r="AP19" s="124"/>
      <c r="AQ19" s="124"/>
      <c r="AR19" s="124"/>
      <c r="AS19" s="124"/>
      <c r="AT19" s="124"/>
      <c r="AU19" s="124"/>
      <c r="AV19" s="124"/>
      <c r="AW19" s="124"/>
    </row>
    <row r="20" spans="1:49" ht="53.25" customHeight="1" x14ac:dyDescent="0.2">
      <c r="A20" s="443"/>
      <c r="B20" s="3687"/>
      <c r="C20" s="3688"/>
      <c r="D20" s="3702"/>
      <c r="E20" s="3705"/>
      <c r="F20" s="3714"/>
      <c r="G20" s="3714"/>
      <c r="H20" s="3049"/>
      <c r="I20" s="3052"/>
      <c r="J20" s="3052"/>
      <c r="K20" s="3049"/>
      <c r="L20" s="3049"/>
      <c r="M20" s="3049"/>
      <c r="N20" s="3052"/>
      <c r="O20" s="3738"/>
      <c r="P20" s="3739"/>
      <c r="Q20" s="3740"/>
      <c r="R20" s="3741"/>
      <c r="S20" s="3713"/>
      <c r="T20" s="2476">
        <f>0+694757338</f>
        <v>694757338</v>
      </c>
      <c r="U20" s="2477">
        <v>88</v>
      </c>
      <c r="V20" s="2243" t="s">
        <v>135</v>
      </c>
      <c r="W20" s="3724"/>
      <c r="X20" s="3724"/>
      <c r="Y20" s="3724"/>
      <c r="Z20" s="3724"/>
      <c r="AA20" s="3724"/>
      <c r="AB20" s="3724"/>
      <c r="AC20" s="3724"/>
      <c r="AD20" s="3724"/>
      <c r="AE20" s="3731"/>
      <c r="AF20" s="3731"/>
      <c r="AG20" s="3734"/>
      <c r="AH20" s="3734"/>
      <c r="AI20" s="3724"/>
      <c r="AJ20" s="3724"/>
      <c r="AK20" s="3724"/>
      <c r="AL20" s="3724"/>
      <c r="AM20" s="3726"/>
      <c r="AN20" s="3730"/>
      <c r="AO20" s="3531"/>
      <c r="AP20" s="124"/>
      <c r="AQ20" s="124"/>
      <c r="AR20" s="124"/>
      <c r="AS20" s="124"/>
      <c r="AT20" s="124"/>
      <c r="AU20" s="124"/>
      <c r="AV20" s="124"/>
      <c r="AW20" s="124"/>
    </row>
    <row r="21" spans="1:49" ht="53.25" customHeight="1" x14ac:dyDescent="0.2">
      <c r="A21" s="443"/>
      <c r="B21" s="3687"/>
      <c r="C21" s="3688"/>
      <c r="D21" s="3702"/>
      <c r="E21" s="3705"/>
      <c r="F21" s="3714"/>
      <c r="G21" s="3714"/>
      <c r="H21" s="3049"/>
      <c r="I21" s="3052"/>
      <c r="J21" s="3052"/>
      <c r="K21" s="3049"/>
      <c r="L21" s="3049"/>
      <c r="M21" s="3049"/>
      <c r="N21" s="3052"/>
      <c r="O21" s="3738"/>
      <c r="P21" s="3739"/>
      <c r="Q21" s="3740"/>
      <c r="R21" s="3741"/>
      <c r="S21" s="3716" t="s">
        <v>1765</v>
      </c>
      <c r="T21" s="2478">
        <v>30000000</v>
      </c>
      <c r="U21" s="1519">
        <v>20</v>
      </c>
      <c r="V21" s="1417" t="s">
        <v>98</v>
      </c>
      <c r="W21" s="3735"/>
      <c r="X21" s="3724"/>
      <c r="Y21" s="3724"/>
      <c r="Z21" s="3724"/>
      <c r="AA21" s="3724"/>
      <c r="AB21" s="3724"/>
      <c r="AC21" s="3724"/>
      <c r="AD21" s="3724"/>
      <c r="AE21" s="3731"/>
      <c r="AF21" s="3731"/>
      <c r="AG21" s="3734"/>
      <c r="AH21" s="3734"/>
      <c r="AI21" s="3724"/>
      <c r="AJ21" s="3724"/>
      <c r="AK21" s="3724"/>
      <c r="AL21" s="3724"/>
      <c r="AM21" s="3726"/>
      <c r="AN21" s="3730"/>
      <c r="AO21" s="3531"/>
      <c r="AP21" s="124"/>
      <c r="AQ21" s="124"/>
      <c r="AR21" s="124"/>
      <c r="AS21" s="124"/>
      <c r="AT21" s="124"/>
      <c r="AU21" s="124"/>
      <c r="AV21" s="124"/>
      <c r="AW21" s="124"/>
    </row>
    <row r="22" spans="1:49" ht="55.5" customHeight="1" x14ac:dyDescent="0.2">
      <c r="A22" s="443"/>
      <c r="B22" s="3687"/>
      <c r="C22" s="3688"/>
      <c r="D22" s="3702"/>
      <c r="E22" s="3705"/>
      <c r="F22" s="3714"/>
      <c r="G22" s="3714"/>
      <c r="H22" s="3049"/>
      <c r="I22" s="3052"/>
      <c r="J22" s="3052"/>
      <c r="K22" s="3049"/>
      <c r="L22" s="3049"/>
      <c r="M22" s="3049"/>
      <c r="N22" s="3052"/>
      <c r="O22" s="3738"/>
      <c r="P22" s="3698"/>
      <c r="Q22" s="3052"/>
      <c r="R22" s="3741"/>
      <c r="S22" s="3717"/>
      <c r="T22" s="2479">
        <f>0+8565900</f>
        <v>8565900</v>
      </c>
      <c r="U22" s="1519">
        <v>88</v>
      </c>
      <c r="V22" s="1417" t="s">
        <v>135</v>
      </c>
      <c r="W22" s="3735"/>
      <c r="X22" s="3724"/>
      <c r="Y22" s="3724"/>
      <c r="Z22" s="3724"/>
      <c r="AA22" s="3724"/>
      <c r="AB22" s="3724"/>
      <c r="AC22" s="3724"/>
      <c r="AD22" s="3724"/>
      <c r="AE22" s="3731"/>
      <c r="AF22" s="3731"/>
      <c r="AG22" s="3734"/>
      <c r="AH22" s="3734"/>
      <c r="AI22" s="3724"/>
      <c r="AJ22" s="3724"/>
      <c r="AK22" s="3724"/>
      <c r="AL22" s="3724"/>
      <c r="AM22" s="3727"/>
      <c r="AN22" s="3730"/>
      <c r="AO22" s="3507"/>
      <c r="AP22" s="124"/>
      <c r="AQ22" s="124"/>
      <c r="AR22" s="124"/>
      <c r="AS22" s="124"/>
      <c r="AT22" s="124"/>
      <c r="AU22" s="124"/>
      <c r="AV22" s="124"/>
      <c r="AW22" s="124"/>
    </row>
    <row r="23" spans="1:49" ht="36" customHeight="1" x14ac:dyDescent="0.2">
      <c r="A23" s="443"/>
      <c r="B23" s="3543"/>
      <c r="C23" s="3497"/>
      <c r="D23" s="3702"/>
      <c r="E23" s="3705"/>
      <c r="F23" s="3715"/>
      <c r="G23" s="3715"/>
      <c r="H23" s="3059"/>
      <c r="I23" s="3479"/>
      <c r="J23" s="3479"/>
      <c r="K23" s="3059"/>
      <c r="L23" s="3059"/>
      <c r="M23" s="3059"/>
      <c r="N23" s="3479"/>
      <c r="O23" s="3738"/>
      <c r="P23" s="3537"/>
      <c r="Q23" s="3479"/>
      <c r="R23" s="3712" t="s">
        <v>1766</v>
      </c>
      <c r="S23" s="3719" t="s">
        <v>1767</v>
      </c>
      <c r="T23" s="2480">
        <v>320850000</v>
      </c>
      <c r="U23" s="1519" t="s">
        <v>60</v>
      </c>
      <c r="V23" s="1417" t="s">
        <v>2559</v>
      </c>
      <c r="W23" s="3736"/>
      <c r="X23" s="3725"/>
      <c r="Y23" s="3725"/>
      <c r="Z23" s="3725"/>
      <c r="AA23" s="3725"/>
      <c r="AB23" s="3725"/>
      <c r="AC23" s="3725"/>
      <c r="AD23" s="3725"/>
      <c r="AE23" s="3732"/>
      <c r="AF23" s="3732"/>
      <c r="AG23" s="3734"/>
      <c r="AH23" s="3734"/>
      <c r="AI23" s="3725"/>
      <c r="AJ23" s="3725"/>
      <c r="AK23" s="3725"/>
      <c r="AL23" s="3725"/>
      <c r="AM23" s="3728"/>
      <c r="AN23" s="3730"/>
      <c r="AO23" s="3492"/>
      <c r="AP23" s="124"/>
      <c r="AQ23" s="124"/>
      <c r="AR23" s="124"/>
      <c r="AS23" s="124"/>
      <c r="AT23" s="124"/>
      <c r="AU23" s="124"/>
      <c r="AV23" s="124"/>
      <c r="AW23" s="124"/>
    </row>
    <row r="24" spans="1:49" ht="36" customHeight="1" thickBot="1" x14ac:dyDescent="0.25">
      <c r="A24" s="459"/>
      <c r="B24" s="3689"/>
      <c r="C24" s="3690"/>
      <c r="D24" s="3703"/>
      <c r="E24" s="3706"/>
      <c r="F24" s="3715"/>
      <c r="G24" s="3715"/>
      <c r="H24" s="3059"/>
      <c r="I24" s="3479"/>
      <c r="J24" s="3479"/>
      <c r="K24" s="3059"/>
      <c r="L24" s="3059"/>
      <c r="M24" s="3059"/>
      <c r="N24" s="3479"/>
      <c r="O24" s="3738"/>
      <c r="P24" s="3537"/>
      <c r="Q24" s="3479"/>
      <c r="R24" s="3718"/>
      <c r="S24" s="3720"/>
      <c r="T24" s="2481">
        <f>0+155242662-8565900</f>
        <v>146676762</v>
      </c>
      <c r="U24" s="2482">
        <v>88</v>
      </c>
      <c r="V24" s="2483" t="s">
        <v>135</v>
      </c>
      <c r="W24" s="3736"/>
      <c r="X24" s="3725"/>
      <c r="Y24" s="3725"/>
      <c r="Z24" s="3725"/>
      <c r="AA24" s="3725"/>
      <c r="AB24" s="3725"/>
      <c r="AC24" s="3725"/>
      <c r="AD24" s="3725"/>
      <c r="AE24" s="3732"/>
      <c r="AF24" s="3732"/>
      <c r="AG24" s="3734"/>
      <c r="AH24" s="3734"/>
      <c r="AI24" s="3725"/>
      <c r="AJ24" s="3725"/>
      <c r="AK24" s="3725"/>
      <c r="AL24" s="3725"/>
      <c r="AM24" s="3728"/>
      <c r="AN24" s="3730"/>
      <c r="AO24" s="3492"/>
      <c r="AP24" s="124"/>
      <c r="AQ24" s="124"/>
      <c r="AR24" s="124"/>
      <c r="AS24" s="124"/>
      <c r="AT24" s="124"/>
      <c r="AU24" s="124"/>
      <c r="AV24" s="124"/>
      <c r="AW24" s="124"/>
    </row>
    <row r="25" spans="1:49" s="252" customFormat="1" ht="26.25" customHeight="1" thickBot="1" x14ac:dyDescent="0.3">
      <c r="A25" s="298"/>
      <c r="B25" s="299"/>
      <c r="C25" s="299"/>
      <c r="D25" s="299"/>
      <c r="E25" s="301"/>
      <c r="F25" s="3721" t="s">
        <v>945</v>
      </c>
      <c r="G25" s="3722"/>
      <c r="H25" s="3722"/>
      <c r="I25" s="3722"/>
      <c r="J25" s="3722"/>
      <c r="K25" s="3722"/>
      <c r="L25" s="3722"/>
      <c r="M25" s="3722"/>
      <c r="N25" s="3722"/>
      <c r="O25" s="3723"/>
      <c r="P25" s="302">
        <f>+P12+P16+P19</f>
        <v>1953092662</v>
      </c>
      <c r="Q25" s="298"/>
      <c r="R25" s="299"/>
      <c r="S25" s="2484"/>
      <c r="T25" s="2466">
        <f>SUM(T12:T24)</f>
        <v>1953092662</v>
      </c>
      <c r="U25" s="303"/>
      <c r="V25" s="304"/>
      <c r="W25" s="304"/>
      <c r="X25" s="304"/>
      <c r="Y25" s="304"/>
      <c r="Z25" s="304"/>
      <c r="AA25" s="304"/>
      <c r="AB25" s="304"/>
      <c r="AC25" s="304"/>
      <c r="AD25" s="304"/>
      <c r="AE25" s="304"/>
      <c r="AF25" s="304"/>
      <c r="AG25" s="304"/>
      <c r="AH25" s="304"/>
      <c r="AI25" s="304"/>
      <c r="AJ25" s="304"/>
      <c r="AK25" s="304"/>
      <c r="AL25" s="304"/>
      <c r="AM25" s="305"/>
      <c r="AN25" s="306"/>
      <c r="AO25" s="307"/>
    </row>
    <row r="26" spans="1:49" x14ac:dyDescent="0.2">
      <c r="P26" s="460"/>
    </row>
    <row r="27" spans="1:49" x14ac:dyDescent="0.2">
      <c r="P27" s="462"/>
    </row>
    <row r="31" spans="1:49" ht="15.75" x14ac:dyDescent="0.25">
      <c r="K31" s="463" t="s">
        <v>1768</v>
      </c>
      <c r="L31" s="22"/>
      <c r="M31" s="22"/>
    </row>
    <row r="32" spans="1:49" ht="15.75" x14ac:dyDescent="0.25">
      <c r="K32" s="23" t="s">
        <v>1769</v>
      </c>
      <c r="L32" s="23"/>
    </row>
  </sheetData>
  <sheetProtection password="A60F" sheet="1" objects="1" scenarios="1"/>
  <mergeCells count="119">
    <mergeCell ref="F25:O25"/>
    <mergeCell ref="AI19:AI24"/>
    <mergeCell ref="AJ19:AJ24"/>
    <mergeCell ref="AK19:AK24"/>
    <mergeCell ref="AL19:AL24"/>
    <mergeCell ref="AM19:AM24"/>
    <mergeCell ref="AN19:AN24"/>
    <mergeCell ref="AC19:AC24"/>
    <mergeCell ref="AD19:AD24"/>
    <mergeCell ref="AE19:AE24"/>
    <mergeCell ref="AF19:AF24"/>
    <mergeCell ref="AG19:AG24"/>
    <mergeCell ref="AH19:AH24"/>
    <mergeCell ref="W19:W24"/>
    <mergeCell ref="X19:X24"/>
    <mergeCell ref="Y19:Y24"/>
    <mergeCell ref="Z19:Z24"/>
    <mergeCell ref="AA19:AA24"/>
    <mergeCell ref="AB19:AB24"/>
    <mergeCell ref="N19:N24"/>
    <mergeCell ref="O19:O24"/>
    <mergeCell ref="P19:P24"/>
    <mergeCell ref="Q19:Q24"/>
    <mergeCell ref="R19:R22"/>
    <mergeCell ref="S19:S20"/>
    <mergeCell ref="AG18:AJ18"/>
    <mergeCell ref="AK18:AL18"/>
    <mergeCell ref="AM18:AO18"/>
    <mergeCell ref="F19:G24"/>
    <mergeCell ref="H19:H24"/>
    <mergeCell ref="I19:I24"/>
    <mergeCell ref="J19:J24"/>
    <mergeCell ref="K19:K24"/>
    <mergeCell ref="L19:L24"/>
    <mergeCell ref="M19:M24"/>
    <mergeCell ref="AO19:AO24"/>
    <mergeCell ref="S21:S22"/>
    <mergeCell ref="R23:R24"/>
    <mergeCell ref="S23:S24"/>
    <mergeCell ref="AP12:AP13"/>
    <mergeCell ref="R14:R15"/>
    <mergeCell ref="S14:S15"/>
    <mergeCell ref="D18:D24"/>
    <mergeCell ref="E18:E24"/>
    <mergeCell ref="G18:K18"/>
    <mergeCell ref="M18:S18"/>
    <mergeCell ref="U18:X18"/>
    <mergeCell ref="Y18:AB18"/>
    <mergeCell ref="AC18:AF18"/>
    <mergeCell ref="AJ12:AJ15"/>
    <mergeCell ref="AK12:AK15"/>
    <mergeCell ref="AL12:AL15"/>
    <mergeCell ref="AM12:AM15"/>
    <mergeCell ref="AN12:AN15"/>
    <mergeCell ref="AO12:AO15"/>
    <mergeCell ref="AD12:AD15"/>
    <mergeCell ref="AE12:AE15"/>
    <mergeCell ref="AF12:AF15"/>
    <mergeCell ref="AG12:AG15"/>
    <mergeCell ref="AH12:AH15"/>
    <mergeCell ref="AI12:AI15"/>
    <mergeCell ref="X12:X15"/>
    <mergeCell ref="Y12:Y15"/>
    <mergeCell ref="Z12:Z15"/>
    <mergeCell ref="AA12:AA15"/>
    <mergeCell ref="AB12:AB15"/>
    <mergeCell ref="AC12:AC15"/>
    <mergeCell ref="O12:O15"/>
    <mergeCell ref="P12:P15"/>
    <mergeCell ref="Q12:Q15"/>
    <mergeCell ref="R12:R13"/>
    <mergeCell ref="S12:S13"/>
    <mergeCell ref="W12:W15"/>
    <mergeCell ref="I12:I15"/>
    <mergeCell ref="J12:J15"/>
    <mergeCell ref="K12:K15"/>
    <mergeCell ref="L12:L15"/>
    <mergeCell ref="M12:M15"/>
    <mergeCell ref="N12:N15"/>
    <mergeCell ref="B10:C24"/>
    <mergeCell ref="D11:D16"/>
    <mergeCell ref="E11:E16"/>
    <mergeCell ref="F12:F16"/>
    <mergeCell ref="G12:G16"/>
    <mergeCell ref="H12:H15"/>
    <mergeCell ref="AL7:AL8"/>
    <mergeCell ref="AM7:AM8"/>
    <mergeCell ref="AN7:AN8"/>
    <mergeCell ref="AO7:AO8"/>
    <mergeCell ref="S7:S8"/>
    <mergeCell ref="T7:T8"/>
    <mergeCell ref="U7:U8"/>
    <mergeCell ref="V7:V8"/>
    <mergeCell ref="W7:X7"/>
    <mergeCell ref="Y7:AB7"/>
    <mergeCell ref="A1:AM4"/>
    <mergeCell ref="A5:K6"/>
    <mergeCell ref="N5:AO5"/>
    <mergeCell ref="N6:V6"/>
    <mergeCell ref="AM6:AO6"/>
    <mergeCell ref="A7:A8"/>
    <mergeCell ref="B7:C8"/>
    <mergeCell ref="D7:D8"/>
    <mergeCell ref="E7:E8"/>
    <mergeCell ref="F7:F8"/>
    <mergeCell ref="M7:M8"/>
    <mergeCell ref="N7:N8"/>
    <mergeCell ref="O7:O8"/>
    <mergeCell ref="P7:P8"/>
    <mergeCell ref="Q7:Q8"/>
    <mergeCell ref="R7:R8"/>
    <mergeCell ref="G7:G8"/>
    <mergeCell ref="H7:H8"/>
    <mergeCell ref="I7:I8"/>
    <mergeCell ref="J7:J8"/>
    <mergeCell ref="K7:K8"/>
    <mergeCell ref="L7:L8"/>
    <mergeCell ref="AC7:AH7"/>
    <mergeCell ref="AI7:AK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PA ADMINISTRATIVA</vt:lpstr>
      <vt:lpstr>PA PLANEACION</vt:lpstr>
      <vt:lpstr>PA HACIENDA</vt:lpstr>
      <vt:lpstr>PA AGUAS INFRA</vt:lpstr>
      <vt:lpstr>PA INTERIOR</vt:lpstr>
      <vt:lpstr>PA CULTURA</vt:lpstr>
      <vt:lpstr>PA TURISMO</vt:lpstr>
      <vt:lpstr>PA AGRICULTURA</vt:lpstr>
      <vt:lpstr>PA PRIVADA</vt:lpstr>
      <vt:lpstr>PA EDUCACIÓN</vt:lpstr>
      <vt:lpstr>PA FAMILIA</vt:lpstr>
      <vt:lpstr>PA REPR JUDICIAL</vt:lpstr>
      <vt:lpstr>PA SALUD</vt:lpstr>
      <vt:lpstr>PA TIC</vt:lpstr>
      <vt:lpstr>PA INDEPORTES</vt:lpstr>
      <vt:lpstr>PA PROMOTORA</vt:lpstr>
      <vt:lpstr>PA IDTQ</vt:lpstr>
      <vt:lpstr>'PA PLANEACION'!Área_de_impresión</vt:lpstr>
      <vt:lpstr>'PA PLANEACION'!Títulos_a_imprimir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2018-10-26T16:01:00Z</dcterms:created>
  <dcterms:modified xsi:type="dcterms:W3CDTF">2020-02-20T18:44:51Z</dcterms:modified>
  <cp:category/>
  <cp:contentStatus/>
</cp:coreProperties>
</file>